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660" windowWidth="23040" windowHeight="9075" tabRatio="872"/>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H34" i="182" l="1"/>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c r="B5117" i="106"/>
  <c r="D5117" i="106"/>
  <c r="B5118" i="106"/>
  <c r="D5118" i="106"/>
  <c r="B5119" i="106"/>
  <c r="D5119" i="106" s="1"/>
  <c r="B5122" i="106"/>
  <c r="D5122" i="106" s="1"/>
  <c r="B5123" i="106"/>
  <c r="D5123" i="106"/>
  <c r="B5124" i="106"/>
  <c r="D5124" i="106" s="1"/>
  <c r="B5126" i="106"/>
  <c r="D5126" i="106" s="1"/>
  <c r="B5127" i="106"/>
  <c r="D5127" i="106"/>
  <c r="D5128" i="106"/>
  <c r="D5129" i="106"/>
  <c r="D5130" i="106"/>
  <c r="D5131" i="106"/>
  <c r="B5133" i="106"/>
  <c r="D5133" i="106"/>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c r="B6305" i="106"/>
  <c r="D6305" i="106" s="1"/>
  <c r="B6307" i="106"/>
  <c r="D6307" i="106" s="1"/>
  <c r="B6308" i="106"/>
  <c r="D6308" i="106" s="1"/>
  <c r="B6309" i="106"/>
  <c r="D6309" i="106" s="1"/>
  <c r="B6310" i="106"/>
  <c r="D6310" i="106" s="1"/>
  <c r="B6311" i="106"/>
  <c r="D6311" i="106" s="1"/>
  <c r="B6312" i="106"/>
  <c r="D6312" i="106" s="1"/>
  <c r="B6313" i="106"/>
  <c r="D6313" i="106" s="1"/>
  <c r="B6314" i="106"/>
  <c r="D6314" i="106"/>
  <c r="B6315" i="106"/>
  <c r="D6315" i="106" s="1"/>
  <c r="B6316" i="106"/>
  <c r="D6316" i="106" s="1"/>
  <c r="B6317" i="106"/>
  <c r="D6317" i="106" s="1"/>
  <c r="B6319" i="106"/>
  <c r="D6319" i="106" s="1"/>
  <c r="B6320" i="106"/>
  <c r="D6320" i="106" s="1"/>
  <c r="B6321" i="106"/>
  <c r="D6321" i="106" s="1"/>
  <c r="B6322" i="106"/>
  <c r="D6322" i="106" s="1"/>
  <c r="B6323" i="106"/>
  <c r="D6323" i="106"/>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c r="B6335" i="106"/>
  <c r="D6335" i="106" s="1"/>
  <c r="B6336" i="106"/>
  <c r="D6336" i="106" s="1"/>
  <c r="B6337" i="106"/>
  <c r="D6337" i="106" s="1"/>
  <c r="B6338" i="106"/>
  <c r="D6338" i="106" s="1"/>
  <c r="B6339" i="106"/>
  <c r="D6339" i="106" s="1"/>
  <c r="B6340" i="106"/>
  <c r="D6340" i="106" s="1"/>
  <c r="B6341" i="106"/>
  <c r="D6341" i="106" s="1"/>
  <c r="B6342" i="106"/>
  <c r="D6342" i="106"/>
  <c r="B6343" i="106"/>
  <c r="D6343" i="106" s="1"/>
  <c r="B6344" i="106"/>
  <c r="D6344" i="106" s="1"/>
  <c r="B6345" i="106"/>
  <c r="D6345" i="106" s="1"/>
  <c r="B6346" i="106"/>
  <c r="D6346" i="106" s="1"/>
  <c r="B6347" i="106"/>
  <c r="D6347" i="106" s="1"/>
  <c r="B6348" i="106"/>
  <c r="D6348" i="106" s="1"/>
  <c r="B6349" i="106"/>
  <c r="D6349" i="106" s="1"/>
  <c r="B6350" i="106"/>
  <c r="D6350" i="106"/>
  <c r="B6353" i="106"/>
  <c r="D6353" i="106" s="1"/>
  <c r="B6354" i="106"/>
  <c r="D6354" i="106" s="1"/>
  <c r="B6355" i="106"/>
  <c r="D6355" i="106" s="1"/>
  <c r="B6356" i="106"/>
  <c r="D6356" i="106" s="1"/>
  <c r="B6358" i="106"/>
  <c r="D6358" i="106" s="1"/>
  <c r="B6359" i="106"/>
  <c r="D6359" i="106" s="1"/>
  <c r="B6360" i="106"/>
  <c r="D6360" i="106" s="1"/>
  <c r="B6361" i="106"/>
  <c r="D6361" i="106"/>
  <c r="B6362" i="106"/>
  <c r="D6362" i="106" s="1"/>
  <c r="B6363" i="106"/>
  <c r="D6363" i="106" s="1"/>
  <c r="B6364" i="106"/>
  <c r="D6364" i="106" s="1"/>
  <c r="B6365" i="106"/>
  <c r="D6365" i="106" s="1"/>
  <c r="B6366" i="106"/>
  <c r="D6366" i="106" s="1"/>
  <c r="B6367" i="106"/>
  <c r="D6367" i="106" s="1"/>
  <c r="B6368" i="106"/>
  <c r="D6368" i="106" s="1"/>
  <c r="B6369" i="106"/>
  <c r="D6369" i="106"/>
  <c r="B6370" i="106"/>
  <c r="D6370" i="106" s="1"/>
  <c r="B6371" i="106"/>
  <c r="D6371" i="106" s="1"/>
  <c r="B6372" i="106"/>
  <c r="D6372" i="106" s="1"/>
  <c r="B6373" i="106"/>
  <c r="D6373" i="106" s="1"/>
  <c r="B6374" i="106"/>
  <c r="D6374" i="106" s="1"/>
  <c r="B6375" i="106"/>
  <c r="D6375" i="106" s="1"/>
  <c r="B6376" i="106"/>
  <c r="D6376" i="106" s="1"/>
  <c r="B6377" i="106"/>
  <c r="D6377" i="106"/>
  <c r="B6378" i="106"/>
  <c r="D6378" i="106" s="1"/>
  <c r="B6379" i="106"/>
  <c r="D6379" i="106" s="1"/>
  <c r="B6380" i="106"/>
  <c r="D6380" i="106" s="1"/>
  <c r="B6381" i="106"/>
  <c r="D6381" i="106" s="1"/>
  <c r="B6382" i="106"/>
  <c r="D6382" i="106" s="1"/>
  <c r="B6383" i="106"/>
  <c r="D6383" i="106" s="1"/>
  <c r="B6384" i="106"/>
  <c r="D6384" i="106" s="1"/>
  <c r="B6385" i="106"/>
  <c r="D6385" i="106"/>
  <c r="B6386" i="106"/>
  <c r="D6386" i="106" s="1"/>
  <c r="B6387" i="106"/>
  <c r="D6387" i="106" s="1"/>
  <c r="B6388" i="106"/>
  <c r="D6388" i="106" s="1"/>
  <c r="B6389" i="106"/>
  <c r="D6389" i="106" s="1"/>
  <c r="B6390" i="106"/>
  <c r="D6390" i="106" s="1"/>
  <c r="B6391" i="106"/>
  <c r="D6391" i="106" s="1"/>
  <c r="B6392" i="106"/>
  <c r="D6392" i="106" s="1"/>
  <c r="B6393" i="106"/>
  <c r="D6393" i="106"/>
  <c r="B6394" i="106"/>
  <c r="D6394" i="106" s="1"/>
  <c r="B6395" i="106"/>
  <c r="D6395" i="106" s="1"/>
  <c r="B6398" i="106"/>
  <c r="D6398" i="106" s="1"/>
  <c r="B6399" i="106"/>
  <c r="D6399" i="106" s="1"/>
  <c r="B6401" i="106"/>
  <c r="D6401" i="106" s="1"/>
  <c r="B6402" i="106"/>
  <c r="D6402" i="106" s="1"/>
  <c r="B6403" i="106"/>
  <c r="D6403" i="106" s="1"/>
  <c r="B6404" i="106"/>
  <c r="D6404" i="106"/>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s="1"/>
  <c r="B6730" i="106"/>
  <c r="D6730" i="106"/>
  <c r="B6731" i="106"/>
  <c r="D6731" i="106" s="1"/>
  <c r="B6732" i="106"/>
  <c r="D6732" i="106"/>
  <c r="B6733" i="106"/>
  <c r="D6733" i="106" s="1"/>
  <c r="B6734" i="106"/>
  <c r="D6734" i="106"/>
  <c r="B6735" i="106"/>
  <c r="D6735" i="106" s="1"/>
  <c r="B6736" i="106"/>
  <c r="D6736" i="106"/>
  <c r="B6737" i="106"/>
  <c r="D6737" i="106" s="1"/>
  <c r="B6738" i="106"/>
  <c r="D6738" i="106"/>
  <c r="B6739" i="106"/>
  <c r="D6739" i="106" s="1"/>
  <c r="B6740" i="106"/>
  <c r="D6740" i="106"/>
  <c r="B6741" i="106"/>
  <c r="D6741" i="106" s="1"/>
  <c r="B6742" i="106"/>
  <c r="D6742" i="106"/>
  <c r="B6743" i="106"/>
  <c r="D6743" i="106" s="1"/>
  <c r="B6744" i="106"/>
  <c r="D6744" i="106"/>
  <c r="B6745" i="106"/>
  <c r="D6745" i="106" s="1"/>
  <c r="B6746" i="106"/>
  <c r="D6746" i="106"/>
  <c r="B6747" i="106"/>
  <c r="D6747" i="106" s="1"/>
  <c r="B6748" i="106"/>
  <c r="D6748" i="106"/>
  <c r="B6749" i="106"/>
  <c r="D6749" i="106" s="1"/>
  <c r="B6750" i="106"/>
  <c r="D6750" i="106"/>
  <c r="B6751" i="106"/>
  <c r="D6751" i="106" s="1"/>
  <c r="B6752" i="106"/>
  <c r="D6752" i="106"/>
  <c r="B6753" i="106"/>
  <c r="D6753" i="106" s="1"/>
  <c r="B6754" i="106"/>
  <c r="D6754" i="106"/>
  <c r="B6755" i="106"/>
  <c r="D6755" i="106" s="1"/>
  <c r="B6756" i="106"/>
  <c r="D6756" i="106"/>
  <c r="B6757" i="106"/>
  <c r="D6757" i="106" s="1"/>
  <c r="B6758" i="106"/>
  <c r="D6758" i="106"/>
  <c r="B6759" i="106"/>
  <c r="D6759" i="106" s="1"/>
  <c r="B6760" i="106"/>
  <c r="D6760" i="106"/>
  <c r="B6761" i="106"/>
  <c r="D6761" i="106" s="1"/>
  <c r="B6762" i="106"/>
  <c r="D6762" i="106"/>
  <c r="B6763" i="106"/>
  <c r="D6763" i="106" s="1"/>
  <c r="B6764" i="106"/>
  <c r="D6764" i="106"/>
  <c r="B6765" i="106"/>
  <c r="D6765" i="106" s="1"/>
  <c r="B6766" i="106"/>
  <c r="D6766" i="106"/>
  <c r="B6767" i="106"/>
  <c r="D6767" i="106" s="1"/>
  <c r="B6768" i="106"/>
  <c r="D6768" i="106"/>
  <c r="B6769" i="106"/>
  <c r="D6769" i="106" s="1"/>
  <c r="B6770" i="106"/>
  <c r="D6770" i="106"/>
  <c r="B6771" i="106"/>
  <c r="D6771" i="106" s="1"/>
  <c r="B6772" i="106"/>
  <c r="D6772" i="106"/>
  <c r="B6773" i="106"/>
  <c r="D6773" i="106" s="1"/>
  <c r="B6774" i="106"/>
  <c r="D6774" i="106"/>
  <c r="B6775" i="106"/>
  <c r="D6775" i="106" s="1"/>
  <c r="B6776" i="106"/>
  <c r="D6776" i="106"/>
  <c r="B6777" i="106"/>
  <c r="D6777" i="106" s="1"/>
  <c r="B6778" i="106"/>
  <c r="D6778" i="106"/>
  <c r="B6779" i="106"/>
  <c r="D6779" i="106" s="1"/>
  <c r="B6780" i="106"/>
  <c r="D6780" i="106"/>
  <c r="B6781" i="106"/>
  <c r="D6781" i="106" s="1"/>
  <c r="B6782" i="106"/>
  <c r="D6782" i="106"/>
  <c r="B6783" i="106"/>
  <c r="D6783" i="106" s="1"/>
  <c r="B6784" i="106"/>
  <c r="D6784" i="106"/>
  <c r="B6785" i="106"/>
  <c r="D6785" i="106" s="1"/>
  <c r="B6786" i="106"/>
  <c r="D6786" i="106"/>
  <c r="B6787" i="106"/>
  <c r="D6787" i="106" s="1"/>
  <c r="B6788" i="106"/>
  <c r="D6788" i="106"/>
  <c r="B6789" i="106"/>
  <c r="D6789" i="106" s="1"/>
  <c r="B6790" i="106"/>
  <c r="D6790" i="106"/>
  <c r="B6791" i="106"/>
  <c r="D6791" i="106" s="1"/>
  <c r="B6792" i="106"/>
  <c r="D6792" i="106"/>
  <c r="B6793" i="106"/>
  <c r="D6793" i="106" s="1"/>
  <c r="B6794" i="106"/>
  <c r="D6794" i="106"/>
  <c r="B6795" i="106"/>
  <c r="D6795" i="106" s="1"/>
  <c r="B6796" i="106"/>
  <c r="D6796" i="106"/>
  <c r="B6797" i="106"/>
  <c r="D6797" i="106" s="1"/>
  <c r="B6798" i="106"/>
  <c r="D6798" i="106"/>
  <c r="B6799" i="106"/>
  <c r="D6799" i="106" s="1"/>
  <c r="B6800" i="106"/>
  <c r="D6800" i="106"/>
  <c r="B6801" i="106"/>
  <c r="D6801" i="106" s="1"/>
  <c r="B6802" i="106"/>
  <c r="D6802" i="106"/>
  <c r="B6803" i="106"/>
  <c r="D6803" i="106" s="1"/>
  <c r="B6804" i="106"/>
  <c r="D6804" i="106"/>
  <c r="B6805" i="106"/>
  <c r="D6805" i="106" s="1"/>
  <c r="B6806" i="106"/>
  <c r="D6806" i="106"/>
  <c r="B6807" i="106"/>
  <c r="D6807" i="106" s="1"/>
  <c r="B6808" i="106"/>
  <c r="D6808" i="106"/>
  <c r="B6809" i="106"/>
  <c r="D6809" i="106" s="1"/>
  <c r="B6810" i="106"/>
  <c r="D6810" i="106"/>
  <c r="B6811" i="106"/>
  <c r="D6811" i="106" s="1"/>
  <c r="B6812" i="106"/>
  <c r="D6812" i="106"/>
  <c r="B6813" i="106"/>
  <c r="D6813" i="106" s="1"/>
  <c r="B6814" i="106"/>
  <c r="D6814" i="106"/>
  <c r="B6815" i="106"/>
  <c r="D6815" i="106" s="1"/>
  <c r="B6816" i="106"/>
  <c r="D6816" i="106"/>
  <c r="B6817" i="106"/>
  <c r="D6817" i="106" s="1"/>
  <c r="B6818" i="106"/>
  <c r="D6818" i="106"/>
  <c r="B6819" i="106"/>
  <c r="D6819" i="106" s="1"/>
  <c r="B6820" i="106"/>
  <c r="D6820" i="106"/>
  <c r="B6821" i="106"/>
  <c r="D6821" i="106" s="1"/>
  <c r="B6822" i="106"/>
  <c r="D6822" i="106"/>
  <c r="B6823" i="106"/>
  <c r="D6823" i="106" s="1"/>
  <c r="B6824" i="106"/>
  <c r="D6824" i="106"/>
  <c r="B6825" i="106"/>
  <c r="D6825" i="106" s="1"/>
  <c r="B6826" i="106"/>
  <c r="D6826" i="106"/>
  <c r="B6827" i="106"/>
  <c r="D6827" i="106" s="1"/>
  <c r="B6828" i="106"/>
  <c r="D6828" i="106"/>
  <c r="B6829" i="106"/>
  <c r="D6829" i="106" s="1"/>
  <c r="B6830" i="106"/>
  <c r="D6830" i="106"/>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E27" i="108"/>
  <c r="F27" i="108"/>
  <c r="G27" i="108"/>
  <c r="E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s="1"/>
  <c r="D5923" i="106" s="1"/>
  <c r="J18" i="5"/>
  <c r="B6306" i="106" s="1"/>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F106" i="34" s="1"/>
  <c r="B5161" i="106"/>
  <c r="D5161" i="106" s="1"/>
  <c r="D140" i="5"/>
  <c r="B5383" i="106"/>
  <c r="D5383" i="106" s="1"/>
  <c r="G140" i="5"/>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s="1"/>
  <c r="D6400" i="106" s="1"/>
  <c r="K178" i="5"/>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D191" i="5"/>
  <c r="B4396" i="106"/>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0" i="34"/>
  <c r="F127" i="34"/>
  <c r="B5847" i="106"/>
  <c r="D5847" i="106" s="1"/>
  <c r="B5752" i="106"/>
  <c r="D5752" i="106" s="1"/>
  <c r="B5599" i="106"/>
  <c r="D5599" i="106" s="1"/>
  <c r="K274" i="5"/>
  <c r="H173" i="5"/>
  <c r="B5906" i="106" s="1"/>
  <c r="D5906" i="106" s="1"/>
  <c r="H109" i="5"/>
  <c r="B6025" i="106" s="1"/>
  <c r="D6025" i="106" s="1"/>
  <c r="B1746" i="106"/>
  <c r="D1746" i="106" s="1"/>
  <c r="D15" i="7" l="1"/>
  <c r="B1772" i="106" s="1"/>
  <c r="D1772" i="106" s="1"/>
  <c r="H6" i="4"/>
  <c r="B2656" i="106" s="1"/>
  <c r="D2656" i="106" s="1"/>
  <c r="C172" i="5"/>
  <c r="B5214" i="106" s="1"/>
  <c r="D5214" i="106" s="1"/>
  <c r="E109" i="5"/>
  <c r="E4" i="4" s="1"/>
  <c r="B2630" i="106" s="1"/>
  <c r="D2630" i="106" s="1"/>
  <c r="L367" i="29"/>
  <c r="J274" i="5"/>
  <c r="B7054" i="106" s="1"/>
  <c r="D7054" i="106" s="1"/>
  <c r="B7041" i="106"/>
  <c r="D7041" i="106" s="1"/>
  <c r="B4363" i="106"/>
  <c r="D4363" i="106" s="1"/>
  <c r="I173" i="5"/>
  <c r="B4216" i="106" s="1"/>
  <c r="D4216" i="106" s="1"/>
  <c r="G172" i="5"/>
  <c r="G173" i="5" s="1"/>
  <c r="B5778" i="106" s="1"/>
  <c r="D5778" i="106" s="1"/>
  <c r="D109" i="5"/>
  <c r="D4" i="4" s="1"/>
  <c r="B2564" i="106" s="1"/>
  <c r="D2564" i="106" s="1"/>
  <c r="D11" i="7"/>
  <c r="B1768" i="106" s="1"/>
  <c r="D1768" i="106" s="1"/>
  <c r="D7" i="7"/>
  <c r="B1763" i="106" s="1"/>
  <c r="D1763" i="106" s="1"/>
  <c r="F131" i="34"/>
  <c r="D17" i="7"/>
  <c r="B4104" i="106" s="1"/>
  <c r="D4104" i="106" s="1"/>
  <c r="F111" i="34"/>
  <c r="F136" i="34"/>
  <c r="K173" i="5"/>
  <c r="K6" i="4" s="1"/>
  <c r="B3570" i="106" s="1"/>
  <c r="D3570" i="106" s="1"/>
  <c r="B6191" i="106"/>
  <c r="D6191" i="106" s="1"/>
  <c r="J41" i="3"/>
  <c r="D6103" i="106"/>
  <c r="K28" i="118"/>
  <c r="O27" i="118" s="1"/>
  <c r="O29" i="118" s="1"/>
  <c r="C352" i="29"/>
  <c r="K41" i="3"/>
  <c r="L15" i="11"/>
  <c r="B3459" i="106" s="1"/>
  <c r="D3459" i="106" s="1"/>
  <c r="K285" i="29"/>
  <c r="K24" i="12"/>
  <c r="F128" i="34"/>
  <c r="H365" i="29"/>
  <c r="F21" i="8"/>
  <c r="F19" i="7"/>
  <c r="B1807" i="106" s="1"/>
  <c r="D1807" i="106" s="1"/>
  <c r="G352" i="29"/>
  <c r="K350" i="29"/>
  <c r="C342" i="29"/>
  <c r="B7216" i="106" s="1"/>
  <c r="D7216" i="106" s="1"/>
  <c r="B1410" i="106"/>
  <c r="D1410" i="106" s="1"/>
  <c r="K184" i="29"/>
  <c r="F13" i="4" s="1"/>
  <c r="B2596" i="106" s="1"/>
  <c r="D2596" i="106" s="1"/>
  <c r="B1329" i="106"/>
  <c r="D1329" i="106" s="1"/>
  <c r="F61" i="34"/>
  <c r="F28" i="108"/>
  <c r="F41" i="108" s="1"/>
  <c r="G43" i="108" s="1"/>
  <c r="D12" i="7"/>
  <c r="B1769" i="106" s="1"/>
  <c r="D1769" i="106" s="1"/>
  <c r="G4" i="4"/>
  <c r="B2603" i="106" s="1"/>
  <c r="D2603" i="106" s="1"/>
  <c r="H4" i="4"/>
  <c r="B2655" i="106" s="1"/>
  <c r="D2655" i="106" s="1"/>
  <c r="B4395" i="106"/>
  <c r="D4395" i="106" s="1"/>
  <c r="C173" i="5"/>
  <c r="B5223" i="106" s="1"/>
  <c r="D5223" i="106" s="1"/>
  <c r="B5096" i="106"/>
  <c r="D5096" i="106" s="1"/>
  <c r="C109" i="5"/>
  <c r="B5121" i="106" s="1"/>
  <c r="D5121" i="106" s="1"/>
  <c r="L13" i="11"/>
  <c r="B2060" i="106" s="1"/>
  <c r="D2060" i="106" s="1"/>
  <c r="B4268" i="106"/>
  <c r="D4268" i="106" s="1"/>
  <c r="D31" i="36"/>
  <c r="D11" i="37"/>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H8" i="4"/>
  <c r="D274" i="5"/>
  <c r="B3447" i="106"/>
  <c r="D3447" i="106" s="1"/>
  <c r="D19" i="7"/>
  <c r="B1775" i="106" s="1"/>
  <c r="D1775" i="106" s="1"/>
  <c r="B7270" i="106"/>
  <c r="K342" i="29" l="1"/>
  <c r="F13" i="34" s="1"/>
  <c r="B5356" i="106"/>
  <c r="D5356" i="106" s="1"/>
  <c r="B3568" i="106"/>
  <c r="D3568" i="106" s="1"/>
  <c r="D52" i="36"/>
  <c r="B7733" i="106"/>
  <c r="D7733" i="106" s="1"/>
  <c r="K26" i="12"/>
  <c r="B7743" i="106" s="1"/>
  <c r="D7743" i="106" s="1"/>
  <c r="B3621" i="106"/>
  <c r="D3621" i="106" s="1"/>
  <c r="C367" i="29"/>
  <c r="B3622" i="106" s="1"/>
  <c r="D3622" i="106" s="1"/>
  <c r="B1879" i="106"/>
  <c r="D1879" i="106" s="1"/>
  <c r="H22" i="37"/>
  <c r="F73" i="34"/>
  <c r="G15" i="4"/>
  <c r="B6032" i="106" s="1"/>
  <c r="D6032" i="106" s="1"/>
  <c r="D44" i="36"/>
  <c r="B5653" i="106"/>
  <c r="D5653" i="106" s="1"/>
  <c r="B3724" i="106"/>
  <c r="D3724" i="106" s="1"/>
  <c r="B5770" i="106"/>
  <c r="D5770" i="106" s="1"/>
  <c r="H367" i="29"/>
  <c r="B3660" i="106" s="1"/>
  <c r="D3660" i="106" s="1"/>
  <c r="B7242" i="106"/>
  <c r="D7242" i="106" s="1"/>
  <c r="B3649" i="106"/>
  <c r="D3649" i="106" s="1"/>
  <c r="G367" i="29"/>
  <c r="B3650" i="106" s="1"/>
  <c r="D3650" i="106" s="1"/>
  <c r="B3670" i="106"/>
  <c r="D3670" i="106" s="1"/>
  <c r="K352" i="29"/>
  <c r="K367" i="29" s="1"/>
  <c r="B1381" i="106"/>
  <c r="D1381" i="106" s="1"/>
  <c r="B1317" i="106"/>
  <c r="D1317" i="106" s="1"/>
  <c r="C114" i="29"/>
  <c r="B757" i="106" s="1"/>
  <c r="D757" i="106" s="1"/>
  <c r="F275" i="5"/>
  <c r="C6" i="4"/>
  <c r="B2553" i="106" s="1"/>
  <c r="D2553" i="106" s="1"/>
  <c r="C4" i="4"/>
  <c r="B2551" i="106" s="1"/>
  <c r="D2551" i="106" s="1"/>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D275" i="5"/>
  <c r="B5507" i="106"/>
  <c r="D5507" i="106" s="1"/>
  <c r="B7298" i="106"/>
  <c r="B7299" i="106"/>
  <c r="K13" i="4" l="1"/>
  <c r="B3572" i="106" s="1"/>
  <c r="D3572" i="106" s="1"/>
  <c r="B3672" i="106"/>
  <c r="D3672" i="106" s="1"/>
  <c r="B1145" i="106"/>
  <c r="D1145" i="106" s="1"/>
  <c r="E41" i="108"/>
  <c r="E44" i="108" s="1"/>
  <c r="E45" i="108" s="1"/>
  <c r="G41" i="108"/>
  <c r="G44" i="108" s="1"/>
  <c r="G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B2595" i="106"/>
  <c r="D2595" i="106" s="1"/>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<sst xmlns="http://schemas.openxmlformats.org/spreadsheetml/2006/main" count="5056" uniqueCount="2131">
  <si>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</si>
  <si>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</si>
  <si>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</si>
  <si>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</si>
  <si>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</si>
  <si>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</si>
  <si>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</si>
  <si>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</si>
  <si>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</si>
  <si>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</si>
  <si>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</si>
  <si>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</si>
  <si>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</si>
  <si>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</si>
  <si>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</si>
  <si>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</si>
  <si>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</si>
  <si>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</si>
  <si>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</si>
  <si>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</si>
  <si>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</si>
  <si>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</si>
  <si>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</si>
  <si>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</si>
  <si>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</si>
  <si>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</si>
  <si>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</si>
  <si>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</si>
  <si>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</si>
  <si>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</si>
  <si>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</si>
  <si>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</si>
  <si>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</si>
  <si>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</si>
  <si>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</si>
  <si>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</si>
  <si>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</si>
  <si>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</si>
  <si>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</si>
  <si>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</si>
  <si>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</si>
  <si>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</si>
  <si>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</si>
  <si>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</si>
  <si>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</si>
  <si>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</si>
  <si>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</si>
  <si>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</si>
  <si>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</si>
  <si>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</si>
  <si>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</si>
  <si>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</si>
  <si>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</si>
  <si>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</si>
  <si>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</si>
  <si>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</si>
  <si>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</si>
  <si>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</si>
  <si>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</si>
  <si>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</si>
  <si>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</si>
  <si>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</si>
  <si>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</si>
  <si>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</si>
  <si>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</si>
  <si>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</si>
  <si>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</si>
  <si>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</si>
  <si>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</si>
  <si>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</si>
  <si>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</si>
  <si>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</si>
  <si>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</si>
  <si>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</si>
  <si>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</si>
  <si>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</si>
  <si>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</si>
  <si>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</si>
  <si>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</si>
  <si>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</si>
  <si>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</si>
  <si>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</si>
  <si>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</si>
  <si>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</si>
  <si>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</si>
  <si>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</si>
  <si>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</si>
  <si>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</si>
  <si>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</si>
  <si>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</si>
  <si>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</si>
  <si>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</si>
  <si>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</si>
  <si>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</si>
  <si>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</si>
  <si>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</si>
  <si>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</si>
  <si>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</si>
  <si>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</si>
  <si>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</si>
  <si>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</si>
  <si>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</si>
  <si>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</si>
  <si>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</si>
  <si>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</si>
  <si>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</si>
  <si>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</si>
  <si>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</si>
  <si>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</si>
  <si>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</si>
  <si>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</si>
  <si>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</si>
  <si>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</si>
  <si>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</si>
  <si>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</si>
  <si>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</si>
  <si>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</si>
  <si>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</si>
  <si>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</si>
  <si>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</si>
  <si>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</si>
  <si>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</si>
  <si>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</si>
  <si>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</si>
  <si>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</si>
  <si>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</si>
  <si>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</si>
  <si>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</si>
  <si>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</si>
  <si>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</si>
  <si>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</si>
  <si>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</si>
  <si>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</si>
  <si>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</si>
  <si>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</si>
  <si>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</si>
  <si>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</si>
  <si>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</si>
  <si>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</si>
  <si>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</si>
  <si>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</si>
  <si>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</si>
  <si>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</si>
  <si>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</si>
  <si>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</si>
  <si>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</si>
  <si>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</si>
  <si>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</si>
  <si>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</si>
  <si>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</si>
  <si>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</si>
  <si>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</si>
  <si>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</si>
  <si>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</si>
  <si>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</si>
  <si>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</si>
  <si>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</si>
  <si>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</si>
  <si>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</si>
  <si>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</si>
  <si>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</si>
  <si>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</si>
  <si>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</si>
  <si>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</si>
  <si>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</si>
  <si>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</si>
  <si>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</si>
  <si>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</si>
  <si>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</si>
  <si>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</si>
  <si>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</si>
  <si>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</si>
  <si>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</si>
  <si>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</si>
  <si>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</si>
  <si>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</si>
  <si>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</si>
  <si>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</si>
  <si>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</si>
  <si>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</si>
  <si>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</si>
  <si>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</si>
  <si>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</si>
  <si>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</si>
  <si>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</si>
  <si>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</si>
  <si>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</si>
  <si>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</si>
  <si>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</si>
  <si>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</si>
  <si>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</si>
  <si>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</si>
  <si>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</si>
  <si>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</si>
  <si>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</si>
  <si>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</si>
  <si>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</si>
  <si>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</si>
  <si>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</si>
  <si>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</si>
  <si>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</si>
  <si>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</si>
  <si>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</si>
  <si>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</si>
  <si>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</si>
  <si>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</si>
  <si>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</si>
  <si>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</si>
  <si>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</si>
  <si>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</si>
  <si>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</si>
  <si>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</si>
  <si>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</si>
  <si>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</si>
  <si>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</si>
  <si>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</si>
  <si>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</si>
  <si>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</si>
  <si>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</si>
  <si>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</si>
  <si>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</si>
  <si>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</si>
  <si>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</si>
  <si>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</si>
  <si>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</si>
  <si>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</si>
  <si>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</si>
  <si>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</si>
  <si>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</si>
  <si>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</si>
  <si>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</si>
  <si>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</si>
  <si>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</si>
  <si>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</si>
  <si>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</si>
  <si>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</si>
  <si>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</si>
  <si>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</si>
  <si>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</si>
  <si>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</si>
  <si>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</si>
  <si>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</si>
  <si>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</si>
  <si>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</si>
  <si>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</si>
  <si>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</si>
  <si>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</si>
  <si>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</si>
  <si>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</si>
  <si>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</si>
  <si>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</si>
  <si>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</si>
  <si>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</si>
  <si>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</si>
  <si>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</si>
  <si>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</si>
  <si>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</si>
  <si>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</si>
  <si>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</si>
  <si>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</si>
  <si>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</si>
  <si>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</si>
  <si>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</si>
  <si>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</si>
  <si>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</si>
  <si>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</si>
  <si>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</si>
  <si>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</si>
  <si>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</si>
  <si>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</si>
  <si>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</si>
  <si>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</si>
  <si>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</si>
  <si>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</si>
  <si>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</si>
  <si>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</si>
  <si>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</si>
  <si>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</si>
  <si>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</si>
  <si>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</si>
  <si>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</si>
  <si>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</si>
  <si>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</si>
  <si>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</si>
  <si>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</si>
  <si>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</si>
  <si>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</si>
  <si>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</si>
  <si>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</si>
  <si>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</si>
  <si>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</si>
  <si>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</si>
  <si>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</si>
  <si>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</si>
  <si>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</si>
  <si>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</si>
  <si>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</si>
  <si>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</si>
  <si>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</si>
  <si>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</si>
  <si>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</si>
  <si>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</si>
  <si>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</si>
  <si>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</si>
  <si>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</si>
  <si>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</si>
  <si>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</si>
  <si>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</si>
  <si>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</si>
  <si>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</si>
  <si>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</si>
  <si>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</si>
  <si>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</si>
  <si>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</si>
  <si>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</si>
  <si>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</si>
  <si>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</si>
  <si>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</si>
  <si>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</si>
  <si>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</si>
  <si>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</si>
  <si>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</si>
  <si>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</si>
  <si>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</si>
  <si>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</si>
  <si>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</si>
  <si>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</si>
  <si>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</si>
  <si>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</si>
  <si>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</si>
  <si>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</si>
  <si>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</si>
  <si>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</si>
  <si>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</si>
  <si>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</si>
  <si>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</si>
  <si>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</si>
  <si>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</si>
  <si>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</si>
  <si>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</si>
  <si>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</si>
  <si>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</si>
  <si>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</si>
  <si>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</si>
  <si>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</si>
  <si>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</si>
  <si>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</si>
  <si>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</si>
  <si>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</si>
  <si>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</si>
  <si>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</si>
  <si>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</si>
  <si>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</si>
  <si>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</si>
  <si>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</si>
  <si>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</si>
  <si>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</si>
  <si>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</si>
  <si>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</si>
  <si>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</si>
  <si>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</si>
  <si>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</si>
  <si>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</si>
  <si>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</si>
  <si>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</si>
  <si>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</si>
  <si>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</si>
  <si>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</si>
  <si>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</si>
  <si>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</si>
  <si>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</si>
  <si>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</si>
  <si>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</si>
  <si>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</si>
  <si>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</si>
  <si>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</si>
  <si>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</si>
  <si>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</si>
  <si>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</si>
  <si>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</si>
  <si>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</si>
  <si>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</si>
  <si>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</si>
  <si>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</si>
  <si>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</si>
  <si>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</si>
  <si>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</si>
  <si>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</si>
  <si>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</si>
  <si>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</si>
  <si>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</si>
  <si>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</si>
  <si>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</si>
  <si>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</si>
  <si>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</si>
  <si>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</si>
  <si>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</si>
  <si>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</si>
  <si>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</si>
  <si>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</si>
  <si>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</si>
  <si>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</si>
  <si>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</si>
  <si>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</si>
  <si>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</si>
  <si>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</si>
  <si>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</si>
  <si>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</si>
  <si>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</si>
  <si>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</si>
  <si>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</si>
  <si>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</si>
  <si>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</si>
  <si>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</si>
  <si>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</si>
  <si>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</si>
  <si>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</si>
  <si>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</si>
  <si>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</si>
  <si>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</si>
  <si>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</si>
  <si>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</si>
  <si>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</si>
  <si>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</si>
  <si>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</si>
  <si>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</si>
  <si>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</si>
  <si>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</si>
  <si>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</si>
  <si>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</si>
  <si>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</si>
  <si>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</si>
  <si>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</si>
  <si>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</si>
  <si>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</si>
  <si>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</si>
  <si>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</si>
  <si>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</si>
  <si>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</si>
  <si>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</si>
  <si>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</si>
  <si>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</si>
  <si>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</si>
  <si>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</si>
  <si>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</si>
  <si>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</si>
  <si>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</si>
  <si>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</si>
  <si>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</si>
  <si>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</si>
  <si>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</si>
  <si>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</si>
  <si>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</si>
  <si>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</si>
  <si>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</si>
  <si>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</si>
  <si>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</si>
  <si>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</si>
  <si>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</si>
  <si>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</si>
  <si>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</si>
  <si>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</si>
  <si>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</si>
  <si>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</si>
  <si>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</si>
  <si>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</si>
  <si>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</si>
  <si>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</si>
  <si>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</si>
  <si>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</si>
  <si>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</si>
  <si>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</si>
  <si>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</si>
  <si>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</si>
  <si>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</si>
  <si>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</si>
  <si>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</si>
  <si>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</si>
  <si>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</si>
  <si>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</si>
  <si>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</si>
  <si>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</si>
  <si>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</si>
  <si>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</si>
  <si>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</si>
  <si>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</si>
  <si>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</si>
  <si>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</si>
  <si>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</si>
  <si>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</si>
  <si>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</si>
  <si>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</si>
  <si>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</si>
  <si>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</si>
  <si>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</si>
  <si>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</si>
  <si>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</si>
  <si>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</si>
  <si>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</si>
  <si>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</si>
  <si>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</si>
  <si>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</si>
  <si>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</si>
  <si>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</si>
  <si>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</si>
  <si>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</si>
  <si>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</si>
  <si>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</si>
  <si>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</si>
  <si>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</si>
  <si>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</si>
  <si>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</si>
  <si>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</si>
  <si>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</si>
  <si>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</si>
  <si>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</si>
  <si>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</si>
  <si>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</si>
  <si>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</si>
  <si>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</si>
  <si>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</si>
  <si>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</si>
  <si>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</si>
  <si>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</si>
  <si>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</si>
  <si>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</si>
  <si>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</si>
  <si>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</si>
  <si>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</si>
  <si>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</si>
  <si>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</si>
  <si>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</si>
  <si>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</si>
  <si>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</si>
  <si>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</si>
  <si>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</si>
  <si>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</si>
  <si>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</si>
  <si>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</si>
  <si>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</si>
  <si>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</si>
  <si>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</si>
  <si>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</si>
  <si>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</si>
  <si>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</si>
  <si>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</si>
  <si>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</si>
  <si>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</si>
  <si>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</si>
  <si>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</si>
  <si>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</si>
  <si>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</si>
  <si>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</si>
  <si>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</si>
  <si>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</si>
  <si>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</si>
  <si>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</si>
  <si>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</si>
  <si>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</si>
  <si>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</si>
  <si>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</si>
  <si>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</si>
  <si>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</si>
  <si>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</si>
  <si>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</si>
  <si>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</si>
  <si>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</si>
  <si>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</si>
  <si>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</si>
  <si>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</si>
  <si>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</si>
  <si>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</si>
  <si>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</si>
  <si>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</si>
  <si>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</si>
  <si>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</si>
  <si>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</si>
  <si>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</si>
  <si>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</si>
  <si>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</si>
  <si>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</si>
  <si>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</si>
  <si>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</si>
  <si>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</si>
  <si>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</si>
  <si>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</si>
  <si>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</si>
  <si>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</si>
  <si>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</si>
  <si>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</si>
  <si>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</si>
  <si>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</si>
  <si>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</si>
  <si>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</si>
  <si>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</si>
  <si>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</si>
  <si>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</si>
  <si>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</si>
  <si>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</si>
  <si>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</si>
  <si>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</si>
  <si>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</si>
  <si>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</si>
  <si>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</si>
  <si>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</si>
  <si>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</si>
  <si>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</si>
  <si>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</si>
  <si>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</si>
  <si>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</si>
  <si>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</si>
  <si>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</si>
  <si>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</si>
  <si>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</si>
  <si>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</si>
  <si>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</si>
  <si>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</si>
  <si>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</si>
  <si>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</si>
  <si>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</si>
  <si>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</si>
  <si>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</si>
  <si>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</si>
  <si>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</si>
  <si>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</si>
  <si>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</si>
  <si>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</si>
  <si>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</si>
  <si>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</si>
  <si>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</si>
  <si>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</si>
  <si>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</si>
  <si>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</si>
  <si>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</si>
  <si>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</si>
  <si>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</si>
  <si>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</si>
  <si>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</si>
  <si>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</si>
  <si>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</si>
  <si>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</si>
  <si>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</si>
  <si>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</si>
  <si>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</si>
  <si>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</si>
  <si>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</si>
  <si>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</si>
  <si>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</si>
  <si>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</si>
  <si>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</si>
  <si>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</si>
  <si>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</si>
  <si>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</si>
  <si>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</si>
  <si>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</si>
  <si>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</si>
  <si>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</si>
  <si>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</si>
  <si>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</si>
  <si>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</si>
  <si>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</si>
  <si>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</si>
  <si>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</si>
  <si>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</si>
  <si>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</si>
  <si>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</si>
  <si>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</si>
  <si>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</si>
  <si>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</si>
  <si>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</si>
  <si>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</si>
  <si>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</si>
  <si>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</si>
  <si>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</si>
  <si>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</si>
  <si>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</si>
  <si>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</si>
  <si>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</si>
  <si>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</si>
  <si>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</si>
  <si>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</si>
  <si>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</si>
  <si>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</si>
  <si>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</si>
  <si>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</si>
  <si>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</si>
  <si>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</si>
  <si>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</si>
  <si>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</si>
  <si>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</si>
  <si>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</si>
  <si>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</si>
  <si>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</si>
  <si>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</si>
  <si>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</si>
  <si>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</si>
  <si>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</si>
  <si>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</si>
  <si>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</si>
  <si>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</si>
  <si>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</si>
  <si>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</si>
  <si>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</si>
  <si>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</si>
  <si>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</si>
  <si>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</si>
  <si>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</si>
  <si>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</si>
  <si>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</si>
  <si>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</si>
  <si>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</si>
  <si>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</si>
  <si>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</si>
  <si>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</si>
  <si>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</si>
  <si>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</si>
  <si>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</si>
  <si>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</si>
  <si>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</si>
  <si>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</si>
  <si>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</si>
  <si>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</si>
  <si>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</si>
  <si>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</si>
  <si>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</si>
  <si>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</si>
  <si>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</si>
  <si>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</si>
  <si>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</si>
  <si>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</si>
  <si>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</si>
  <si>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</si>
  <si>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</si>
  <si>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</si>
  <si>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</si>
  <si>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</si>
  <si>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</si>
  <si>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</si>
  <si>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</si>
  <si>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</si>
  <si>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</si>
  <si>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</si>
  <si>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</si>
  <si>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</si>
  <si>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</si>
  <si>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</si>
  <si>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</si>
  <si>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</si>
  <si>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</si>
  <si>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</si>
  <si>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</si>
  <si>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</si>
  <si>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</si>
  <si>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</si>
  <si>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</si>
  <si>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</si>
  <si>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</si>
  <si>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</si>
  <si>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</si>
  <si>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</si>
  <si>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</si>
  <si>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</si>
  <si>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</si>
  <si>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</si>
  <si>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</si>
  <si>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</si>
  <si>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</si>
  <si>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</si>
  <si>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</si>
  <si>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</si>
  <si>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</si>
  <si>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</si>
  <si>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</si>
  <si>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</si>
  <si>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</si>
  <si>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</si>
  <si>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</si>
  <si>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</si>
  <si>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</si>
  <si>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</si>
  <si>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</si>
  <si>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</si>
  <si>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</si>
  <si>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</si>
  <si>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</si>
  <si>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</si>
  <si>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</si>
  <si>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</si>
  <si>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</si>
  <si>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</si>
  <si>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</si>
  <si>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</si>
  <si>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</si>
  <si>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</si>
  <si>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</si>
  <si>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</si>
  <si>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</si>
  <si>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</si>
  <si>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</si>
  <si>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</si>
  <si>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</si>
  <si>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</si>
  <si>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</si>
  <si>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</si>
  <si>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</si>
  <si>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</si>
  <si>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</si>
  <si>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</si>
  <si>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</si>
  <si>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</si>
  <si>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</si>
  <si>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</si>
  <si>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</si>
  <si>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</si>
  <si>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</si>
  <si>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</si>
  <si>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</si>
  <si>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</si>
  <si>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</si>
  <si>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</si>
  <si>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</si>
  <si>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</si>
  <si>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</si>
  <si>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</si>
  <si>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</si>
  <si>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</si>
  <si>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</si>
  <si>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</si>
  <si>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</si>
  <si>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</si>
  <si>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</si>
  <si>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</si>
  <si>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</si>
  <si>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</si>
  <si>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</si>
  <si>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</si>
  <si>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</si>
  <si>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</si>
  <si>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</si>
  <si>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</si>
  <si>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</si>
  <si>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</si>
  <si>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</si>
  <si>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</si>
  <si>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</si>
  <si>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</si>
  <si>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</si>
  <si>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</si>
  <si>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</si>
  <si>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</si>
  <si>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</si>
  <si>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</si>
  <si>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</si>
  <si>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</si>
  <si>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</si>
  <si>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</si>
  <si>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</si>
  <si>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</si>
  <si>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</si>
  <si>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</si>
  <si>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</si>
  <si>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</si>
  <si>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</si>
  <si>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</si>
  <si>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</si>
  <si>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</si>
  <si>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</si>
  <si>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</si>
  <si>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</si>
  <si>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</si>
  <si>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</si>
  <si>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</si>
  <si>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</si>
  <si>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</si>
  <si>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</si>
  <si>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</si>
  <si>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</si>
  <si>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</si>
  <si>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</si>
  <si>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</si>
  <si>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</si>
  <si>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</si>
  <si>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</si>
  <si>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</si>
  <si>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</si>
  <si>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</si>
  <si>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</si>
  <si>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</si>
  <si>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</si>
  <si>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</si>
  <si>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</si>
  <si>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</si>
  <si>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</si>
  <si>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</si>
  <si>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</si>
  <si>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</si>
  <si>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</si>
  <si>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</si>
  <si>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</si>
  <si>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</si>
  <si>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</si>
  <si>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</si>
  <si>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</si>
  <si>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</si>
  <si>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</si>
  <si>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</si>
  <si>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</si>
  <si>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</si>
  <si>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</si>
  <si>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</si>
  <si>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</si>
  <si>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</si>
  <si>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</si>
  <si>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</si>
  <si>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</si>
  <si>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</si>
  <si>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</si>
  <si>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</si>
  <si>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</si>
  <si>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</si>
  <si>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</si>
  <si>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</si>
  <si>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</si>
  <si>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</si>
  <si>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</si>
  <si>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</si>
  <si>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</si>
  <si>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</si>
  <si>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</si>
  <si>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</si>
  <si>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</si>
  <si>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</si>
  <si>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</si>
  <si>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</si>
  <si>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</si>
  <si>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</si>
  <si>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</si>
  <si>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</si>
  <si>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</si>
  <si>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</si>
  <si>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</si>
  <si>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</si>
  <si>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</si>
  <si>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</si>
  <si>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</si>
  <si>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</si>
  <si>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</si>
  <si>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</si>
  <si>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</si>
  <si>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</si>
  <si>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</si>
  <si>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</si>
  <si>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</si>
  <si>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</si>
  <si>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</si>
  <si>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</si>
  <si>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</si>
  <si>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</si>
  <si>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</si>
  <si>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</si>
  <si>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</si>
  <si>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</si>
  <si>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</si>
  <si>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</si>
  <si>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</si>
  <si>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</si>
  <si>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</si>
  <si>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</si>
  <si>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</si>
  <si>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</si>
  <si>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</si>
  <si>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</si>
  <si>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</si>
  <si>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</si>
  <si>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</si>
  <si>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</si>
  <si>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</si>
  <si>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</si>
  <si>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</si>
  <si>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</si>
  <si>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</si>
  <si>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</si>
  <si>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</si>
  <si>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</si>
  <si>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</si>
  <si>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</si>
  <si>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</si>
  <si>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</si>
  <si>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</si>
  <si>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</si>
  <si>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</si>
  <si>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</si>
  <si>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</si>
  <si>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</si>
  <si>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</si>
  <si>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</si>
  <si>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</si>
  <si>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</si>
  <si>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</si>
  <si>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</si>
  <si>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</si>
  <si>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</si>
  <si>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</si>
  <si>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</si>
  <si>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</si>
  <si>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</si>
  <si>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</si>
  <si>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</si>
  <si>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</si>
  <si>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</si>
  <si>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</si>
  <si>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</si>
  <si>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</si>
  <si>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</si>
  <si>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</si>
  <si>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</si>
  <si>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</si>
  <si>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</si>
  <si>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</si>
  <si>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</si>
  <si>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</si>
  <si>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</si>
  <si>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</si>
  <si>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</si>
  <si>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</si>
  <si>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</si>
  <si>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</si>
  <si>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</si>
  <si>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</si>
  <si>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</si>
  <si>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</si>
  <si>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</si>
  <si>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</si>
  <si>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</si>
  <si>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</si>
  <si>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</si>
  <si>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</si>
  <si>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</si>
  <si>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</si>
  <si>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</si>
  <si>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</si>
  <si>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</si>
  <si>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</si>
  <si>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</si>
  <si>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</si>
  <si>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</si>
  <si>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</si>
  <si>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</si>
  <si>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</si>
  <si>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</si>
  <si>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</si>
  <si>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</si>
  <si>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</si>
  <si>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</si>
  <si>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</si>
  <si>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</si>
  <si>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</si>
  <si>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</si>
  <si>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</si>
  <si>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</si>
  <si>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</si>
  <si>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</si>
  <si>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</si>
  <si>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</si>
  <si>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</si>
  <si>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</si>
  <si>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</si>
  <si>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</si>
  <si>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</si>
  <si>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</si>
  <si>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</si>
  <si>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</si>
  <si>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</si>
  <si>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</si>
  <si>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</si>
  <si>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</si>
  <si>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</si>
  <si>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</si>
  <si>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</si>
  <si>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</si>
  <si>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</si>
  <si>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</si>
  <si>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</si>
  <si>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</si>
  <si>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</si>
  <si>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</si>
  <si>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</si>
  <si>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</si>
  <si>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</si>
  <si>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</si>
  <si>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</si>
  <si>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</si>
  <si>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</si>
  <si>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</si>
  <si>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</si>
  <si>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</si>
  <si>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</si>
  <si>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</si>
  <si>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</si>
  <si>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</si>
  <si>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</si>
  <si>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</si>
  <si>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</si>
  <si>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</si>
  <si>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</si>
  <si>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</si>
  <si>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</si>
  <si>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</si>
  <si>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</si>
  <si>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</si>
  <si>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</si>
  <si>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</si>
  <si>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</si>
  <si>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</si>
  <si>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</si>
  <si>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</si>
  <si>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</si>
  <si>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</si>
  <si>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</si>
  <si>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</si>
  <si>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</si>
  <si>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</si>
  <si>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</si>
  <si>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</si>
  <si>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</si>
  <si>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</si>
  <si>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</si>
  <si>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</si>
  <si>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</si>
  <si>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</si>
  <si>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</si>
  <si>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</si>
  <si>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</si>
  <si>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</si>
  <si>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</si>
  <si>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</si>
  <si>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</si>
  <si>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</si>
  <si>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</si>
  <si>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</si>
  <si>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</si>
  <si>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</si>
  <si>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</si>
  <si>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</si>
  <si>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</si>
  <si>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</si>
  <si>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</si>
  <si>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</si>
  <si>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</si>
  <si>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</si>
  <si>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</si>
  <si>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</si>
  <si>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</si>
  <si>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</si>
  <si>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</si>
  <si>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</si>
  <si>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</si>
  <si>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</si>
  <si>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</si>
  <si>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</si>
  <si>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</si>
  <si>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</si>
  <si>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</si>
  <si>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</si>
  <si>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</si>
  <si>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</si>
  <si>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</si>
  <si>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</si>
  <si>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</si>
  <si>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</si>
  <si>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</si>
  <si>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</si>
  <si>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</si>
  <si>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</si>
  <si>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</si>
  <si>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</si>
  <si>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</si>
  <si>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</si>
  <si>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</si>
  <si>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</si>
  <si>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</si>
  <si>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</si>
  <si>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</si>
  <si>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</si>
  <si>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</si>
  <si>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</si>
  <si>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</si>
  <si>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</si>
  <si>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</si>
  <si>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</si>
  <si>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</si>
  <si>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</si>
  <si>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</si>
  <si>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</si>
  <si>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</si>
  <si>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</si>
  <si>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</si>
  <si>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</si>
  <si>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</si>
  <si>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</si>
  <si>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</si>
  <si>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</si>
  <si>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</si>
  <si>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</si>
  <si>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</si>
  <si>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</si>
  <si>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</si>
  <si>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</si>
  <si>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</si>
  <si>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</si>
  <si>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</si>
  <si>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</si>
  <si>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</si>
  <si>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</si>
  <si>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</si>
  <si>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</si>
  <si>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</si>
  <si>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</si>
  <si>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</si>
  <si>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</si>
  <si>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</si>
  <si>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</si>
  <si>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</si>
  <si>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</si>
  <si>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</si>
  <si>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</si>
  <si>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</si>
  <si>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</si>
  <si>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</si>
  <si>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</si>
  <si>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</si>
  <si>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</si>
  <si>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</si>
  <si>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</si>
  <si>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</si>
  <si>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</si>
  <si>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</si>
  <si>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</si>
  <si>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</si>
  <si>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</si>
  <si>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</si>
  <si>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</si>
  <si>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</si>
  <si>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</si>
  <si>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</si>
  <si>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</si>
  <si>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</si>
  <si>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</si>
  <si>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</si>
  <si>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</si>
  <si>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</si>
  <si>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</si>
  <si>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</si>
  <si>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</si>
  <si>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</si>
  <si>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</si>
  <si>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</si>
  <si>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</si>
  <si>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</si>
  <si>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</si>
  <si>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</si>
  <si>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</si>
  <si>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</si>
  <si>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</si>
  <si>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</si>
  <si>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</si>
  <si>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</si>
  <si>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</si>
  <si>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</si>
  <si>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</si>
  <si>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</si>
  <si>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</si>
  <si>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</si>
  <si>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</si>
  <si>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</si>
  <si>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</si>
  <si>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</si>
  <si>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</si>
  <si>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</si>
  <si>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</si>
  <si>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</si>
  <si>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</si>
  <si>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</si>
  <si>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</si>
  <si>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</si>
  <si>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</si>
  <si>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</si>
  <si>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</si>
  <si>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</si>
  <si>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</si>
  <si>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</si>
  <si>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</si>
  <si>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</si>
  <si>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</si>
  <si>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</si>
  <si>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</si>
  <si>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</si>
  <si>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</si>
  <si>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</si>
  <si>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</si>
  <si>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</si>
  <si>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</si>
  <si>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</si>
  <si>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</si>
  <si>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</si>
  <si>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</si>
  <si>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</si>
  <si>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</si>
  <si>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</si>
  <si>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</si>
  <si>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</si>
  <si>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</si>
  <si>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</si>
  <si>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</si>
  <si>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</si>
  <si>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</si>
  <si>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</si>
  <si>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</si>
  <si>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</si>
  <si>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</si>
  <si>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</si>
  <si>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</si>
  <si>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</si>
  <si>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</si>
  <si>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</si>
  <si>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</si>
  <si>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</si>
  <si>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</si>
  <si>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</si>
  <si>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</si>
  <si>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</si>
  <si>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</si>
  <si>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</si>
  <si>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</si>
  <si>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</si>
  <si>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</si>
  <si>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</si>
  <si>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</si>
  <si>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</si>
  <si>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</si>
  <si>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</si>
  <si>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</si>
  <si>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</si>
  <si>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</si>
  <si>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</si>
  <si>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</si>
  <si>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</si>
  <si>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</si>
  <si>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</si>
  <si>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</si>
  <si>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</si>
  <si>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</si>
  <si>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</si>
  <si>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</si>
  <si>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</si>
  <si>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</si>
  <si>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</si>
  <si>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</si>
  <si>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</si>
  <si>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</si>
  <si>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</si>
  <si>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</si>
  <si>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</si>
  <si>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</si>
  <si>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</si>
  <si>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</si>
  <si>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</si>
  <si>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</si>
  <si>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</si>
  <si>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</si>
  <si>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</si>
  <si>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</si>
  <si>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</si>
  <si>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</si>
  <si>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</si>
  <si>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</si>
  <si>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</si>
  <si>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</si>
  <si>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</si>
  <si>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</si>
  <si>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</si>
  <si>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</si>
  <si>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</si>
  <si>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</si>
  <si>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</si>
  <si>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</si>
  <si>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</si>
  <si>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</si>
  <si>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</si>
  <si>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</si>
  <si>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</si>
  <si>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</si>
  <si>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</si>
  <si>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</si>
  <si>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</si>
  <si>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</si>
  <si>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</si>
  <si>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</si>
  <si>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</si>
  <si>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</si>
  <si>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</si>
  <si>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</si>
  <si>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</si>
  <si>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</si>
  <si>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</si>
  <si>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</si>
  <si>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</si>
  <si>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</si>
  <si>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</si>
  <si>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</si>
  <si>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</si>
  <si>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</si>
  <si>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</si>
  <si>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</si>
  <si>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</si>
  <si>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</si>
  <si>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</si>
  <si>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</si>
  <si>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</si>
  <si>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</si>
  <si>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</si>
  <si>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</si>
  <si>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</si>
  <si>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</si>
  <si>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</si>
  <si>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</si>
  <si>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</si>
  <si>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</si>
  <si>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</si>
  <si>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</si>
  <si>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</si>
  <si>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</si>
  <si>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</si>
  <si>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</si>
  <si>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</si>
  <si>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</si>
  <si>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</si>
  <si>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</si>
  <si>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</si>
  <si>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</si>
  <si>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</si>
  <si>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</si>
  <si>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</si>
  <si>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</si>
  <si>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</si>
  <si>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</si>
  <si>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</si>
  <si>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</si>
  <si>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</si>
  <si>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</si>
  <si>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</si>
  <si>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</si>
  <si>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</si>
  <si>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</si>
  <si>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</si>
  <si>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</si>
  <si>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</si>
  <si>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</si>
  <si>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</si>
  <si>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</si>
  <si>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</si>
  <si>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</si>
  <si>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</si>
  <si>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</si>
  <si>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</si>
  <si>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</si>
  <si>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</si>
  <si>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</si>
  <si>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</si>
  <si>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</si>
  <si>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</si>
  <si>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</si>
  <si>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</si>
  <si>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</si>
  <si>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</si>
  <si>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</si>
  <si>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</si>
  <si>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</si>
  <si>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</si>
  <si>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</si>
  <si>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</si>
  <si>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</si>
  <si>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</si>
  <si>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</si>
  <si>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</si>
  <si>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</si>
  <si>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</si>
  <si>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</si>
  <si>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</si>
  <si>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</si>
  <si>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</si>
  <si>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</si>
  <si>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</si>
  <si>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</si>
  <si>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</si>
  <si>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</si>
  <si>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</si>
  <si>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</si>
  <si>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</si>
  <si>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</si>
  <si>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</si>
  <si>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</si>
  <si>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</si>
  <si>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</si>
  <si>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</si>
  <si>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</si>
  <si>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</si>
  <si>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</si>
  <si>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</si>
  <si>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</si>
  <si>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</si>
  <si>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</si>
  <si>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</si>
  <si>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</si>
  <si>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</si>
  <si>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</si>
  <si>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</si>
  <si>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</si>
  <si>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</si>
  <si>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</si>
  <si>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</si>
  <si>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</si>
  <si>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</si>
  <si>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</si>
  <si>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</si>
  <si>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</si>
  <si>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</si>
  <si>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</si>
  <si>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</si>
  <si>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</si>
  <si>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</si>
  <si>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</si>
  <si>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</si>
  <si>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</si>
  <si>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</si>
  <si>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</si>
  <si>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</si>
  <si>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</si>
  <si>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</si>
  <si>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</si>
  <si>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</si>
  <si>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</si>
  <si>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</si>
  <si>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</si>
  <si>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</si>
  <si>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</si>
  <si>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</si>
  <si>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</si>
  <si>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</si>
  <si>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</si>
  <si>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</si>
  <si>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</si>
  <si>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</si>
  <si>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</si>
  <si>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</si>
  <si>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</si>
  <si>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</si>
  <si>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</si>
  <si>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</si>
  <si>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</si>
  <si>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</si>
  <si>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</si>
  <si>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</si>
  <si>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</si>
  <si>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</si>
  <si>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</si>
  <si>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</si>
  <si>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</si>
  <si>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</si>
  <si>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</si>
  <si>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</si>
  <si>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</si>
  <si>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</si>
  <si>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</si>
  <si>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</si>
  <si>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</si>
  <si>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</si>
  <si>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</si>
  <si>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</si>
  <si>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</si>
  <si>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</si>
  <si>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</si>
  <si>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</si>
  <si>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</si>
  <si>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</si>
  <si>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</si>
  <si>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</si>
  <si>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</si>
  <si>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</si>
  <si>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</si>
  <si>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</si>
  <si>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</si>
  <si>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</si>
  <si>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</si>
  <si>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</si>
  <si>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</si>
  <si>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</si>
  <si>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</si>
  <si>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</si>
  <si>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</si>
  <si>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</si>
  <si>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</si>
  <si>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</si>
  <si>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</si>
  <si>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</si>
  <si>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</si>
  <si>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</si>
  <si>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</si>
  <si>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</si>
  <si>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</si>
  <si>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</si>
  <si>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</si>
  <si>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</si>
  <si>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</si>
  <si>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</si>
  <si>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</si>
  <si>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</si>
  <si>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</si>
  <si>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</si>
  <si>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</si>
  <si>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</si>
  <si>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</si>
  <si>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</si>
  <si>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</si>
  <si>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</si>
  <si>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</si>
  <si>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</si>
  <si>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</si>
  <si>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</si>
  <si>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</si>
  <si>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</si>
  <si>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</si>
  <si>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</si>
  <si>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</si>
  <si>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</si>
  <si>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</si>
  <si>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</si>
  <si>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</si>
  <si>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</si>
  <si>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</si>
  <si>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</si>
  <si>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</si>
  <si>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</si>
  <si>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</si>
  <si>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</si>
  <si>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</si>
  <si>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</si>
  <si>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</si>
  <si>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</si>
  <si>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</si>
  <si>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</si>
  <si>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</si>
  <si>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</si>
  <si>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</si>
  <si>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</si>
  <si>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</si>
  <si>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</si>
  <si>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</si>
  <si>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</si>
  <si>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</si>
  <si>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</si>
  <si>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</si>
  <si>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</si>
  <si>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</si>
  <si>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</si>
  <si>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</si>
  <si>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</si>
  <si>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</si>
  <si>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</si>
  <si>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</si>
  <si>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</si>
  <si>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</si>
  <si>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</si>
  <si>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</si>
  <si>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</si>
  <si>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</si>
  <si>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</si>
  <si>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</si>
  <si>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</si>
  <si>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</si>
  <si>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</si>
  <si>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</si>
  <si>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</si>
  <si>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</si>
  <si>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</si>
  <si>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</si>
  <si>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</si>
  <si>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</si>
  <si>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</si>
  <si>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</si>
  <si>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</si>
  <si>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</si>
  <si>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</si>
  <si>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</si>
  <si>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</si>
  <si>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</si>
  <si>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</si>
  <si>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</si>
  <si>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</si>
  <si>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</si>
  <si>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</si>
  <si>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</si>
  <si>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</si>
  <si>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</si>
  <si>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</si>
  <si>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</si>
  <si>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</si>
  <si>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</si>
  <si>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</si>
  <si>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</si>
  <si>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</si>
  <si>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</si>
  <si>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</si>
  <si>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</si>
  <si>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</si>
  <si>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</si>
  <si>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</si>
  <si>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</si>
  <si>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</si>
  <si>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</si>
  <si>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</si>
  <si>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</si>
  <si>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</si>
  <si>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</si>
  <si>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</si>
  <si>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</si>
  <si>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</si>
  <si>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</si>
  <si>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</si>
  <si>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</si>
  <si>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</si>
  <si>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</si>
  <si>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</si>
  <si>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</si>
  <si>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</si>
  <si>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</si>
  <si>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</si>
  <si>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</si>
  <si>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</si>
  <si>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</si>
  <si>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</si>
  <si>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</si>
  <si>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</si>
  <si>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</si>
  <si>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</si>
  <si>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</si>
  <si>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</si>
  <si>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</si>
  <si>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</si>
  <si>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</si>
  <si>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</si>
  <si>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</si>
  <si>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</si>
  <si>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</si>
  <si>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</si>
  <si>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</si>
  <si>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</si>
  <si>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</si>
  <si>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</si>
  <si>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</si>
  <si>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</si>
  <si>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</si>
  <si>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</si>
  <si>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</si>
  <si>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</si>
  <si>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</si>
  <si>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</si>
  <si>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</si>
  <si>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</si>
  <si>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</si>
  <si>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</si>
  <si>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</si>
  <si>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</si>
  <si>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</si>
  <si>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</si>
  <si>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</si>
  <si>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</si>
  <si>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</si>
  <si>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</si>
  <si>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</si>
  <si>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</si>
  <si>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</si>
  <si>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</si>
  <si>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</si>
  <si>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</si>
  <si>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</si>
  <si>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</si>
  <si>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</si>
  <si>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</si>
  <si>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</si>
  <si>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</si>
  <si>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</si>
  <si>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</si>
  <si>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</si>
  <si>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</si>
  <si>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</si>
  <si>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</si>
  <si>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</si>
  <si>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</si>
  <si>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</si>
  <si>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</si>
  <si>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</si>
  <si>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</si>
  <si>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</si>
  <si>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</si>
  <si>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</si>
  <si>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</si>
  <si>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</si>
  <si>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</si>
  <si>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</si>
  <si>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</si>
  <si>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</si>
  <si>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</si>
  <si>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</si>
  <si>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</si>
  <si>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</si>
  <si>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</si>
  <si>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</si>
  <si>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</si>
  <si>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</si>
  <si>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</si>
  <si>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</si>
  <si>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</si>
  <si>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</si>
  <si>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</si>
  <si>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</si>
  <si>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</si>
  <si>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</si>
  <si>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</si>
  <si>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</si>
  <si>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</si>
  <si>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</si>
  <si>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</si>
  <si>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</si>
  <si>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</si>
  <si>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</si>
  <si>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</si>
  <si>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</si>
  <si>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</si>
  <si>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</si>
  <si>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</si>
  <si>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</si>
  <si>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</si>
  <si>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</si>
  <si>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</si>
  <si>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</si>
  <si>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</si>
  <si>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</si>
  <si>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</si>
  <si>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</si>
  <si>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</si>
  <si>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</si>
  <si>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</si>
  <si>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</si>
  <si>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</si>
  <si>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</si>
  <si>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</si>
  <si>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</si>
  <si>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</si>
  <si>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</si>
  <si>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</si>
  <si>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</si>
  <si>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</si>
  <si>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</si>
  <si>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</si>
  <si>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</si>
  <si>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</si>
  <si>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</si>
  <si>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</si>
  <si>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</si>
  <si>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</si>
  <si>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</si>
  <si>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</si>
  <si>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</si>
  <si>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</si>
  <si>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</si>
  <si>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</si>
  <si>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</si>
  <si>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</si>
  <si>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</si>
  <si>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</si>
  <si>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</si>
  <si>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</si>
  <si>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</si>
  <si>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</si>
  <si>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</si>
  <si>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</si>
  <si>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</si>
  <si>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</si>
  <si>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</si>
  <si>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</si>
  <si>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</si>
  <si>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</si>
  <si>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</si>
  <si>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</si>
  <si>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</si>
  <si>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</si>
  <si>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</si>
  <si>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</si>
  <si>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</si>
  <si>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</si>
  <si>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</si>
  <si>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</si>
  <si>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</si>
  <si>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</si>
  <si>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</si>
  <si>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</si>
  <si>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</si>
  <si>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</si>
  <si>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</si>
  <si>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</si>
  <si>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</si>
  <si>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</si>
  <si>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</si>
  <si>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</si>
  <si>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</si>
  <si>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</si>
  <si>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</si>
  <si>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</si>
  <si>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</si>
  <si>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</si>
  <si>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</si>
  <si>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</si>
  <si>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</si>
  <si>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</si>
  <si>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</si>
  <si>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</si>
  <si>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</si>
  <si>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</si>
  <si>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</si>
  <si>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</si>
  <si>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</si>
  <si>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</si>
  <si>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</si>
  <si>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</si>
  <si>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</si>
  <si>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</si>
  <si>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</si>
  <si>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</si>
  <si>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</si>
  <si>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</si>
  <si>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</si>
  <si>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</si>
  <si>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</si>
  <si>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</si>
  <si>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</si>
  <si>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</si>
  <si>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</si>
  <si>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</si>
  <si>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</si>
  <si>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</si>
  <si>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</si>
  <si>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</si>
  <si>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</si>
  <si>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</si>
  <si>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</si>
  <si>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</si>
  <si>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</si>
  <si>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</si>
  <si>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</si>
  <si>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</si>
  <si>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</si>
  <si>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</si>
  <si>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</si>
  <si>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</si>
  <si>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</si>
  <si>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</si>
  <si>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</si>
  <si>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</si>
  <si>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</si>
  <si>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</si>
  <si>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</si>
  <si>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</si>
  <si>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</si>
  <si>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</si>
  <si>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</si>
  <si>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</si>
  <si>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</si>
  <si>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</si>
  <si>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</si>
  <si>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</si>
  <si>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</si>
  <si>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</si>
  <si>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</si>
  <si>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</si>
  <si>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</si>
  <si>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</si>
  <si>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</si>
  <si>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</si>
  <si>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</si>
  <si>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</si>
  <si>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</si>
  <si>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</si>
  <si>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</si>
  <si>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</si>
  <si>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</si>
  <si>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</si>
  <si>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</si>
  <si>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</si>
  <si>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</si>
  <si>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</si>
  <si>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</si>
  <si>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</si>
  <si>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</si>
  <si>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</si>
  <si>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</si>
  <si>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</si>
  <si>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</si>
  <si>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</si>
  <si>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</si>
  <si>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</si>
  <si>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</si>
  <si>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</si>
  <si>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</si>
  <si>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</si>
  <si>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</si>
  <si>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</si>
  <si>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</si>
  <si>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</si>
  <si>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</si>
  <si>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</si>
  <si>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</si>
  <si>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</si>
  <si>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</si>
  <si>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</si>
  <si>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</si>
  <si>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</si>
  <si>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</si>
  <si>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</si>
  <si>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</si>
  <si>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</si>
  <si>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</si>
  <si>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</si>
  <si>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</si>
  <si>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</si>
  <si>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</si>
  <si>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</si>
  <si>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</si>
  <si>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</si>
  <si>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</si>
  <si>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</si>
  <si>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</si>
  <si>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</si>
  <si>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</si>
  <si>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</si>
  <si>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</si>
  <si>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</si>
  <si>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</si>
  <si>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</si>
  <si>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</si>
  <si>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</si>
  <si>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</si>
  <si>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</si>
  <si>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</si>
  <si>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</si>
  <si>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</si>
  <si>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</si>
  <si>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</si>
  <si>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</si>
  <si>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</si>
  <si>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</si>
  <si>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</si>
  <si>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</si>
  <si>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</si>
  <si>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</si>
  <si>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</si>
  <si>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</si>
  <si>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</si>
  <si>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</si>
  <si>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</si>
  <si>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</si>
  <si>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</si>
  <si>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</si>
  <si>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</si>
  <si>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</si>
  <si>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</si>
  <si>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</si>
  <si>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</si>
  <si>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JOHNSON</t>
  </si>
  <si>
    <t>PO BOX 427</t>
  </si>
  <si>
    <t>VIENNA</t>
  </si>
  <si>
    <t>X</t>
  </si>
  <si>
    <t>GREG FREHNER</t>
  </si>
  <si>
    <t>GFREHNER@VIENNAGRADESCHOOL.COM</t>
  </si>
  <si>
    <t>618-658-8638</t>
  </si>
  <si>
    <t>618-658-9036</t>
  </si>
  <si>
    <t>BOTSCH &amp; ASSOCIATES, CPA'S, LLC</t>
  </si>
  <si>
    <t>ARLYNNE STROMAN, CPA</t>
  </si>
  <si>
    <t>113 E. MAIN ST.</t>
  </si>
  <si>
    <t>CARMI</t>
  </si>
  <si>
    <t>IL</t>
  </si>
  <si>
    <t>618-382-4151</t>
  </si>
  <si>
    <t>618-382-4153</t>
  </si>
  <si>
    <t>066-003657</t>
  </si>
  <si>
    <t>ARLYNNE@BOTSCH.COM</t>
  </si>
  <si>
    <t>2011 ISSUE SCHOOL REFUNDING BONDS</t>
  </si>
  <si>
    <t>FUNDING BOND SERIES 2008A</t>
  </si>
  <si>
    <t>REFUNDING SCHOOL BONDS SERIES 2014</t>
  </si>
  <si>
    <t>BUS LOAN</t>
  </si>
  <si>
    <t>BUS LOAN 2</t>
  </si>
  <si>
    <t>Page 9, Line 17, Acct #1290</t>
  </si>
  <si>
    <t>Property taxes</t>
  </si>
  <si>
    <t>Page 10, Line 74, Acct # 1690</t>
  </si>
  <si>
    <t>Page 10, Line 81, Acct # 1790</t>
  </si>
  <si>
    <t>Ballgame and event canteen sales</t>
  </si>
  <si>
    <t>Page 10, Line 107, Acct #1999</t>
  </si>
  <si>
    <t xml:space="preserve">Fund 10 - Kindergarten snacks $850; Lost library books $204; Olympiad $1,000; Yearbooks $137; Fundraiser $288; </t>
  </si>
  <si>
    <t>Page 11, Line 113, Acct #2300</t>
  </si>
  <si>
    <t xml:space="preserve">JAMP Special Ed </t>
  </si>
  <si>
    <t>Page 12, Line 171, Acct #3999</t>
  </si>
  <si>
    <t>IL State Library Grant</t>
  </si>
  <si>
    <t>Page 15, Line 41, Acct #2190</t>
  </si>
  <si>
    <t>Page 18, Line 171, Acct #5400</t>
  </si>
  <si>
    <t>Bond fees</t>
  </si>
  <si>
    <t>Special need aide salaries $31,805 and canteen supplies for resale $6,971</t>
  </si>
  <si>
    <t>Page 19, Line 237, Acct #2190</t>
  </si>
  <si>
    <t>Special needs expense</t>
  </si>
  <si>
    <t>Page 25, Line 10</t>
  </si>
  <si>
    <t>Special Ed Extraordinary $28,097 and Special Ed Personnel $27,650</t>
  </si>
  <si>
    <t>Audit Check #8</t>
  </si>
  <si>
    <t xml:space="preserve">Total Long-Term Debt (Principal) Retired (P18, Cells H170) $85,000 must = Debt Service - Long-Term Debt (Principal) Retired </t>
  </si>
  <si>
    <t>(P24, Cells H49) $114,369.  The difference of $29,369 is the bus loans paid from the Transportation Fund.</t>
  </si>
  <si>
    <t>Cafeteria use</t>
  </si>
  <si>
    <t>Cache River Wetlands Grant $250; Cafeteria use $25.  Fund 40 - Sale of bus $1,250; Rebate $20; Miscellaneous $24</t>
  </si>
  <si>
    <t>ED-Instruction-Purchased Services</t>
  </si>
  <si>
    <t>B K Electronics</t>
  </si>
  <si>
    <t>10-1000-300</t>
  </si>
  <si>
    <t>ED-Support Services-Purchased Services</t>
  </si>
  <si>
    <t>10-2300-300</t>
  </si>
  <si>
    <t>Botsch &amp; Associates</t>
  </si>
  <si>
    <t>Vienna SD 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</si>
</sst>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66675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v>21044055002</v>
      </c>
      <c r="B13" s="2004"/>
      <c r="C13" s="2004"/>
      <c r="D13" s="2004"/>
      <c r="E13" s="2004"/>
      <c r="F13" s="2004"/>
      <c r="G13" s="2004"/>
      <c r="H13" s="2005"/>
      <c r="I13" s="31"/>
      <c r="J13" s="30"/>
      <c r="K13" s="28"/>
      <c r="L13" s="30"/>
      <c r="M13" s="30"/>
      <c r="N13" s="30"/>
      <c r="O13" s="30"/>
      <c r="P13" s="30"/>
      <c r="Q13" s="30"/>
      <c r="R13" s="30"/>
      <c r="S13" s="30"/>
      <c r="T13" s="2008" t="s">
        <v>2086</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2078</v>
      </c>
      <c r="B15" s="2006"/>
      <c r="C15" s="2006"/>
      <c r="D15" s="2006"/>
      <c r="E15" s="2006"/>
      <c r="F15" s="2006"/>
      <c r="G15" s="2006"/>
      <c r="H15" s="2007"/>
      <c r="T15" s="1969" t="s">
        <v>2087</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2130</v>
      </c>
      <c r="B17" s="2031"/>
      <c r="C17" s="2031"/>
      <c r="D17" s="2031"/>
      <c r="E17" s="2031"/>
      <c r="F17" s="2031"/>
      <c r="G17" s="2031"/>
      <c r="H17" s="2032"/>
      <c r="T17" s="2018" t="s">
        <v>2088</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2079</v>
      </c>
      <c r="B19" s="2002"/>
      <c r="C19" s="2002"/>
      <c r="D19" s="2002"/>
      <c r="E19" s="2002"/>
      <c r="F19" s="2002"/>
      <c r="G19" s="2002"/>
      <c r="H19" s="2000"/>
      <c r="I19" s="30"/>
      <c r="J19" s="99"/>
      <c r="K19" s="40"/>
      <c r="L19" s="38"/>
      <c r="M19" s="112" t="s">
        <v>333</v>
      </c>
      <c r="P19" s="27"/>
      <c r="Q19" s="27"/>
      <c r="R19" s="27"/>
      <c r="S19" s="31"/>
      <c r="T19" s="2001" t="s">
        <v>2089</v>
      </c>
      <c r="U19" s="1999"/>
      <c r="V19" s="1999"/>
      <c r="W19" s="2000"/>
      <c r="X19" s="2016" t="s">
        <v>2090</v>
      </c>
      <c r="Y19" s="2017"/>
      <c r="Z19" s="2014">
        <v>62821</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2080</v>
      </c>
      <c r="B21" s="1999"/>
      <c r="C21" s="1999"/>
      <c r="D21" s="1999"/>
      <c r="E21" s="1999"/>
      <c r="F21" s="1999"/>
      <c r="G21" s="1999"/>
      <c r="H21" s="2000"/>
      <c r="I21" s="2024" t="s">
        <v>699</v>
      </c>
      <c r="J21" s="1987"/>
      <c r="K21" s="1987"/>
      <c r="L21" s="1987"/>
      <c r="M21" s="1987"/>
      <c r="N21" s="1987"/>
      <c r="O21" s="1987"/>
      <c r="P21" s="1987"/>
      <c r="Q21" s="1987"/>
      <c r="R21" s="1987"/>
      <c r="S21" s="1988"/>
      <c r="T21" s="1966" t="s">
        <v>2091</v>
      </c>
      <c r="U21" s="1967"/>
      <c r="V21" s="1967"/>
      <c r="W21" s="1967"/>
      <c r="X21" s="1980" t="s">
        <v>2092</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c r="B23" s="2022"/>
      <c r="C23" s="2022"/>
      <c r="D23" s="2022"/>
      <c r="E23" s="2022"/>
      <c r="F23" s="2022"/>
      <c r="G23" s="2022"/>
      <c r="H23" s="2023"/>
      <c r="T23" s="1961" t="s">
        <v>2093</v>
      </c>
      <c r="U23" s="1962"/>
      <c r="V23" s="1962"/>
      <c r="W23" s="1962"/>
      <c r="X23" s="1977">
        <v>43434</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62995</v>
      </c>
      <c r="B25" s="1999"/>
      <c r="C25" s="1999"/>
      <c r="D25" s="1999"/>
      <c r="E25" s="1999"/>
      <c r="F25" s="1999"/>
      <c r="G25" s="1999"/>
      <c r="H25" s="2000"/>
      <c r="I25" s="113"/>
      <c r="J25" s="2065"/>
      <c r="K25" s="2065"/>
      <c r="L25" s="2065"/>
      <c r="M25" s="2065"/>
      <c r="N25" s="2065"/>
      <c r="O25" s="2065"/>
      <c r="P25" s="2065"/>
      <c r="Q25" s="2065"/>
      <c r="R25" s="2065"/>
      <c r="S25" s="2066"/>
      <c r="T25" s="1958" t="s">
        <v>2094</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2081</v>
      </c>
      <c r="M29" s="40" t="s">
        <v>101</v>
      </c>
      <c r="N29" s="32" t="s">
        <v>1604</v>
      </c>
      <c r="O29" s="32"/>
      <c r="P29" s="32"/>
      <c r="Q29" s="32"/>
      <c r="R29" s="32"/>
      <c r="S29" s="123"/>
      <c r="T29" s="6"/>
      <c r="U29" s="6"/>
      <c r="V29" s="6"/>
      <c r="W29" s="6"/>
      <c r="X29" s="6"/>
      <c r="Y29" s="6"/>
      <c r="Z29" s="6"/>
      <c r="AA29" s="132"/>
    </row>
    <row r="30" spans="1:27" ht="13.5" customHeight="1" x14ac:dyDescent="0.2">
      <c r="A30" s="153"/>
      <c r="B30" s="136" t="s">
        <v>2081</v>
      </c>
      <c r="C30" s="124" t="s">
        <v>1226</v>
      </c>
      <c r="D30" s="28"/>
      <c r="E30" s="28"/>
      <c r="F30" s="140"/>
      <c r="G30" s="114"/>
      <c r="H30" s="114"/>
      <c r="I30" s="54"/>
      <c r="J30" s="102"/>
      <c r="K30" s="28" t="s">
        <v>597</v>
      </c>
      <c r="L30" s="148" t="s">
        <v>2081</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2081</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t="s">
        <v>2082</v>
      </c>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t="s">
        <v>2083</v>
      </c>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t="s">
        <v>2084</v>
      </c>
      <c r="B42" s="2048"/>
      <c r="C42" s="2049"/>
      <c r="D42" s="2062" t="s">
        <v>2085</v>
      </c>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0" t="s">
        <v>1905</v>
      </c>
      <c r="B2" s="1549" t="s">
        <v>2035</v>
      </c>
      <c r="C2" s="715" t="s">
        <v>1910</v>
      </c>
      <c r="D2" s="715" t="s">
        <v>1911</v>
      </c>
      <c r="E2" s="715" t="s">
        <v>1912</v>
      </c>
      <c r="F2" s="715" t="s">
        <v>1913</v>
      </c>
    </row>
    <row r="3" spans="1:6" ht="12" customHeight="1" x14ac:dyDescent="0.2">
      <c r="A3" s="2201"/>
      <c r="B3" s="1546"/>
      <c r="C3" s="1547"/>
      <c r="D3" s="1548" t="s">
        <v>274</v>
      </c>
      <c r="E3" s="1547"/>
      <c r="F3" s="1548" t="s">
        <v>275</v>
      </c>
    </row>
    <row r="4" spans="1:6" ht="13.7" customHeight="1" x14ac:dyDescent="0.2">
      <c r="A4" s="716" t="s">
        <v>1217</v>
      </c>
      <c r="B4" s="1770">
        <f>'Revenues 9-14'!C5</f>
        <v>306779</v>
      </c>
      <c r="C4" s="1545"/>
      <c r="D4" s="1773">
        <f>B4-C4</f>
        <v>306779</v>
      </c>
      <c r="E4" s="1545">
        <v>339764</v>
      </c>
      <c r="F4" s="1773">
        <f>E4-C4</f>
        <v>339764</v>
      </c>
    </row>
    <row r="5" spans="1:6" ht="13.7" customHeight="1" x14ac:dyDescent="0.2">
      <c r="A5" s="716" t="s">
        <v>925</v>
      </c>
      <c r="B5" s="1771">
        <f>'Revenues 9-14'!D5</f>
        <v>83364</v>
      </c>
      <c r="C5" s="585"/>
      <c r="D5" s="1774">
        <f t="shared" ref="D5:D18" si="0">B5-C5</f>
        <v>83364</v>
      </c>
      <c r="E5" s="585">
        <v>92327</v>
      </c>
      <c r="F5" s="1774">
        <f>E5-C5</f>
        <v>92327</v>
      </c>
    </row>
    <row r="6" spans="1:6" ht="13.7" customHeight="1" x14ac:dyDescent="0.2">
      <c r="A6" s="716" t="s">
        <v>431</v>
      </c>
      <c r="B6" s="1771">
        <f>'Revenues 9-14'!E5</f>
        <v>200683</v>
      </c>
      <c r="C6" s="585"/>
      <c r="D6" s="1774">
        <f t="shared" si="0"/>
        <v>200683</v>
      </c>
      <c r="E6" s="585">
        <v>207968</v>
      </c>
      <c r="F6" s="1774">
        <f t="shared" ref="F6:F18" si="1">E6-C6</f>
        <v>207968</v>
      </c>
    </row>
    <row r="7" spans="1:6" ht="13.7" customHeight="1" x14ac:dyDescent="0.2">
      <c r="A7" s="716" t="s">
        <v>157</v>
      </c>
      <c r="B7" s="1771">
        <f>'Revenues 9-14'!F5</f>
        <v>40015</v>
      </c>
      <c r="C7" s="585"/>
      <c r="D7" s="1774">
        <f t="shared" si="0"/>
        <v>40015</v>
      </c>
      <c r="E7" s="585">
        <v>44317</v>
      </c>
      <c r="F7" s="1774">
        <f t="shared" si="1"/>
        <v>44317</v>
      </c>
    </row>
    <row r="8" spans="1:6" ht="13.7" customHeight="1" x14ac:dyDescent="0.2">
      <c r="A8" s="716" t="s">
        <v>1241</v>
      </c>
      <c r="B8" s="1771">
        <f>'Revenues 9-14'!G5</f>
        <v>85684</v>
      </c>
      <c r="C8" s="585"/>
      <c r="D8" s="1774">
        <f t="shared" si="0"/>
        <v>85684</v>
      </c>
      <c r="E8" s="585">
        <v>78900</v>
      </c>
      <c r="F8" s="1774">
        <f t="shared" si="1"/>
        <v>78900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16673</v>
      </c>
      <c r="C10" s="585"/>
      <c r="D10" s="1774">
        <f t="shared" si="0"/>
        <v>16673</v>
      </c>
      <c r="E10" s="585">
        <v>18465</v>
      </c>
      <c r="F10" s="1774">
        <f t="shared" si="1"/>
        <v>18465</v>
      </c>
    </row>
    <row r="11" spans="1:6" x14ac:dyDescent="0.2">
      <c r="A11" s="716" t="s">
        <v>429</v>
      </c>
      <c r="B11" s="1771">
        <f>'Revenues 9-14'!J5</f>
        <v>155964</v>
      </c>
      <c r="C11" s="585"/>
      <c r="D11" s="1774">
        <f t="shared" si="0"/>
        <v>155964</v>
      </c>
      <c r="E11" s="585">
        <v>176325</v>
      </c>
      <c r="F11" s="1774">
        <f t="shared" si="1"/>
        <v>176325</v>
      </c>
    </row>
    <row r="12" spans="1:6" ht="13.7" customHeight="1" x14ac:dyDescent="0.2">
      <c r="A12" s="716" t="s">
        <v>159</v>
      </c>
      <c r="B12" s="1771">
        <f>'Revenues 9-14'!K5</f>
        <v>16673</v>
      </c>
      <c r="C12" s="585"/>
      <c r="D12" s="1774">
        <f t="shared" si="0"/>
        <v>16673</v>
      </c>
      <c r="E12" s="585">
        <v>18465</v>
      </c>
      <c r="F12" s="1774">
        <f t="shared" si="1"/>
        <v>18465</v>
      </c>
    </row>
    <row r="13" spans="1:6" ht="13.7" customHeight="1" x14ac:dyDescent="0.2">
      <c r="A13" s="716" t="s">
        <v>993</v>
      </c>
      <c r="B13" s="1771">
        <f>SUM('Revenues 9-14'!C6:D6)</f>
        <v>16851</v>
      </c>
      <c r="C13" s="585"/>
      <c r="D13" s="1774">
        <f t="shared" si="0"/>
        <v>16851</v>
      </c>
      <c r="E13" s="585">
        <v>18465</v>
      </c>
      <c r="F13" s="1774">
        <f t="shared" si="1"/>
        <v>18465</v>
      </c>
    </row>
    <row r="14" spans="1:6" ht="13.7" customHeight="1" x14ac:dyDescent="0.2">
      <c r="A14" s="716" t="s">
        <v>430</v>
      </c>
      <c r="B14" s="1771">
        <f>SUM('Revenues 9-14'!C7:D7,'Revenues 9-14'!F7:H7)</f>
        <v>6740</v>
      </c>
      <c r="C14" s="585"/>
      <c r="D14" s="1774">
        <f t="shared" si="0"/>
        <v>6740</v>
      </c>
      <c r="E14" s="585">
        <v>7386</v>
      </c>
      <c r="F14" s="1774">
        <f t="shared" si="1"/>
        <v>7386</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69382</v>
      </c>
      <c r="C16" s="585"/>
      <c r="D16" s="1774">
        <f t="shared" si="0"/>
        <v>69382</v>
      </c>
      <c r="E16" s="585">
        <v>68000</v>
      </c>
      <c r="F16" s="1774">
        <f t="shared" si="1"/>
        <v>68000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998808</v>
      </c>
      <c r="C19" s="1772">
        <f>SUM(C4:C18)</f>
        <v>0</v>
      </c>
      <c r="D19" s="1772">
        <f>SUM(D4:D18)</f>
        <v>998808</v>
      </c>
      <c r="E19" s="1772">
        <f>SUM(E4:E18)</f>
        <v>1070382</v>
      </c>
      <c r="F19" s="1772">
        <f>SUM(F4:F18)</f>
        <v>1070382</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J34" sqref="J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8" t="s">
        <v>2036</v>
      </c>
      <c r="D2" s="724" t="s">
        <v>2043</v>
      </c>
      <c r="E2" s="724" t="s">
        <v>2044</v>
      </c>
      <c r="F2" s="1908" t="s">
        <v>2037</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6">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04" t="s">
        <v>652</v>
      </c>
      <c r="B15" s="2205"/>
      <c r="C15" s="1776">
        <f>SUM(C6:C14)</f>
        <v>0</v>
      </c>
      <c r="D15" s="1776">
        <f>SUM(D6:D14)</f>
        <v>0</v>
      </c>
      <c r="E15" s="1776">
        <f>SUM(E6:E14)</f>
        <v>0</v>
      </c>
      <c r="F15" s="1776">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6">
        <f>SUM(C17+D17)-E17</f>
        <v>0</v>
      </c>
    </row>
    <row r="18" spans="1:11" ht="12.75" customHeight="1" thickTop="1" thickBot="1" x14ac:dyDescent="0.25">
      <c r="A18" s="2227" t="s">
        <v>6</v>
      </c>
      <c r="B18" s="2228"/>
      <c r="C18" s="727"/>
      <c r="D18" s="585"/>
      <c r="E18" s="727"/>
      <c r="F18" s="1776">
        <f>SUM(C18+D18)-E18</f>
        <v>0</v>
      </c>
    </row>
    <row r="19" spans="1:11" ht="12.75" customHeight="1" thickTop="1" thickBot="1" x14ac:dyDescent="0.25">
      <c r="A19" s="2227" t="s">
        <v>406</v>
      </c>
      <c r="B19" s="2228"/>
      <c r="C19" s="727"/>
      <c r="D19" s="585"/>
      <c r="E19" s="727"/>
      <c r="F19" s="1776">
        <f>SUM(C19+D19)-E19</f>
        <v>0</v>
      </c>
    </row>
    <row r="20" spans="1:11" ht="12.75" customHeight="1" thickTop="1" thickBot="1" x14ac:dyDescent="0.25">
      <c r="A20" s="2227" t="s">
        <v>468</v>
      </c>
      <c r="B20" s="2228"/>
      <c r="C20" s="727"/>
      <c r="D20" s="585"/>
      <c r="E20" s="727"/>
      <c r="F20" s="1776">
        <f>SUM(C20+D20)-E20</f>
        <v>0</v>
      </c>
    </row>
    <row r="21" spans="1:11" ht="14.25" thickTop="1" thickBot="1" x14ac:dyDescent="0.25">
      <c r="A21" s="2204" t="s">
        <v>653</v>
      </c>
      <c r="B21" s="2205"/>
      <c r="C21" s="1776">
        <f>SUM(C17:C20)</f>
        <v>0</v>
      </c>
      <c r="D21" s="1776">
        <f>SUM(D17:D20)</f>
        <v>0</v>
      </c>
      <c r="E21" s="1776">
        <f>SUM(E17:E20)</f>
        <v>0</v>
      </c>
      <c r="F21" s="1776">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6">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6">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6">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0"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2095</v>
      </c>
      <c r="B31" s="734">
        <v>36661</v>
      </c>
      <c r="C31" s="735">
        <v>915000</v>
      </c>
      <c r="D31" s="736">
        <v>3</v>
      </c>
      <c r="E31" s="735">
        <v>220000</v>
      </c>
      <c r="F31" s="735"/>
      <c r="G31" s="735"/>
      <c r="H31" s="735">
        <v>70000</v>
      </c>
      <c r="I31" s="1777">
        <f>((E31+F31)-H31)+G31</f>
        <v>150000</v>
      </c>
      <c r="J31" s="735">
        <v>150000</v>
      </c>
      <c r="K31" s="737"/>
    </row>
    <row r="32" spans="1:11" ht="12" customHeight="1" x14ac:dyDescent="0.2">
      <c r="A32" s="733" t="s">
        <v>2096</v>
      </c>
      <c r="B32" s="734">
        <v>39630</v>
      </c>
      <c r="C32" s="735">
        <v>1050000</v>
      </c>
      <c r="D32" s="736">
        <v>2</v>
      </c>
      <c r="E32" s="735">
        <v>1025000</v>
      </c>
      <c r="F32" s="735"/>
      <c r="G32" s="735"/>
      <c r="H32" s="735">
        <v>15000</v>
      </c>
      <c r="I32" s="1777">
        <f>((E32+F32)-H32)+G32</f>
        <v>1010000</v>
      </c>
      <c r="J32" s="735">
        <v>1010000</v>
      </c>
      <c r="K32" s="737"/>
    </row>
    <row r="33" spans="1:11" ht="12" customHeight="1" x14ac:dyDescent="0.2">
      <c r="A33" s="733" t="s">
        <v>2097</v>
      </c>
      <c r="B33" s="734">
        <v>41905</v>
      </c>
      <c r="C33" s="735">
        <v>1070000</v>
      </c>
      <c r="D33" s="736">
        <v>3</v>
      </c>
      <c r="E33" s="735">
        <v>1070000</v>
      </c>
      <c r="F33" s="735"/>
      <c r="G33" s="735"/>
      <c r="H33" s="735"/>
      <c r="I33" s="1777">
        <f t="shared" ref="I33:I48" si="1">((E33+F33)-H33)+G33</f>
        <v>1070000</v>
      </c>
      <c r="J33" s="735">
        <v>1041518</v>
      </c>
      <c r="K33" s="737"/>
    </row>
    <row r="34" spans="1:11" ht="12" customHeight="1" x14ac:dyDescent="0.2">
      <c r="A34" s="733" t="s">
        <v>2098</v>
      </c>
      <c r="B34" s="734">
        <v>41821</v>
      </c>
      <c r="C34" s="735">
        <v>72621</v>
      </c>
      <c r="D34" s="736">
        <v>7</v>
      </c>
      <c r="E34" s="735">
        <v>29597</v>
      </c>
      <c r="F34" s="735"/>
      <c r="G34" s="735"/>
      <c r="H34" s="735">
        <v>14526</v>
      </c>
      <c r="I34" s="1777">
        <f t="shared" si="1"/>
        <v>15071</v>
      </c>
      <c r="J34" s="735">
        <v>15071</v>
      </c>
      <c r="K34" s="738"/>
    </row>
    <row r="35" spans="1:11" ht="12" customHeight="1" x14ac:dyDescent="0.2">
      <c r="A35" s="733" t="s">
        <v>2099</v>
      </c>
      <c r="B35" s="734">
        <v>42401</v>
      </c>
      <c r="C35" s="739">
        <v>95457</v>
      </c>
      <c r="D35" s="736">
        <v>7</v>
      </c>
      <c r="E35" s="739">
        <v>65302</v>
      </c>
      <c r="F35" s="739"/>
      <c r="G35" s="739"/>
      <c r="H35" s="739">
        <v>14843</v>
      </c>
      <c r="I35" s="1777">
        <f t="shared" si="1"/>
        <v>50459</v>
      </c>
      <c r="J35" s="739">
        <v>50459</v>
      </c>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3203078</v>
      </c>
      <c r="D49" s="746"/>
      <c r="E49" s="1777">
        <f t="shared" ref="E49:J49" si="2">SUM(E31:E48)</f>
        <v>2409899</v>
      </c>
      <c r="F49" s="1777">
        <f t="shared" si="2"/>
        <v>0</v>
      </c>
      <c r="G49" s="1777">
        <f t="shared" si="2"/>
        <v>0</v>
      </c>
      <c r="H49" s="1777">
        <f t="shared" si="2"/>
        <v>114369</v>
      </c>
      <c r="I49" s="1777">
        <f t="shared" si="2"/>
        <v>2295530</v>
      </c>
      <c r="J49" s="1777">
        <f t="shared" si="2"/>
        <v>2267048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t="s">
        <v>2098</v>
      </c>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1"/>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v>0</v>
      </c>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6740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8" t="s">
        <v>1920</v>
      </c>
      <c r="B10" s="2231"/>
      <c r="C10" s="2231"/>
      <c r="D10" s="2231"/>
      <c r="E10" s="2260"/>
      <c r="F10" s="784" t="s">
        <v>917</v>
      </c>
      <c r="G10" s="783"/>
      <c r="H10" s="785">
        <v>55747</v>
      </c>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8"/>
      <c r="G12" s="1779">
        <f>SUM(G5:G11)</f>
        <v>0</v>
      </c>
      <c r="H12" s="1779">
        <f>SUM(H5:H11)</f>
        <v>62487</v>
      </c>
      <c r="I12" s="1779">
        <f>SUM(I5:I11)</f>
        <v>0</v>
      </c>
      <c r="J12" s="1779">
        <f>SUM(J5:J11)</f>
        <v>0</v>
      </c>
      <c r="K12" s="1779">
        <f>SUM(K5:K11)</f>
        <v>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62487</v>
      </c>
      <c r="I14" s="772"/>
      <c r="J14" s="774"/>
      <c r="K14" s="766"/>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80"/>
      <c r="G21" s="793"/>
      <c r="H21" s="797"/>
      <c r="I21" s="797"/>
      <c r="J21" s="1781">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2"/>
      <c r="G23" s="1779">
        <f>SUM(G14:G16,G21,G22)</f>
        <v>0</v>
      </c>
      <c r="H23" s="1779">
        <f>SUM(H14:H16,H21,H22)</f>
        <v>62487</v>
      </c>
      <c r="I23" s="1779">
        <f>SUM(I14:I16,I21,I22)</f>
        <v>0</v>
      </c>
      <c r="J23" s="1779">
        <f>SUM(J14:J16,J21,J22)</f>
        <v>0</v>
      </c>
      <c r="K23" s="1779">
        <f>SUM(K14:K16,K21,K22)</f>
        <v>0</v>
      </c>
    </row>
    <row r="24" spans="1:11" ht="14.25" thickTop="1" thickBot="1" x14ac:dyDescent="0.25">
      <c r="A24" s="2252" t="s">
        <v>2024</v>
      </c>
      <c r="B24" s="2251"/>
      <c r="C24" s="2251"/>
      <c r="D24" s="2251"/>
      <c r="E24" s="2251"/>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8" sqref="J8"/>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v>127186</v>
      </c>
      <c r="D5" s="842"/>
      <c r="E5" s="842"/>
      <c r="F5" s="1781">
        <f>(C5+D5)-E5</f>
        <v>127186</v>
      </c>
      <c r="G5" s="838"/>
      <c r="H5" s="843"/>
      <c r="I5" s="843"/>
      <c r="J5" s="843"/>
      <c r="K5" s="794"/>
      <c r="L5" s="1790">
        <f>F5-K5</f>
        <v>127186</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v>6195381</v>
      </c>
      <c r="D8" s="845"/>
      <c r="E8" s="845"/>
      <c r="F8" s="1781">
        <f>(C8+D8)-E8</f>
        <v>6195381</v>
      </c>
      <c r="G8" s="844">
        <v>50</v>
      </c>
      <c r="H8" s="766">
        <v>1746424</v>
      </c>
      <c r="I8" s="766">
        <v>88979</v>
      </c>
      <c r="J8" s="766"/>
      <c r="K8" s="1790">
        <f>(H8+I8)-J8</f>
        <v>1835403</v>
      </c>
      <c r="L8" s="1790">
        <f>F8-K8</f>
        <v>4359978</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v>422014</v>
      </c>
      <c r="D10" s="847"/>
      <c r="E10" s="847"/>
      <c r="F10" s="1785">
        <f>(C10+D10)-E10</f>
        <v>422014</v>
      </c>
      <c r="G10" s="844">
        <v>20</v>
      </c>
      <c r="H10" s="848">
        <v>191688</v>
      </c>
      <c r="I10" s="848">
        <v>11517</v>
      </c>
      <c r="J10" s="848"/>
      <c r="K10" s="1790">
        <f>(H10+I10)-J10</f>
        <v>203205</v>
      </c>
      <c r="L10" s="1790">
        <f>F10-K10</f>
        <v>218809</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864075</v>
      </c>
      <c r="D12" s="845">
        <v>33476</v>
      </c>
      <c r="E12" s="845"/>
      <c r="F12" s="1781">
        <f>(C12+D12)-E12</f>
        <v>897551</v>
      </c>
      <c r="G12" s="844">
        <v>10</v>
      </c>
      <c r="H12" s="766">
        <v>652039</v>
      </c>
      <c r="I12" s="766">
        <v>24551</v>
      </c>
      <c r="J12" s="766"/>
      <c r="K12" s="1790">
        <f>(H12+I12)-J12</f>
        <v>676590</v>
      </c>
      <c r="L12" s="1790">
        <f>F12-K12</f>
        <v>220961</v>
      </c>
    </row>
    <row r="13" spans="1:14" ht="14.25" thickTop="1" thickBot="1" x14ac:dyDescent="0.25">
      <c r="A13" s="849" t="s">
        <v>1184</v>
      </c>
      <c r="B13" s="841">
        <v>252</v>
      </c>
      <c r="C13" s="845">
        <v>479679</v>
      </c>
      <c r="D13" s="845"/>
      <c r="E13" s="845">
        <v>130565</v>
      </c>
      <c r="F13" s="1781">
        <f>(C13+D13)-E13</f>
        <v>349114</v>
      </c>
      <c r="G13" s="844">
        <v>5</v>
      </c>
      <c r="H13" s="766">
        <v>374118</v>
      </c>
      <c r="I13" s="766">
        <v>29367</v>
      </c>
      <c r="J13" s="766">
        <v>130565</v>
      </c>
      <c r="K13" s="1790">
        <f>(H13+I13)-J13</f>
        <v>272920</v>
      </c>
      <c r="L13" s="1790">
        <f>F13-K13</f>
        <v>76194</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8088335</v>
      </c>
      <c r="D16" s="1781">
        <f>SUM(D3,D5:D6,D8:D10,D12:D15)</f>
        <v>33476</v>
      </c>
      <c r="E16" s="1781">
        <f>SUM(E3,E5:E6,E8:E10,E12:E15)</f>
        <v>130565</v>
      </c>
      <c r="F16" s="1781">
        <f>SUM(F3,F5:F6,F8:F10,F12:F15)</f>
        <v>7991246</v>
      </c>
      <c r="G16" s="844"/>
      <c r="H16" s="1781">
        <f>SUM(H3,H6,H8:H10,H12:H14,)</f>
        <v>2964269</v>
      </c>
      <c r="I16" s="1781">
        <f>SUM(I3,I6,I8:I10,I12:I14,)</f>
        <v>154414</v>
      </c>
      <c r="J16" s="1781">
        <f>SUM(J3,J6,J8:J10,J12:J14,)</f>
        <v>130565</v>
      </c>
      <c r="K16" s="1781">
        <f>(H16+I16)-J16</f>
        <v>2988118</v>
      </c>
      <c r="L16" s="1781">
        <f>F16-K16</f>
        <v>5003128</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154414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activeCell="A47" sqref="A47"/>
      <selection pane="bottomLeft" activeCell="B189" sqref="B18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2882394</v>
      </c>
      <c r="G8" s="866"/>
    </row>
    <row r="9" spans="1:7" x14ac:dyDescent="0.2">
      <c r="A9" s="870" t="s">
        <v>480</v>
      </c>
      <c r="B9" s="871" t="s">
        <v>1988</v>
      </c>
      <c r="C9" s="872"/>
      <c r="D9" s="870" t="s">
        <v>522</v>
      </c>
      <c r="E9" s="869"/>
      <c r="F9" s="1934">
        <f>'Expenditures 15-22'!K151</f>
        <v>106404</v>
      </c>
      <c r="G9" s="873"/>
    </row>
    <row r="10" spans="1:7" x14ac:dyDescent="0.2">
      <c r="A10" s="870" t="s">
        <v>520</v>
      </c>
      <c r="B10" s="871" t="s">
        <v>1989</v>
      </c>
      <c r="C10" s="872"/>
      <c r="D10" s="870" t="s">
        <v>522</v>
      </c>
      <c r="E10" s="869"/>
      <c r="F10" s="1934">
        <f>'Expenditures 15-22'!K174</f>
        <v>199266</v>
      </c>
      <c r="G10" s="873"/>
    </row>
    <row r="11" spans="1:7" x14ac:dyDescent="0.2">
      <c r="A11" s="870" t="s">
        <v>481</v>
      </c>
      <c r="B11" s="871" t="s">
        <v>1990</v>
      </c>
      <c r="C11" s="872"/>
      <c r="D11" s="870" t="s">
        <v>522</v>
      </c>
      <c r="E11" s="869"/>
      <c r="F11" s="1934">
        <f>'Expenditures 15-22'!K210</f>
        <v>159130</v>
      </c>
      <c r="G11" s="873"/>
    </row>
    <row r="12" spans="1:7" x14ac:dyDescent="0.2">
      <c r="A12" s="870" t="s">
        <v>482</v>
      </c>
      <c r="B12" s="871" t="s">
        <v>1991</v>
      </c>
      <c r="C12" s="872"/>
      <c r="D12" s="870" t="s">
        <v>522</v>
      </c>
      <c r="E12" s="869"/>
      <c r="F12" s="1934">
        <f>'Expenditures 15-22'!K295</f>
        <v>173787</v>
      </c>
      <c r="G12" s="873"/>
    </row>
    <row r="13" spans="1:7" x14ac:dyDescent="0.2">
      <c r="A13" s="870" t="s">
        <v>108</v>
      </c>
      <c r="B13" s="871" t="s">
        <v>1992</v>
      </c>
      <c r="C13" s="872"/>
      <c r="D13" s="870" t="s">
        <v>522</v>
      </c>
      <c r="E13" s="869"/>
      <c r="F13" s="1934">
        <f>'Expenditures 15-22'!K342</f>
        <v>159237</v>
      </c>
      <c r="G13" s="874"/>
    </row>
    <row r="14" spans="1:7" ht="12" customHeight="1" thickBot="1" x14ac:dyDescent="0.25">
      <c r="A14" s="1791"/>
      <c r="B14" s="1792"/>
      <c r="C14" s="1793"/>
      <c r="D14" s="1794" t="s">
        <v>522</v>
      </c>
      <c r="E14" s="1795" t="s">
        <v>1015</v>
      </c>
      <c r="F14" s="1796">
        <f>SUM(F8:F13)</f>
        <v>3680218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82778</v>
      </c>
      <c r="G53" s="866"/>
    </row>
    <row r="54" spans="1:7" x14ac:dyDescent="0.2">
      <c r="A54" s="870" t="s">
        <v>479</v>
      </c>
      <c r="B54" s="870" t="s">
        <v>1552</v>
      </c>
      <c r="C54" s="890" t="s">
        <v>1039</v>
      </c>
      <c r="D54" s="886" t="s">
        <v>1157</v>
      </c>
      <c r="E54" s="869"/>
      <c r="F54" s="1938">
        <f>'Expenditures 15-22'!G114</f>
        <v>27287</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6721</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85000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29369</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2010</v>
      </c>
      <c r="E76" s="1795" t="s">
        <v>1015</v>
      </c>
      <c r="F76" s="1799">
        <f>SUM(F18:F74)</f>
        <v>231155</v>
      </c>
      <c r="G76" s="866"/>
    </row>
    <row r="77" spans="1:8" s="894" customFormat="1" ht="12" customHeight="1" thickTop="1" thickBot="1" x14ac:dyDescent="0.25">
      <c r="A77" s="1800"/>
      <c r="B77" s="1797"/>
      <c r="C77" s="1793"/>
      <c r="D77" s="1798" t="s">
        <v>2011</v>
      </c>
      <c r="E77" s="1795"/>
      <c r="F77" s="1801">
        <f>(F14-F76)</f>
        <v>3449063</v>
      </c>
      <c r="G77" s="870"/>
    </row>
    <row r="78" spans="1:8" s="894" customFormat="1" ht="12" customHeight="1" thickTop="1" x14ac:dyDescent="0.2">
      <c r="A78" s="1802"/>
      <c r="B78" s="1797"/>
      <c r="C78" s="1793"/>
      <c r="D78" s="1798" t="s">
        <v>2057</v>
      </c>
      <c r="E78" s="1795"/>
      <c r="F78" s="899">
        <v>383.8</v>
      </c>
      <c r="G78" s="900"/>
      <c r="H78" s="870"/>
    </row>
    <row r="79" spans="1:8" s="894" customFormat="1" ht="12" customHeight="1" thickBot="1" x14ac:dyDescent="0.25">
      <c r="A79" s="1803"/>
      <c r="B79" s="1797"/>
      <c r="C79" s="1793"/>
      <c r="D79" s="1798" t="s">
        <v>2012</v>
      </c>
      <c r="E79" s="1795" t="s">
        <v>1015</v>
      </c>
      <c r="F79" s="1804">
        <f>IF(F78&gt;0,F77/F78," Complete Line 78")</f>
        <v>8986.6154247003651</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50865</v>
      </c>
      <c r="G94" s="913"/>
    </row>
    <row r="95" spans="1:7" x14ac:dyDescent="0.2">
      <c r="A95" s="909" t="s">
        <v>142</v>
      </c>
      <c r="B95" s="909" t="s">
        <v>177</v>
      </c>
      <c r="C95" s="911">
        <v>1700</v>
      </c>
      <c r="D95" s="919" t="str">
        <f>'Revenues 9-14'!A82</f>
        <v>Total District/School Activity Income</v>
      </c>
      <c r="E95" s="907"/>
      <c r="F95" s="1810">
        <f>SUM('Revenues 9-14'!C82,'Revenues 9-14'!D82)</f>
        <v>19377</v>
      </c>
      <c r="G95" s="913"/>
    </row>
    <row r="96" spans="1:7" x14ac:dyDescent="0.2">
      <c r="A96" s="909" t="s">
        <v>479</v>
      </c>
      <c r="B96" s="909" t="s">
        <v>178</v>
      </c>
      <c r="C96" s="911">
        <f>'Revenues 9-14'!B84</f>
        <v>1811</v>
      </c>
      <c r="D96" s="912" t="str">
        <f>'Revenues 9-14'!A84</f>
        <v>Rentals - Regular Textbooks</v>
      </c>
      <c r="E96" s="907"/>
      <c r="F96" s="1810">
        <f>'Revenues 9-14'!C84</f>
        <v>5595</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1</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38056</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55747</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4446</v>
      </c>
      <c r="G107" s="913"/>
    </row>
    <row r="108" spans="1:7" x14ac:dyDescent="0.2">
      <c r="A108" s="909" t="s">
        <v>479</v>
      </c>
      <c r="B108" s="909" t="s">
        <v>844</v>
      </c>
      <c r="C108" s="921">
        <f>'Revenues 9-14'!B145</f>
        <v>3360</v>
      </c>
      <c r="D108" s="912" t="str">
        <f>'Revenues 9-14'!A145</f>
        <v>State Free Lunch &amp; Breakfast</v>
      </c>
      <c r="E108" s="907"/>
      <c r="F108" s="1810">
        <f>'Revenues 9-14'!C145</f>
        <v>2556</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126355</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750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29317</v>
      </c>
      <c r="G128" s="931"/>
    </row>
    <row r="129" spans="1:7" x14ac:dyDescent="0.2">
      <c r="A129" s="928" t="s">
        <v>685</v>
      </c>
      <c r="B129" s="928" t="s">
        <v>803</v>
      </c>
      <c r="C129" s="933">
        <v>4200</v>
      </c>
      <c r="D129" s="930" t="str">
        <f>'Revenues 9-14'!A201</f>
        <v>Total Food Service</v>
      </c>
      <c r="E129" s="907"/>
      <c r="F129" s="1810">
        <f>SUM('Revenues 9-14'!C201,'Revenues 9-14'!G201)</f>
        <v>164953</v>
      </c>
      <c r="G129" s="931"/>
    </row>
    <row r="130" spans="1:7" x14ac:dyDescent="0.2">
      <c r="A130" s="928" t="s">
        <v>689</v>
      </c>
      <c r="B130" s="928" t="s">
        <v>804</v>
      </c>
      <c r="C130" s="933">
        <v>4300</v>
      </c>
      <c r="D130" s="934" t="str">
        <f>'Revenues 9-14'!A211</f>
        <v>Total Title I</v>
      </c>
      <c r="E130" s="907"/>
      <c r="F130" s="1810">
        <f>SUM('Revenues 9-14'!C211,'Revenues 9-14'!D211,'Revenues 9-14'!F211,'Revenues 9-14'!G211)</f>
        <v>112931</v>
      </c>
      <c r="G130" s="931"/>
    </row>
    <row r="131" spans="1:7" x14ac:dyDescent="0.2">
      <c r="A131" s="928" t="s">
        <v>689</v>
      </c>
      <c r="B131" s="928" t="s">
        <v>805</v>
      </c>
      <c r="C131" s="933">
        <v>4400</v>
      </c>
      <c r="D131" s="934" t="str">
        <f>'Revenues 9-14'!A216</f>
        <v>Total Title IV</v>
      </c>
      <c r="E131" s="907"/>
      <c r="F131" s="1810">
        <f>SUM('Revenues 9-14'!C216,'Revenues 9-14'!D216,'Revenues 9-14'!F216,'Revenues 9-14'!G216)</f>
        <v>10000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14748</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10033</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29996</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2056</v>
      </c>
      <c r="C175" s="1945">
        <v>3100</v>
      </c>
      <c r="D175" s="1946" t="s">
        <v>2059</v>
      </c>
      <c r="E175" s="907"/>
      <c r="F175" s="1930">
        <v>125564</v>
      </c>
      <c r="G175" s="928"/>
    </row>
    <row r="176" spans="1:7" x14ac:dyDescent="0.2">
      <c r="A176" s="1943" t="s">
        <v>685</v>
      </c>
      <c r="B176" s="1944" t="s">
        <v>2056</v>
      </c>
      <c r="C176" s="1945">
        <v>3300</v>
      </c>
      <c r="D176" s="1946" t="s">
        <v>2060</v>
      </c>
      <c r="E176" s="907"/>
      <c r="F176" s="1930">
        <v>5283</v>
      </c>
      <c r="G176" s="928"/>
    </row>
    <row r="177" spans="1:7" ht="6" customHeight="1" x14ac:dyDescent="0.2">
      <c r="A177" s="928"/>
      <c r="B177" s="928"/>
      <c r="C177" s="950"/>
      <c r="D177" s="928"/>
      <c r="E177" s="907"/>
      <c r="F177" s="951"/>
      <c r="G177" s="948"/>
    </row>
    <row r="178" spans="1:7" x14ac:dyDescent="0.2">
      <c r="A178" s="1791"/>
      <c r="B178" s="1805"/>
      <c r="C178" s="1806"/>
      <c r="D178" s="1807" t="s">
        <v>2013</v>
      </c>
      <c r="E178" s="1808" t="s">
        <v>1015</v>
      </c>
      <c r="F178" s="1809">
        <f>SUM(F84:F136,F161:F176)</f>
        <v>806573</v>
      </c>
    </row>
    <row r="179" spans="1:7" ht="12" customHeight="1" x14ac:dyDescent="0.2">
      <c r="A179" s="1791"/>
      <c r="B179" s="1805"/>
      <c r="C179" s="1806"/>
      <c r="D179" s="1807" t="s">
        <v>2014</v>
      </c>
      <c r="E179" s="1808"/>
      <c r="F179" s="1810">
        <f>'PCTC-OEPP 27-28'!F77-F178</f>
        <v>2642490</v>
      </c>
    </row>
    <row r="180" spans="1:7" ht="12" customHeight="1" x14ac:dyDescent="0.2">
      <c r="A180" s="1791"/>
      <c r="B180" s="1805"/>
      <c r="C180" s="1806"/>
      <c r="D180" s="1807" t="s">
        <v>1924</v>
      </c>
      <c r="E180" s="1808"/>
      <c r="F180" s="1810">
        <f>'Cap Outlay Deprec 26'!I18</f>
        <v>154414</v>
      </c>
    </row>
    <row r="181" spans="1:7" ht="12" customHeight="1" x14ac:dyDescent="0.2">
      <c r="A181" s="1791"/>
      <c r="B181" s="1805"/>
      <c r="C181" s="1806"/>
      <c r="D181" s="1807" t="s">
        <v>2015</v>
      </c>
      <c r="E181" s="1808"/>
      <c r="F181" s="1810">
        <f>F179+F180</f>
        <v>2796904</v>
      </c>
    </row>
    <row r="182" spans="1:7" ht="12" customHeight="1" x14ac:dyDescent="0.2">
      <c r="A182" s="1791"/>
      <c r="B182" s="1811"/>
      <c r="C182" s="1806"/>
      <c r="D182" s="1807" t="str">
        <f>D78</f>
        <v>9 Month ADA from District Average Daily Attendance/Prior General State Aid Inquiry 2017-2018</v>
      </c>
      <c r="E182" s="1808"/>
      <c r="F182" s="1812">
        <f>'PCTC-OEPP 27-28'!F78</f>
        <v>383.8</v>
      </c>
      <c r="G182" s="931"/>
    </row>
    <row r="183" spans="1:7" ht="12" customHeight="1" thickBot="1" x14ac:dyDescent="0.25">
      <c r="A183" s="1791"/>
      <c r="B183" s="1811"/>
      <c r="C183" s="1806"/>
      <c r="D183" s="1807" t="s">
        <v>2016</v>
      </c>
      <c r="E183" s="1808" t="s">
        <v>1626</v>
      </c>
      <c r="F183" s="1813">
        <f>F181/F182</f>
        <v>7287.3996873371543</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20" sqref="D20"/>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5" t="s">
        <v>1926</v>
      </c>
      <c r="B6" s="1556"/>
      <c r="C6" s="1556"/>
      <c r="D6" s="1556"/>
      <c r="E6" s="1556"/>
      <c r="F6" s="1556"/>
      <c r="G6" s="1557"/>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8" t="s">
        <v>1927</v>
      </c>
      <c r="B10" s="1559"/>
      <c r="C10" s="1559"/>
      <c r="D10" s="1559"/>
      <c r="E10" s="1559"/>
      <c r="F10" s="1559"/>
      <c r="G10" s="1560"/>
    </row>
    <row r="11" spans="1:7" ht="17.25" customHeight="1" x14ac:dyDescent="0.25">
      <c r="A11" s="2293" t="s">
        <v>2075</v>
      </c>
      <c r="B11" s="2294"/>
      <c r="C11" s="2294"/>
      <c r="D11" s="2294"/>
      <c r="E11" s="2294"/>
      <c r="F11" s="2294"/>
      <c r="G11" s="2295"/>
    </row>
    <row r="12" spans="1:7" ht="15" customHeight="1" x14ac:dyDescent="0.25">
      <c r="A12" s="1558" t="s">
        <v>1932</v>
      </c>
      <c r="B12" s="1559"/>
      <c r="C12" s="1559"/>
      <c r="D12" s="1559"/>
      <c r="E12" s="1559"/>
      <c r="F12" s="1559"/>
      <c r="G12" s="1560"/>
    </row>
    <row r="13" spans="1:7" ht="32.25" customHeight="1" x14ac:dyDescent="0.25">
      <c r="A13" s="2284" t="s">
        <v>1933</v>
      </c>
      <c r="B13" s="2285"/>
      <c r="C13" s="2285"/>
      <c r="D13" s="2285"/>
      <c r="E13" s="2285"/>
      <c r="F13" s="2285"/>
      <c r="G13" s="2286"/>
    </row>
    <row r="14" spans="1:7" x14ac:dyDescent="0.25">
      <c r="A14" s="1682" t="s">
        <v>1941</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1942</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55" t="s">
        <v>2124</v>
      </c>
      <c r="B17" s="1956" t="s">
        <v>2126</v>
      </c>
      <c r="C17" s="1957" t="s">
        <v>2125</v>
      </c>
      <c r="D17" s="1866">
        <v>6900</v>
      </c>
      <c r="E17" s="1561">
        <f t="shared" ref="E17:E141" si="1">IF(D17&lt;=25000,D17,IF(D17&gt;25000,25000,0))</f>
        <v>6900</v>
      </c>
      <c r="F17" s="1814">
        <f t="shared" si="0"/>
        <v>6900</v>
      </c>
      <c r="G17" s="1815">
        <f>IF(F17=0,0,D17-F17)</f>
        <v>0</v>
      </c>
      <c r="H17" s="1668"/>
    </row>
    <row r="18" spans="1:8" x14ac:dyDescent="0.25">
      <c r="A18" s="1955" t="s">
        <v>2124</v>
      </c>
      <c r="B18" s="1956" t="s">
        <v>2126</v>
      </c>
      <c r="C18" s="1957" t="s">
        <v>2125</v>
      </c>
      <c r="D18" s="1866">
        <v>1200</v>
      </c>
      <c r="E18" s="1561">
        <f t="shared" ref="E18:E140" si="2">IF(D18&lt;=25000,D18,IF(D18&gt;25000,25000,0))</f>
        <v>1200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1200</v>
      </c>
      <c r="G18" s="1815">
        <f t="shared" ref="G18:G140" si="4">IF(F18=0,0,D18-F18)</f>
        <v>0</v>
      </c>
    </row>
    <row r="19" spans="1:8" x14ac:dyDescent="0.25">
      <c r="A19" s="1955" t="s">
        <v>2127</v>
      </c>
      <c r="B19" s="1956" t="s">
        <v>2128</v>
      </c>
      <c r="C19" s="1957" t="s">
        <v>2129</v>
      </c>
      <c r="D19" s="1866">
        <v>9360</v>
      </c>
      <c r="E19" s="1561">
        <f t="shared" si="2"/>
        <v>9360</v>
      </c>
      <c r="F19" s="1814">
        <f t="shared" si="3"/>
        <v>9360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17460</v>
      </c>
      <c r="E141" s="1562">
        <f t="shared" si="1"/>
        <v>17460</v>
      </c>
      <c r="F141" s="1816">
        <f>SUM(F17:F140)</f>
        <v>17460</v>
      </c>
      <c r="G141" s="1817">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E34" sqref="E3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14266</v>
      </c>
      <c r="F10" s="975"/>
      <c r="G10" s="976"/>
      <c r="H10" s="162"/>
      <c r="I10" s="162"/>
    </row>
    <row r="11" spans="1:9" s="669" customFormat="1" ht="22.5" customHeight="1" x14ac:dyDescent="0.2">
      <c r="A11" s="2304" t="s">
        <v>1944</v>
      </c>
      <c r="B11" s="2305"/>
      <c r="C11" s="2305"/>
      <c r="D11" s="2306"/>
      <c r="E11" s="978">
        <v>24328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2088206</v>
      </c>
      <c r="F19" s="1821"/>
      <c r="G19" s="1823">
        <f>'Expenditures 15-22'!K33-SUM('Expenditures 15-22'!G33,'Expenditures 15-22'!I33)+'Expenditures 15-22'!D229</f>
        <v>2088206</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177287</v>
      </c>
      <c r="F21" s="1824"/>
      <c r="G21" s="1827">
        <f>'Expenditures 15-22'!K42-SUM('Expenditures 15-22'!G42,'Expenditures 15-22'!I42)+'Expenditures 15-22'!K120-SUM('Expenditures 15-22'!G120,'Expenditures 15-22'!I120)+'Expenditures 15-22'!K180-SUM('Expenditures 15-22'!G180,'Expenditures 15-22'!I180)+'Expenditures 15-22'!D238</f>
        <v>177287</v>
      </c>
      <c r="H21" s="988"/>
      <c r="I21" s="162"/>
    </row>
    <row r="22" spans="1:9" s="669" customFormat="1" ht="12" customHeight="1" x14ac:dyDescent="0.2">
      <c r="A22" s="995" t="s">
        <v>585</v>
      </c>
      <c r="B22" s="996"/>
      <c r="C22" s="994">
        <v>2200</v>
      </c>
      <c r="D22" s="1824"/>
      <c r="E22" s="1826">
        <f>'Expenditures 15-22'!K47-SUM('Expenditures 15-22'!G47,'Expenditures 15-22'!I47)+'Expenditures 15-22'!D243</f>
        <v>77748</v>
      </c>
      <c r="F22" s="1824"/>
      <c r="G22" s="1827">
        <f>'Expenditures 15-22'!K47-SUM('Expenditures 15-22'!G47,'Expenditures 15-22'!I47)+'Expenditures 15-22'!D243</f>
        <v>77748</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332593</v>
      </c>
      <c r="F23" s="1824"/>
      <c r="G23" s="1826">
        <f>'Expenditures 15-22'!K53-SUM('Expenditures 15-22'!G53,'Expenditures 15-22'!I53)+'Expenditures 15-22'!D257+'Expenditures 15-22'!K330-SUM('Expenditures 15-22'!G330,'Expenditures 15-22'!I330)</f>
        <v>332593</v>
      </c>
      <c r="H23" s="988"/>
      <c r="I23" s="162"/>
    </row>
    <row r="24" spans="1:9" s="669" customFormat="1" ht="12" customHeight="1" x14ac:dyDescent="0.2">
      <c r="A24" s="995" t="s">
        <v>587</v>
      </c>
      <c r="B24" s="996"/>
      <c r="C24" s="994">
        <v>2400</v>
      </c>
      <c r="D24" s="1824"/>
      <c r="E24" s="1826">
        <f>'Expenditures 15-22'!K57-SUM('Expenditures 15-22'!G57,'Expenditures 15-22'!I57)+'Expenditures 15-22'!D261</f>
        <v>29680</v>
      </c>
      <c r="F24" s="1824"/>
      <c r="G24" s="1827">
        <f>'Expenditures 15-22'!K57-SUM('Expenditures 15-22'!G57,'Expenditures 15-22'!I57)+'Expenditures 15-22'!D261</f>
        <v>29680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72989</v>
      </c>
      <c r="E27" s="1826">
        <f>E8</f>
        <v>0</v>
      </c>
      <c r="F27" s="1826">
        <f>'Expenditures 15-22'!K60-SUM('Expenditures 15-22'!G60,'Expenditures 15-22'!I60)+'Expenditures 15-22'!D264-E8</f>
        <v>72989</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231425</v>
      </c>
      <c r="F28" s="1828">
        <f>'Expenditures 15-22'!K61-SUM('Expenditures 15-22'!G61,'Expenditures 15-22'!I61)+'Expenditures 15-22'!K124-SUM('Expenditures 15-22'!G124,'Expenditures 15-22'!I124)+'Expenditures 15-22'!D266-E9</f>
        <v>231425</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141547</v>
      </c>
      <c r="F29" s="1824"/>
      <c r="G29" s="1827">
        <f>'Expenditures 15-22'!K62-SUM('Expenditures 15-22'!G62,'Expenditures 15-22'!I62)+'Expenditures 15-22'!K125-SUM('Expenditures 15-22'!G125,'Expenditures 15-22'!I125)+'Expenditures 15-22'!K182-SUM('Expenditures 15-22'!G182,'Expenditures 15-22'!I182)+'Expenditures 15-22'!D267</f>
        <v>141547</v>
      </c>
      <c r="H29" s="986"/>
    </row>
    <row r="30" spans="1:9" ht="12" customHeight="1" x14ac:dyDescent="0.2">
      <c r="A30" s="995" t="s">
        <v>102</v>
      </c>
      <c r="B30" s="998"/>
      <c r="C30" s="994">
        <v>2560</v>
      </c>
      <c r="D30" s="1824"/>
      <c r="E30" s="1826">
        <f>'Expenditures 15-22'!K63-SUM('Expenditures 15-22'!G63,'Expenditures 15-22'!I63)+'Expenditures 15-22'!D268-E10</f>
        <v>164953</v>
      </c>
      <c r="F30" s="1824"/>
      <c r="G30" s="1826">
        <f>'Expenditures 15-22'!K63-SUM('Expenditures 15-22'!G63,'Expenditures 15-22'!I63)+'Expenditures 15-22'!D268-E10</f>
        <v>164953</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0</v>
      </c>
      <c r="F40" s="1824"/>
      <c r="G40" s="1828">
        <f>-'Contracts Paid in CY 29'!G141</f>
        <v>0</v>
      </c>
    </row>
    <row r="41" spans="1:7" ht="12" customHeight="1" x14ac:dyDescent="0.2">
      <c r="A41" s="999" t="s">
        <v>158</v>
      </c>
      <c r="B41" s="1000"/>
      <c r="C41" s="1001"/>
      <c r="D41" s="1828">
        <f>SUM(D19:D39)</f>
        <v>72989</v>
      </c>
      <c r="E41" s="1828">
        <f>SUM(E19:E40)</f>
        <v>3243439</v>
      </c>
      <c r="F41" s="1828">
        <f>SUM(F19:F39)</f>
        <v>304414</v>
      </c>
      <c r="G41" s="1828">
        <f>SUM(G19:G40)</f>
        <v>3012014</v>
      </c>
    </row>
    <row r="42" spans="1:7" x14ac:dyDescent="0.2">
      <c r="A42" s="988"/>
      <c r="B42" s="162"/>
      <c r="C42" s="1002"/>
      <c r="D42" s="2302" t="s">
        <v>543</v>
      </c>
      <c r="E42" s="2303"/>
      <c r="F42" s="1003" t="s">
        <v>544</v>
      </c>
      <c r="G42" s="1004"/>
    </row>
    <row r="43" spans="1:7" ht="12" customHeight="1" x14ac:dyDescent="0.2">
      <c r="A43" s="988"/>
      <c r="B43" s="162"/>
      <c r="C43" s="1002"/>
      <c r="D43" s="1829" t="s">
        <v>493</v>
      </c>
      <c r="E43" s="1830">
        <f>D41</f>
        <v>72989</v>
      </c>
      <c r="F43" s="1829" t="s">
        <v>495</v>
      </c>
      <c r="G43" s="1830">
        <f>F41</f>
        <v>304414</v>
      </c>
    </row>
    <row r="44" spans="1:7" ht="12" customHeight="1" x14ac:dyDescent="0.2">
      <c r="A44" s="988"/>
      <c r="B44" s="162"/>
      <c r="C44" s="1002"/>
      <c r="D44" s="1829" t="s">
        <v>494</v>
      </c>
      <c r="E44" s="1830">
        <f>E41</f>
        <v>3243439</v>
      </c>
      <c r="F44" s="1829" t="s">
        <v>494</v>
      </c>
      <c r="G44" s="1830">
        <f>G41</f>
        <v>3012014</v>
      </c>
    </row>
    <row r="45" spans="1:7" ht="12" customHeight="1" x14ac:dyDescent="0.2">
      <c r="A45" s="988"/>
      <c r="B45" s="162"/>
      <c r="C45" s="162"/>
      <c r="D45" s="1831" t="s">
        <v>1063</v>
      </c>
      <c r="E45" s="1832">
        <f>(E43/E44)</f>
        <v>2.2503583387879347E-2</v>
      </c>
      <c r="F45" s="1831" t="s">
        <v>1063</v>
      </c>
      <c r="G45" s="1832">
        <f>(G43/G44)</f>
        <v>0.10106659530798993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B9" sqref="B9"/>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0" t="s">
        <v>1446</v>
      </c>
      <c r="B1" s="2310"/>
      <c r="C1" s="2310"/>
      <c r="D1" s="2310"/>
      <c r="E1" s="2310"/>
      <c r="F1" s="2310"/>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1" t="s">
        <v>1627</v>
      </c>
      <c r="B5" s="2312"/>
      <c r="C5" s="2313"/>
      <c r="D5" s="2313"/>
      <c r="E5" s="2313"/>
      <c r="F5" s="2313"/>
    </row>
    <row r="6" spans="1:10" ht="12" customHeight="1" x14ac:dyDescent="0.25">
      <c r="A6" s="1874"/>
      <c r="B6" s="1875"/>
      <c r="C6" s="2314" t="str">
        <f>COVER!A17</f>
        <v>Vienna SD 55</v>
      </c>
      <c r="D6" s="2314"/>
      <c r="E6" s="2314"/>
      <c r="F6" s="1876"/>
    </row>
    <row r="7" spans="1:10" ht="11.25" customHeight="1" thickBot="1" x14ac:dyDescent="0.3">
      <c r="A7" s="1874"/>
      <c r="B7" s="1875"/>
      <c r="C7" s="2315">
        <f>COVER!A13</f>
        <v>21044055002</v>
      </c>
      <c r="D7" s="2315"/>
      <c r="E7" s="2315"/>
      <c r="F7" s="1876"/>
    </row>
    <row r="8" spans="1:10" ht="25.5" customHeight="1" thickBot="1" x14ac:dyDescent="0.25">
      <c r="A8" s="1917" t="s">
        <v>2023</v>
      </c>
      <c r="B8" s="1877" t="s">
        <v>2077</v>
      </c>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0</v>
      </c>
      <c r="I34" s="1902">
        <f>SUM(I11:I32)</f>
        <v>0</v>
      </c>
      <c r="J34" s="1902">
        <f>SUM(J11:J32)</f>
        <v>0</v>
      </c>
      <c r="K34" s="1902">
        <f>SUM(H34:J34)</f>
        <v>0</v>
      </c>
    </row>
    <row r="35" spans="1:11" ht="12" customHeight="1" x14ac:dyDescent="0.2">
      <c r="A35" s="1895" t="s">
        <v>1459</v>
      </c>
      <c r="B35" s="1896"/>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7"/>
      <c r="B39" s="1897"/>
      <c r="C39" s="1897"/>
      <c r="D39" s="1897"/>
      <c r="E39" s="1897"/>
      <c r="F39" s="1897"/>
    </row>
    <row r="40" spans="1:11" s="1894" customFormat="1" ht="12" customHeight="1" x14ac:dyDescent="0.25">
      <c r="A40" s="1898" t="s">
        <v>1458</v>
      </c>
      <c r="B40" s="1899"/>
      <c r="C40" s="2324"/>
      <c r="D40" s="2324"/>
      <c r="E40" s="2324"/>
      <c r="F40" s="2325"/>
      <c r="H40" s="1903"/>
      <c r="I40" s="1903"/>
      <c r="J40" s="1903"/>
      <c r="K40" s="1903"/>
    </row>
    <row r="41" spans="1:11" s="1894" customFormat="1" ht="12" customHeight="1" x14ac:dyDescent="0.25">
      <c r="A41" s="2326"/>
      <c r="B41" s="2327"/>
      <c r="C41" s="2327"/>
      <c r="D41" s="2327"/>
      <c r="E41" s="2327"/>
      <c r="F41" s="2328"/>
      <c r="H41" s="1903"/>
      <c r="I41" s="1903"/>
      <c r="J41" s="1903"/>
      <c r="K41" s="1903"/>
    </row>
    <row r="42" spans="1:11" s="1894" customFormat="1" ht="12" customHeight="1" x14ac:dyDescent="0.25">
      <c r="A42" s="2326"/>
      <c r="B42" s="2327"/>
      <c r="C42" s="2327"/>
      <c r="D42" s="2327"/>
      <c r="E42" s="2327"/>
      <c r="F42" s="2328"/>
      <c r="H42" s="1903"/>
      <c r="I42" s="1903"/>
      <c r="J42" s="1903"/>
      <c r="K42" s="1903"/>
    </row>
    <row r="43" spans="1:11" s="1894" customFormat="1" ht="15" x14ac:dyDescent="0.25">
      <c r="A43" s="2318"/>
      <c r="B43" s="2319"/>
      <c r="C43" s="2319"/>
      <c r="D43" s="2319"/>
      <c r="E43" s="2319"/>
      <c r="F43" s="2320"/>
      <c r="H43" s="1903"/>
      <c r="I43" s="1903"/>
      <c r="J43" s="1903"/>
      <c r="K43" s="1903"/>
    </row>
    <row r="44" spans="1:11" s="1894" customFormat="1" ht="12" hidden="1" customHeight="1" x14ac:dyDescent="0.25">
      <c r="A44" s="2318"/>
      <c r="B44" s="2319"/>
      <c r="C44" s="2319"/>
      <c r="D44" s="2319"/>
      <c r="E44" s="2319"/>
      <c r="F44" s="232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34" t="str">
        <f>COVER!A17</f>
        <v>Vienna SD 55</v>
      </c>
      <c r="J6" s="2335"/>
      <c r="Q6" s="1685"/>
    </row>
    <row r="7" spans="1:17" x14ac:dyDescent="0.2">
      <c r="A7" s="2336" t="s">
        <v>924</v>
      </c>
      <c r="B7" s="2337"/>
      <c r="C7" s="2337"/>
      <c r="D7" s="2337"/>
      <c r="E7" s="2338"/>
      <c r="F7" s="1018"/>
      <c r="G7" s="1010"/>
      <c r="H7" s="1017" t="s">
        <v>390</v>
      </c>
      <c r="I7" s="2339">
        <f>COVER!A13</f>
        <v>21044055002</v>
      </c>
      <c r="J7" s="2339"/>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128275</v>
      </c>
      <c r="F12" s="1040"/>
      <c r="G12" s="1833">
        <f t="shared" ref="G12:G18" si="0">SUM(E12:F12)</f>
        <v>128275</v>
      </c>
      <c r="H12" s="1041">
        <v>133021</v>
      </c>
      <c r="I12" s="1040"/>
      <c r="J12" s="1833">
        <f t="shared" ref="J12:J18" si="1">SUM(H12:I12)</f>
        <v>133021</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3" t="s">
        <v>7</v>
      </c>
      <c r="C18" s="2344"/>
      <c r="D18" s="2345"/>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128275</v>
      </c>
      <c r="F19" s="1835">
        <f t="shared" si="2"/>
        <v>0</v>
      </c>
      <c r="G19" s="1835">
        <f t="shared" si="2"/>
        <v>128275</v>
      </c>
      <c r="H19" s="1835">
        <f t="shared" si="2"/>
        <v>133021</v>
      </c>
      <c r="I19" s="1835">
        <f t="shared" si="2"/>
        <v>0</v>
      </c>
      <c r="J19" s="1835">
        <f t="shared" si="2"/>
        <v>133021</v>
      </c>
    </row>
    <row r="20" spans="1:10" ht="13.5" thickTop="1" x14ac:dyDescent="0.2">
      <c r="A20" s="1036">
        <v>9</v>
      </c>
      <c r="B20" s="2346" t="s">
        <v>1703</v>
      </c>
      <c r="C20" s="2346"/>
      <c r="D20" s="2347"/>
      <c r="E20" s="1047"/>
      <c r="F20" s="1047"/>
      <c r="G20" s="1047"/>
      <c r="H20" s="1047"/>
      <c r="I20" s="1047"/>
      <c r="J20" s="1836">
        <f>IF(AND(G19&gt;0,J19&gt;0),(((J19-G19)/G19)),"Enter Budget Data")</f>
        <v>3.6998635743519782E-2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heetViews>
  <sheetFormatPr defaultColWidth="9.140625" defaultRowHeight="12.75" x14ac:dyDescent="0.2"/>
  <cols>
    <col min="1" max="1" width="4" style="329" customWidth="1"/>
    <col min="2" max="2" width="24.7109375" style="329" customWidth="1"/>
    <col min="3" max="3" width="14.28515625" style="329" customWidth="1"/>
    <col min="4" max="16384" width="9.140625" style="329"/>
  </cols>
  <sheetData>
    <row r="2" spans="1:3" x14ac:dyDescent="0.2">
      <c r="A2" s="389" t="s">
        <v>276</v>
      </c>
    </row>
    <row r="3" spans="1:3" x14ac:dyDescent="0.2">
      <c r="A3" s="329" t="s">
        <v>277</v>
      </c>
    </row>
    <row r="5" spans="1:3" x14ac:dyDescent="0.2">
      <c r="A5" s="1069">
        <v>1</v>
      </c>
      <c r="B5" s="329" t="s">
        <v>2100</v>
      </c>
      <c r="C5" s="329" t="s">
        <v>2101</v>
      </c>
    </row>
    <row r="6" spans="1:3" x14ac:dyDescent="0.2">
      <c r="A6" s="1069"/>
    </row>
    <row r="7" spans="1:3" x14ac:dyDescent="0.2">
      <c r="A7" s="1069">
        <v>2</v>
      </c>
      <c r="B7" s="329" t="s">
        <v>2102</v>
      </c>
      <c r="C7" s="675" t="s">
        <v>2122</v>
      </c>
    </row>
    <row r="8" spans="1:3" x14ac:dyDescent="0.2">
      <c r="A8" s="1069"/>
    </row>
    <row r="9" spans="1:3" x14ac:dyDescent="0.2">
      <c r="A9" s="1069">
        <v>3</v>
      </c>
      <c r="B9" s="329" t="s">
        <v>2103</v>
      </c>
      <c r="C9" s="329" t="s">
        <v>2104</v>
      </c>
    </row>
    <row r="10" spans="1:3" x14ac:dyDescent="0.2">
      <c r="A10" s="1069"/>
    </row>
    <row r="11" spans="1:3" x14ac:dyDescent="0.2">
      <c r="A11" s="1069">
        <v>4</v>
      </c>
      <c r="B11" s="329" t="s">
        <v>2105</v>
      </c>
      <c r="C11" s="329" t="s">
        <v>2106</v>
      </c>
    </row>
    <row r="12" spans="1:3" x14ac:dyDescent="0.2">
      <c r="A12" s="1069"/>
      <c r="C12" s="675" t="s">
        <v>2123</v>
      </c>
    </row>
    <row r="13" spans="1:3" x14ac:dyDescent="0.2">
      <c r="A13" s="1069"/>
    </row>
    <row r="14" spans="1:3" x14ac:dyDescent="0.2">
      <c r="A14" s="1069">
        <v>5</v>
      </c>
      <c r="B14" s="329" t="s">
        <v>2107</v>
      </c>
      <c r="C14" s="329" t="s">
        <v>2108</v>
      </c>
    </row>
    <row r="15" spans="1:3" x14ac:dyDescent="0.2">
      <c r="A15" s="1069"/>
    </row>
    <row r="16" spans="1:3" x14ac:dyDescent="0.2">
      <c r="A16" s="1069">
        <v>6</v>
      </c>
      <c r="B16" s="329" t="s">
        <v>2109</v>
      </c>
      <c r="C16" s="329" t="s">
        <v>2110</v>
      </c>
    </row>
    <row r="17" spans="1:3" x14ac:dyDescent="0.2">
      <c r="A17" s="1069"/>
    </row>
    <row r="18" spans="1:3" x14ac:dyDescent="0.2">
      <c r="A18" s="1069">
        <v>7</v>
      </c>
      <c r="B18" s="329" t="s">
        <v>2111</v>
      </c>
      <c r="C18" s="329" t="s">
        <v>2114</v>
      </c>
    </row>
    <row r="19" spans="1:3" x14ac:dyDescent="0.2">
      <c r="A19" s="1069"/>
    </row>
    <row r="20" spans="1:3" x14ac:dyDescent="0.2">
      <c r="A20" s="1069">
        <v>8</v>
      </c>
      <c r="B20" s="329" t="s">
        <v>2112</v>
      </c>
      <c r="C20" s="329" t="s">
        <v>2113</v>
      </c>
    </row>
    <row r="21" spans="1:3" x14ac:dyDescent="0.2">
      <c r="A21" s="1069"/>
    </row>
    <row r="22" spans="1:3" x14ac:dyDescent="0.2">
      <c r="A22" s="1069">
        <v>9</v>
      </c>
      <c r="B22" s="329" t="s">
        <v>2115</v>
      </c>
      <c r="C22" s="329" t="s">
        <v>2116</v>
      </c>
    </row>
    <row r="23" spans="1:3" x14ac:dyDescent="0.2">
      <c r="A23" s="1069"/>
    </row>
    <row r="24" spans="1:3" x14ac:dyDescent="0.2">
      <c r="A24" s="1069">
        <v>10</v>
      </c>
      <c r="B24" s="329" t="s">
        <v>2117</v>
      </c>
      <c r="C24" s="329" t="s">
        <v>2118</v>
      </c>
    </row>
    <row r="25" spans="1:3" x14ac:dyDescent="0.2">
      <c r="A25" s="1069"/>
    </row>
    <row r="26" spans="1:3" x14ac:dyDescent="0.2">
      <c r="A26" s="1069">
        <v>11</v>
      </c>
      <c r="B26" s="329" t="s">
        <v>2119</v>
      </c>
      <c r="C26" s="1144" t="s">
        <v>2120</v>
      </c>
    </row>
    <row r="27" spans="1:3" x14ac:dyDescent="0.2">
      <c r="A27" s="1069"/>
      <c r="C27" s="329" t="s">
        <v>2121</v>
      </c>
    </row>
    <row r="28" spans="1:3" x14ac:dyDescent="0.2">
      <c r="A28" s="1069"/>
    </row>
    <row r="29" spans="1:3" x14ac:dyDescent="0.2">
      <c r="A29" s="1069"/>
    </row>
    <row r="30" spans="1:3" x14ac:dyDescent="0.2">
      <c r="A30" s="1069"/>
    </row>
    <row r="31" spans="1:3" x14ac:dyDescent="0.2">
      <c r="A31" s="1069"/>
    </row>
    <row r="32" spans="1:3"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Vienna SD 55</v>
      </c>
    </row>
    <row r="65" spans="2:2" x14ac:dyDescent="0.2">
      <c r="B65" s="1070">
        <f>COVER!A13</f>
        <v>21044055002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8" t="s">
        <v>1709</v>
      </c>
    </row>
    <row r="23" spans="1:5" x14ac:dyDescent="0.2">
      <c r="A23" s="168"/>
      <c r="B23" s="162" t="s">
        <v>1968</v>
      </c>
      <c r="D23" s="167" t="s">
        <v>658</v>
      </c>
      <c r="E23" s="1858"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6</xdr:row>
                <xdr:rowOff>0</xdr:rowOff>
              </from>
              <to>
                <xdr:col>1</xdr:col>
                <xdr:colOff>914400</xdr:colOff>
                <xdr:row>10</xdr:row>
                <xdr:rowOff>66675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4"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4"/>
      <c r="H2" s="1074"/>
    </row>
    <row r="3" spans="1:8" ht="57" customHeight="1" x14ac:dyDescent="0.2">
      <c r="A3" s="2367" t="s">
        <v>1786</v>
      </c>
      <c r="B3" s="2368"/>
      <c r="C3" s="2368"/>
      <c r="D3" s="2368"/>
      <c r="E3" s="2368"/>
      <c r="F3" s="2369"/>
      <c r="G3" s="1074"/>
      <c r="H3" s="1074"/>
    </row>
    <row r="4" spans="1:8" ht="14.25" customHeight="1" x14ac:dyDescent="0.2">
      <c r="A4" s="2373" t="s">
        <v>2054</v>
      </c>
      <c r="B4" s="2374"/>
      <c r="C4" s="2374"/>
      <c r="D4" s="2374"/>
      <c r="E4" s="2374"/>
      <c r="F4" s="2375"/>
      <c r="G4" s="1074"/>
      <c r="H4" s="1074"/>
    </row>
    <row r="5" spans="1:8" ht="14.25" customHeight="1" x14ac:dyDescent="0.2">
      <c r="A5" s="2376" t="s">
        <v>2055</v>
      </c>
      <c r="B5" s="2377"/>
      <c r="C5" s="2377"/>
      <c r="D5" s="2377"/>
      <c r="E5" s="2377"/>
      <c r="F5" s="2378"/>
      <c r="G5" s="1074"/>
      <c r="H5" s="1074"/>
    </row>
    <row r="6" spans="1:8" s="1075" customFormat="1" ht="41.25" customHeight="1" x14ac:dyDescent="0.2">
      <c r="A6" s="2370" t="s">
        <v>1792</v>
      </c>
      <c r="B6" s="2371"/>
      <c r="C6" s="2371"/>
      <c r="D6" s="2371"/>
      <c r="E6" s="2371"/>
      <c r="F6" s="2372"/>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3207684</v>
      </c>
      <c r="C8" s="1837">
        <f>'Acct Summary 7-8'!D8</f>
        <v>96546</v>
      </c>
      <c r="D8" s="1837">
        <f>'Acct Summary 7-8'!F8</f>
        <v>199027</v>
      </c>
      <c r="E8" s="1837">
        <f>'Acct Summary 7-8'!I8</f>
        <v>16976</v>
      </c>
      <c r="F8" s="1837">
        <f>SUM(B8:E8)</f>
        <v>3520233</v>
      </c>
    </row>
    <row r="9" spans="1:8" s="1079" customFormat="1" ht="14.25" customHeight="1" thickBot="1" x14ac:dyDescent="0.25">
      <c r="A9" s="1078" t="s">
        <v>1436</v>
      </c>
      <c r="B9" s="1838">
        <f>'Acct Summary 7-8'!C17</f>
        <v>2882394</v>
      </c>
      <c r="C9" s="1838">
        <f>'Acct Summary 7-8'!D17</f>
        <v>106404</v>
      </c>
      <c r="D9" s="1838">
        <f>'Acct Summary 7-8'!F17</f>
        <v>159130</v>
      </c>
      <c r="E9" s="1837"/>
      <c r="F9" s="1837">
        <f>SUM(B9:E9)</f>
        <v>3147928</v>
      </c>
    </row>
    <row r="10" spans="1:8" s="1079" customFormat="1" ht="14.25" thickTop="1" thickBot="1" x14ac:dyDescent="0.25">
      <c r="A10" s="1080" t="s">
        <v>1437</v>
      </c>
      <c r="B10" s="1839">
        <f>(B8-B9)</f>
        <v>325290</v>
      </c>
      <c r="C10" s="1839">
        <f>(C8-C9)</f>
        <v>-9858</v>
      </c>
      <c r="D10" s="1839">
        <f>(D8-D9)</f>
        <v>39897</v>
      </c>
      <c r="E10" s="1838">
        <f>(E8-E9)</f>
        <v>16976</v>
      </c>
      <c r="F10" s="1840">
        <f>SUM(F8-F9)</f>
        <v>372305</v>
      </c>
    </row>
    <row r="11" spans="1:8" s="1079" customFormat="1" ht="14.25" thickTop="1" thickBot="1" x14ac:dyDescent="0.25">
      <c r="A11" s="1081" t="s">
        <v>1785</v>
      </c>
      <c r="B11" s="1841">
        <f>'Acct Summary 7-8'!C81</f>
        <v>687114</v>
      </c>
      <c r="C11" s="1841">
        <f>'Acct Summary 7-8'!D81</f>
        <v>125093</v>
      </c>
      <c r="D11" s="1841">
        <f>'Acct Summary 7-8'!F81</f>
        <v>99969</v>
      </c>
      <c r="E11" s="1841">
        <f>'Acct Summary 7-8'!I81</f>
        <v>16976</v>
      </c>
      <c r="F11" s="1842">
        <f>SUM(B11:E11)</f>
        <v>929152</v>
      </c>
    </row>
    <row r="12" spans="1:8" ht="16.5" customHeight="1" thickTop="1" x14ac:dyDescent="0.2">
      <c r="A12" s="1082"/>
      <c r="B12" s="1083"/>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4"/>
      <c r="B13" s="1085"/>
      <c r="C13" s="2358"/>
      <c r="D13" s="2359"/>
      <c r="E13" s="2359"/>
      <c r="F13" s="2360"/>
      <c r="H13" s="1074"/>
    </row>
    <row r="14" spans="1:8" ht="19.5" customHeight="1" x14ac:dyDescent="0.2">
      <c r="A14" s="1084"/>
      <c r="B14" s="1085"/>
      <c r="C14" s="2358"/>
      <c r="D14" s="2359"/>
      <c r="E14" s="2359"/>
      <c r="F14" s="2360"/>
      <c r="H14" s="1074"/>
    </row>
    <row r="15" spans="1:8" ht="17.25" customHeight="1" x14ac:dyDescent="0.2">
      <c r="A15" s="1084"/>
      <c r="B15" s="1085"/>
      <c r="C15" s="2361"/>
      <c r="D15" s="2362"/>
      <c r="E15" s="2362"/>
      <c r="F15" s="2363"/>
      <c r="H15" s="1074"/>
    </row>
    <row r="16" spans="1:8" s="310" customFormat="1" ht="51.75" hidden="1" customHeight="1" x14ac:dyDescent="0.2">
      <c r="A16" s="2357" t="s">
        <v>1787</v>
      </c>
      <c r="B16" s="2357"/>
      <c r="C16" s="2357"/>
      <c r="D16" s="2357"/>
      <c r="E16" s="2357"/>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C69" sqref="C6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79" t="s">
        <v>686</v>
      </c>
      <c r="B3" s="2380"/>
      <c r="C3" s="2380"/>
      <c r="D3" s="2381"/>
    </row>
    <row r="4" spans="1:4" x14ac:dyDescent="0.2">
      <c r="A4" s="1152" t="s">
        <v>1793</v>
      </c>
      <c r="B4" s="1153"/>
      <c r="C4" s="1154"/>
      <c r="D4" s="1155"/>
    </row>
    <row r="5" spans="1:4" ht="21" customHeight="1" x14ac:dyDescent="0.2">
      <c r="A5" s="1148"/>
      <c r="B5" s="1149">
        <v>1</v>
      </c>
      <c r="C5" s="1150" t="s">
        <v>1945</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90" t="s">
        <v>1584</v>
      </c>
      <c r="D7" s="2391"/>
    </row>
    <row r="8" spans="1:4" s="669" customFormat="1" ht="12.75" x14ac:dyDescent="0.2">
      <c r="A8" s="1138"/>
      <c r="B8" s="1093"/>
      <c r="C8" s="1096" t="s">
        <v>1583</v>
      </c>
      <c r="D8" s="1097"/>
    </row>
    <row r="9" spans="1:4" s="669" customFormat="1" ht="14.25" customHeight="1" x14ac:dyDescent="0.2">
      <c r="A9" s="1138"/>
      <c r="B9" s="1093">
        <f>B7+1</f>
        <v>4</v>
      </c>
      <c r="C9" s="1094" t="s">
        <v>2047</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4" t="s">
        <v>332</v>
      </c>
      <c r="D21" s="2395"/>
    </row>
    <row r="22" spans="1:10" ht="12.75" x14ac:dyDescent="0.2">
      <c r="A22" s="1139"/>
      <c r="B22" s="1140">
        <v>2</v>
      </c>
      <c r="C22" s="2392" t="s">
        <v>1605</v>
      </c>
      <c r="D22" s="2393"/>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96" t="s">
        <v>557</v>
      </c>
      <c r="D43" s="2397"/>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88" t="s">
        <v>817</v>
      </c>
      <c r="D56" s="2389"/>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2048</v>
      </c>
      <c r="D66" s="1125"/>
    </row>
    <row r="67" spans="1:4" x14ac:dyDescent="0.2">
      <c r="A67" s="1119"/>
      <c r="B67" s="1140"/>
      <c r="C67" s="1147" t="s">
        <v>1079</v>
      </c>
      <c r="D67" s="1125"/>
    </row>
    <row r="68" spans="1:4" x14ac:dyDescent="0.2">
      <c r="A68" s="1100"/>
      <c r="B68" s="1110"/>
      <c r="C68" s="1102" t="s">
        <v>2049</v>
      </c>
      <c r="D68" s="1124" t="str">
        <f>IF('Short-Term Long-Term Debt 24'!F49=SUM(,'Acct Summary 7-8'!C33:K33),"OK","ERROR!")</f>
        <v>OK</v>
      </c>
    </row>
    <row r="69" spans="1:4" x14ac:dyDescent="0.2">
      <c r="A69" s="1100"/>
      <c r="B69" s="1110"/>
      <c r="C69" s="1102" t="s">
        <v>2050</v>
      </c>
      <c r="D69" s="1124" t="str">
        <f>IF('Expenditures 15-22'!H170&lt;&gt;'Short-Term Long-Term Debt 24'!H49,"ERROR!","OK")</f>
        <v>ERROR!</v>
      </c>
    </row>
    <row r="70" spans="1:4" x14ac:dyDescent="0.2">
      <c r="A70" s="1098"/>
      <c r="B70" s="1120">
        <f>B66+1</f>
        <v>9</v>
      </c>
      <c r="C70" s="2388" t="s">
        <v>1797</v>
      </c>
      <c r="D70" s="2389"/>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2051</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2052</v>
      </c>
      <c r="D78" s="1124" t="str">
        <f>IF(ISNUMBER('Acct Summary 7-8'!C9),"OK","ENTRY IS REQUIRED!")</f>
        <v>OK</v>
      </c>
    </row>
    <row r="79" spans="1:4" x14ac:dyDescent="0.2">
      <c r="A79" s="1119"/>
      <c r="B79" s="1120">
        <f>B74+1+1</f>
        <v>12</v>
      </c>
      <c r="C79" s="1130" t="s">
        <v>2018</v>
      </c>
      <c r="D79" s="1131" t="str">
        <f>IF(OR(COVER!$B$6="X",'PCTC-OEPP 27-28'!F78&gt;0),"OK","PLEASE ENTER 9 MO ADA.")</f>
        <v>OK</v>
      </c>
    </row>
    <row r="80" spans="1:4" x14ac:dyDescent="0.2">
      <c r="A80" s="1098"/>
      <c r="B80" s="1120">
        <v>13</v>
      </c>
      <c r="C80" s="1130" t="s">
        <v>2053</v>
      </c>
      <c r="D80" s="1131" t="str">
        <f>IF('Contracts Paid in CY 29'!D141&gt;0,"OK","PLEASE ENTER CONTRACTS PAID IN CURRENT YEAR.")</f>
        <v>OK</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21044055002</v>
      </c>
    </row>
    <row r="3" spans="1:2" x14ac:dyDescent="0.2">
      <c r="A3" t="s">
        <v>1013</v>
      </c>
      <c r="B3" s="138" t="str">
        <f>COVER!A15</f>
        <v>JOHNSON</v>
      </c>
    </row>
    <row r="4" spans="1:2" x14ac:dyDescent="0.2">
      <c r="A4" t="s">
        <v>1064</v>
      </c>
      <c r="B4" s="138" t="str">
        <f>COVER!A17</f>
        <v>Vienna SD 55</v>
      </c>
    </row>
    <row r="5" spans="1:2" x14ac:dyDescent="0.2">
      <c r="A5" t="s">
        <v>728</v>
      </c>
      <c r="B5" s="138" t="str">
        <f>COVER!A38</f>
        <v>GREG FREHNER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066-003657</v>
      </c>
    </row>
    <row r="16" spans="1:2" x14ac:dyDescent="0.2">
      <c r="A16" t="s">
        <v>442</v>
      </c>
      <c r="B16" s="138" t="str">
        <f>COVER!T13</f>
        <v>BOTSCH &amp; ASSOCIATES, CPA'S, LLC</v>
      </c>
    </row>
    <row r="17" spans="1:2" x14ac:dyDescent="0.2">
      <c r="A17" t="s">
        <v>939</v>
      </c>
      <c r="B17" s="138" t="str">
        <f>COVER!T15</f>
        <v>ARLYNNE STROMAN, CPA</v>
      </c>
    </row>
    <row r="18" spans="1:2" x14ac:dyDescent="0.2">
      <c r="A18" t="s">
        <v>1212</v>
      </c>
      <c r="B18" s="138" t="str">
        <f>COVER!T17</f>
        <v>113 E. MAIN ST.</v>
      </c>
    </row>
    <row r="19" spans="1:2" x14ac:dyDescent="0.2">
      <c r="A19" t="s">
        <v>941</v>
      </c>
      <c r="B19" s="138" t="str">
        <f>COVER!T25</f>
        <v>ARLYNNE@BOTSCH.COM</v>
      </c>
    </row>
    <row r="20" spans="1:2" x14ac:dyDescent="0.2">
      <c r="A20" t="s">
        <v>942</v>
      </c>
      <c r="B20" s="138" t="str">
        <f>COVER!T19</f>
        <v>CARMI</v>
      </c>
    </row>
    <row r="21" spans="1:2" x14ac:dyDescent="0.2">
      <c r="A21" t="s">
        <v>500</v>
      </c>
      <c r="B21" s="138" t="str">
        <f>COVER!X19</f>
        <v>IL</v>
      </c>
    </row>
    <row r="22" spans="1:2" x14ac:dyDescent="0.2">
      <c r="A22" t="s">
        <v>943</v>
      </c>
      <c r="B22" s="138">
        <f>COVER!Z19</f>
        <v>62821</v>
      </c>
    </row>
    <row r="23" spans="1:2" x14ac:dyDescent="0.2">
      <c r="A23" t="s">
        <v>1214</v>
      </c>
      <c r="B23" s="138" t="str">
        <f>COVER!T21</f>
        <v>618-382-4151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629960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687114</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687114</v>
      </c>
      <c r="D92" s="2" t="str">
        <f t="shared" si="0"/>
        <v>Error?</v>
      </c>
    </row>
    <row r="93" spans="1:4" x14ac:dyDescent="0.2">
      <c r="A93" s="5">
        <v>32</v>
      </c>
      <c r="B93" s="138">
        <f>'Assets-Liab 5-6'!C41</f>
        <v>687114</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120822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125093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125093</v>
      </c>
      <c r="D123" s="2" t="str">
        <f t="shared" si="0"/>
        <v>Error?</v>
      </c>
    </row>
    <row r="124" spans="1:4" x14ac:dyDescent="0.2">
      <c r="A124" s="5">
        <v>63</v>
      </c>
      <c r="B124" s="138">
        <f>'Assets-Liab 5-6'!D41</f>
        <v>125093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28482</v>
      </c>
      <c r="D129" s="2" t="str">
        <f t="shared" si="1"/>
        <v>Error?</v>
      </c>
    </row>
    <row r="130" spans="1:4" x14ac:dyDescent="0.2">
      <c r="A130" s="5">
        <v>69</v>
      </c>
      <c r="B130" s="138">
        <f>'Assets-Liab 5-6'!E12</f>
        <v>0</v>
      </c>
      <c r="D130" s="2" t="str">
        <f t="shared" si="1"/>
        <v>Error?</v>
      </c>
    </row>
    <row r="131" spans="1:4" x14ac:dyDescent="0.2">
      <c r="A131" s="5">
        <v>70</v>
      </c>
      <c r="B131" s="138">
        <f>'Assets-Liab 5-6'!E13</f>
        <v>28482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28482</v>
      </c>
      <c r="D140" s="2" t="str">
        <f t="shared" si="1"/>
        <v>Error?</v>
      </c>
    </row>
    <row r="141" spans="1:4" x14ac:dyDescent="0.2">
      <c r="A141" s="5">
        <v>80</v>
      </c>
      <c r="B141" s="138">
        <f>'Assets-Liab 5-6'!E41</f>
        <v>28482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63637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99969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99969</v>
      </c>
      <c r="D170" s="2" t="str">
        <f t="shared" si="1"/>
        <v>Error?</v>
      </c>
    </row>
    <row r="171" spans="1:4" x14ac:dyDescent="0.2">
      <c r="A171" s="5">
        <v>110</v>
      </c>
      <c r="B171" s="138">
        <f>'Assets-Liab 5-6'!F41</f>
        <v>99969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265367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280493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280493</v>
      </c>
      <c r="D189" s="2" t="str">
        <f t="shared" si="1"/>
        <v>Error?</v>
      </c>
    </row>
    <row r="190" spans="1:4" x14ac:dyDescent="0.2">
      <c r="A190" s="5">
        <v>129</v>
      </c>
      <c r="B190" s="138">
        <f>'Assets-Liab 5-6'!G41</f>
        <v>280493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127186</v>
      </c>
      <c r="D273" s="2" t="str">
        <f t="shared" si="3"/>
        <v>Error?</v>
      </c>
    </row>
    <row r="274" spans="1:4" x14ac:dyDescent="0.2">
      <c r="A274" s="5">
        <v>213</v>
      </c>
      <c r="B274" s="138">
        <f>'Assets-Liab 5-6'!M17</f>
        <v>4359978</v>
      </c>
      <c r="D274" s="2" t="str">
        <f t="shared" si="3"/>
        <v>Error?</v>
      </c>
    </row>
    <row r="275" spans="1:4" x14ac:dyDescent="0.2">
      <c r="A275" s="5">
        <v>214</v>
      </c>
      <c r="B275" s="138">
        <f>'Assets-Liab 5-6'!M18</f>
        <v>218809</v>
      </c>
      <c r="D275" s="2" t="str">
        <f t="shared" si="3"/>
        <v>Error?</v>
      </c>
    </row>
    <row r="276" spans="1:4" x14ac:dyDescent="0.2">
      <c r="A276" s="5">
        <v>215</v>
      </c>
      <c r="B276" s="138">
        <f>'Assets-Liab 5-6'!M19</f>
        <v>297155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5003128</v>
      </c>
      <c r="C279" s="2" t="s">
        <v>594</v>
      </c>
      <c r="D279" s="2" t="str">
        <f t="shared" si="3"/>
        <v>Error?</v>
      </c>
    </row>
    <row r="280" spans="1:4" x14ac:dyDescent="0.2">
      <c r="A280" s="5">
        <v>219</v>
      </c>
      <c r="B280" s="138">
        <f>'Assets-Liab 5-6'!M40</f>
        <v>5003128</v>
      </c>
      <c r="D280" s="2" t="str">
        <f t="shared" si="3"/>
        <v>Error?</v>
      </c>
    </row>
    <row r="281" spans="1:4" x14ac:dyDescent="0.2">
      <c r="A281" s="5">
        <v>220</v>
      </c>
      <c r="B281" s="138">
        <f>'Assets-Liab 5-6'!M41</f>
        <v>5003128</v>
      </c>
      <c r="C281" s="2" t="s">
        <v>594</v>
      </c>
      <c r="D281" s="2" t="str">
        <f t="shared" si="3"/>
        <v>Error?</v>
      </c>
    </row>
    <row r="282" spans="1:4" x14ac:dyDescent="0.2">
      <c r="A282" s="5">
        <v>221</v>
      </c>
      <c r="B282" s="138">
        <f>'Assets-Liab 5-6'!N21</f>
        <v>28482</v>
      </c>
      <c r="D282" s="2" t="str">
        <f t="shared" si="3"/>
        <v>Error?</v>
      </c>
    </row>
    <row r="283" spans="1:4" x14ac:dyDescent="0.2">
      <c r="A283" s="5">
        <v>222</v>
      </c>
      <c r="B283" s="138">
        <f>'Assets-Liab 5-6'!N22</f>
        <v>2267048</v>
      </c>
      <c r="D283" s="2" t="str">
        <f t="shared" si="3"/>
        <v>Error?</v>
      </c>
    </row>
    <row r="284" spans="1:4" x14ac:dyDescent="0.2">
      <c r="A284" s="5">
        <v>223</v>
      </c>
      <c r="B284" s="138">
        <f>'Assets-Liab 5-6'!N23</f>
        <v>2295530</v>
      </c>
      <c r="C284" s="2" t="s">
        <v>594</v>
      </c>
      <c r="D284" s="2" t="str">
        <f t="shared" si="3"/>
        <v>Error?</v>
      </c>
    </row>
    <row r="285" spans="1:4" x14ac:dyDescent="0.2">
      <c r="A285" s="5">
        <v>224</v>
      </c>
      <c r="B285" s="138">
        <f>'Assets-Liab 5-6'!N36</f>
        <v>2295530</v>
      </c>
      <c r="D285" s="2" t="str">
        <f t="shared" si="3"/>
        <v>Error?</v>
      </c>
    </row>
    <row r="286" spans="1:4" x14ac:dyDescent="0.2">
      <c r="A286" s="10">
        <v>225</v>
      </c>
      <c r="D286" s="2" t="str">
        <f t="shared" si="3"/>
        <v>OK</v>
      </c>
    </row>
    <row r="287" spans="1:4" x14ac:dyDescent="0.2">
      <c r="A287" s="5">
        <v>226</v>
      </c>
      <c r="B287" s="138">
        <f>'Assets-Liab 5-6'!N37</f>
        <v>2295530</v>
      </c>
      <c r="C287" s="2" t="s">
        <v>594</v>
      </c>
      <c r="D287" s="2" t="str">
        <f t="shared" si="3"/>
        <v>Error?</v>
      </c>
    </row>
    <row r="288" spans="1:4" x14ac:dyDescent="0.2">
      <c r="A288" s="5">
        <v>227</v>
      </c>
      <c r="B288" s="138">
        <f>'Assets-Liab 5-6'!N41</f>
        <v>2295530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1147052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14154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23733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1624990</v>
      </c>
      <c r="C720" s="2" t="s">
        <v>594</v>
      </c>
      <c r="D720" s="2" t="str">
        <f t="shared" si="10"/>
        <v>Error?</v>
      </c>
    </row>
    <row r="721" spans="1:4" x14ac:dyDescent="0.2">
      <c r="A721" s="5">
        <v>660</v>
      </c>
      <c r="B721" s="138">
        <f>'Expenditures 15-22'!C36</f>
        <v>48574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22876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36409</v>
      </c>
      <c r="D725" s="2" t="str">
        <f t="shared" si="10"/>
        <v>Error?</v>
      </c>
    </row>
    <row r="726" spans="1:4" x14ac:dyDescent="0.2">
      <c r="A726" s="5">
        <v>665</v>
      </c>
      <c r="B726" s="138">
        <f>'Expenditures 15-22'!C41</f>
        <v>31805</v>
      </c>
      <c r="D726" s="2" t="str">
        <f t="shared" si="10"/>
        <v>Error?</v>
      </c>
    </row>
    <row r="727" spans="1:4" x14ac:dyDescent="0.2">
      <c r="A727" s="5">
        <v>666</v>
      </c>
      <c r="B727" s="138">
        <f>'Expenditures 15-22'!C42</f>
        <v>139664</v>
      </c>
      <c r="C727" s="2" t="s">
        <v>594</v>
      </c>
      <c r="D727" s="2" t="str">
        <f t="shared" si="10"/>
        <v>Error?</v>
      </c>
    </row>
    <row r="728" spans="1:4" x14ac:dyDescent="0.2">
      <c r="A728" s="5">
        <v>667</v>
      </c>
      <c r="B728" s="138">
        <f>'Expenditures 15-22'!C44</f>
        <v>17136</v>
      </c>
      <c r="D728" s="2" t="str">
        <f t="shared" si="10"/>
        <v>Error?</v>
      </c>
    </row>
    <row r="729" spans="1:4" x14ac:dyDescent="0.2">
      <c r="A729" s="5">
        <v>668</v>
      </c>
      <c r="B729" s="138">
        <f>'Expenditures 15-22'!C45</f>
        <v>10298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27434</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106505</v>
      </c>
      <c r="D733" s="2" t="str">
        <f t="shared" si="10"/>
        <v>Error?</v>
      </c>
    </row>
    <row r="734" spans="1:4" x14ac:dyDescent="0.2">
      <c r="A734" s="5">
        <v>673</v>
      </c>
      <c r="B734" s="138">
        <f>'Expenditures 15-22'!C53</f>
        <v>106505</v>
      </c>
      <c r="C734" s="2" t="s">
        <v>594</v>
      </c>
      <c r="D734" s="2" t="str">
        <f t="shared" si="10"/>
        <v>Error?</v>
      </c>
    </row>
    <row r="735" spans="1:4" x14ac:dyDescent="0.2">
      <c r="A735" s="5">
        <v>674</v>
      </c>
      <c r="B735" s="138">
        <f>'Expenditures 15-22'!C55</f>
        <v>25658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25658</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49538</v>
      </c>
      <c r="D739" s="2" t="str">
        <f t="shared" si="10"/>
        <v>Error?</v>
      </c>
    </row>
    <row r="740" spans="1:4" x14ac:dyDescent="0.2">
      <c r="A740" s="5">
        <v>679</v>
      </c>
      <c r="B740" s="138">
        <f>'Expenditures 15-22'!C61</f>
        <v>69774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67327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186639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485900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2110890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242968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377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1636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305709</v>
      </c>
      <c r="C778" s="2" t="s">
        <v>594</v>
      </c>
      <c r="D778" s="2" t="str">
        <f t="shared" si="11"/>
        <v>Error?</v>
      </c>
    </row>
    <row r="779" spans="1:4" x14ac:dyDescent="0.2">
      <c r="A779" s="5">
        <v>718</v>
      </c>
      <c r="B779" s="138">
        <f>'Expenditures 15-22'!D36</f>
        <v>6195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9149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15344</v>
      </c>
      <c r="C785" s="2" t="s">
        <v>594</v>
      </c>
      <c r="D785" s="2" t="str">
        <f t="shared" si="11"/>
        <v>Error?</v>
      </c>
    </row>
    <row r="786" spans="1:4" x14ac:dyDescent="0.2">
      <c r="A786" s="5">
        <v>725</v>
      </c>
      <c r="B786" s="138">
        <f>'Expenditures 15-22'!D44</f>
        <v>2451</v>
      </c>
      <c r="D786" s="2" t="str">
        <f t="shared" si="11"/>
        <v>Error?</v>
      </c>
    </row>
    <row r="787" spans="1:4" x14ac:dyDescent="0.2">
      <c r="A787" s="5">
        <v>726</v>
      </c>
      <c r="B787" s="138">
        <f>'Expenditures 15-22'!D45</f>
        <v>2375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4826</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16416</v>
      </c>
      <c r="D791" s="2" t="str">
        <f t="shared" si="11"/>
        <v>Error?</v>
      </c>
    </row>
    <row r="792" spans="1:4" x14ac:dyDescent="0.2">
      <c r="A792" s="5">
        <v>731</v>
      </c>
      <c r="B792" s="138">
        <f>'Expenditures 15-22'!D53</f>
        <v>16416</v>
      </c>
      <c r="C792" s="2" t="s">
        <v>594</v>
      </c>
      <c r="D792" s="2" t="str">
        <f t="shared" si="11"/>
        <v>Error?</v>
      </c>
    </row>
    <row r="793" spans="1:4" x14ac:dyDescent="0.2">
      <c r="A793" s="5">
        <v>732</v>
      </c>
      <c r="B793" s="138">
        <f>'Expenditures 15-22'!D55</f>
        <v>257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257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5183</v>
      </c>
      <c r="D797" s="2" t="str">
        <f t="shared" si="11"/>
        <v>Error?</v>
      </c>
    </row>
    <row r="798" spans="1:4" x14ac:dyDescent="0.2">
      <c r="A798" s="5">
        <v>737</v>
      </c>
      <c r="B798" s="138">
        <f>'Expenditures 15-22'!D61</f>
        <v>6199</v>
      </c>
      <c r="D798" s="2" t="str">
        <f t="shared" si="11"/>
        <v>Error?</v>
      </c>
    </row>
    <row r="799" spans="1:4" x14ac:dyDescent="0.2">
      <c r="A799" s="5">
        <v>738</v>
      </c>
      <c r="B799" s="138">
        <f>'Expenditures 15-22'!D62</f>
        <v>0</v>
      </c>
      <c r="D799" s="2" t="str">
        <f t="shared" si="11"/>
        <v>Error?</v>
      </c>
    </row>
    <row r="800" spans="1:4" x14ac:dyDescent="0.2">
      <c r="A800" s="5">
        <v>739</v>
      </c>
      <c r="B800" s="138">
        <f>'Expenditures 15-22'!D63</f>
        <v>4166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15548</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52391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358100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17566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52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8347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30831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155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155</v>
      </c>
      <c r="C843" s="2" t="s">
        <v>594</v>
      </c>
      <c r="D843" s="2" t="str">
        <f t="shared" si="12"/>
        <v>Error?</v>
      </c>
    </row>
    <row r="844" spans="1:4" x14ac:dyDescent="0.2">
      <c r="A844" s="5">
        <v>783</v>
      </c>
      <c r="B844" s="138">
        <f>'Expenditures 15-22'!E44</f>
        <v>10443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10443</v>
      </c>
      <c r="C847" s="2" t="s">
        <v>594</v>
      </c>
      <c r="D847" s="2" t="str">
        <f t="shared" si="12"/>
        <v>Error?</v>
      </c>
    </row>
    <row r="848" spans="1:4" x14ac:dyDescent="0.2">
      <c r="A848" s="5">
        <v>787</v>
      </c>
      <c r="B848" s="138">
        <f>'Expenditures 15-22'!E49</f>
        <v>15312</v>
      </c>
      <c r="D848" s="2" t="str">
        <f t="shared" si="12"/>
        <v>Error?</v>
      </c>
    </row>
    <row r="849" spans="1:4" x14ac:dyDescent="0.2">
      <c r="A849" s="5">
        <v>788</v>
      </c>
      <c r="B849" s="138">
        <f>'Expenditures 15-22'!E50</f>
        <v>2406</v>
      </c>
      <c r="D849" s="2" t="str">
        <f t="shared" si="12"/>
        <v>Error?</v>
      </c>
    </row>
    <row r="850" spans="1:4" x14ac:dyDescent="0.2">
      <c r="A850" s="5">
        <v>789</v>
      </c>
      <c r="B850" s="138">
        <f>'Expenditures 15-22'!E53</f>
        <v>17718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6038</v>
      </c>
      <c r="D855" s="2" t="str">
        <f t="shared" si="12"/>
        <v>Error?</v>
      </c>
    </row>
    <row r="856" spans="1:4" x14ac:dyDescent="0.2">
      <c r="A856" s="5">
        <v>795</v>
      </c>
      <c r="B856" s="138">
        <f>'Expenditures 15-22'!E61</f>
        <v>15816</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5098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26952</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55268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166377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20955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113</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2562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48126</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1116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110</v>
      </c>
      <c r="D899" s="2" t="str">
        <f t="shared" si="13"/>
        <v>Error?</v>
      </c>
    </row>
    <row r="900" spans="1:4" x14ac:dyDescent="0.2">
      <c r="A900" s="5">
        <v>839</v>
      </c>
      <c r="B900" s="138">
        <f>'Expenditures 15-22'!F41</f>
        <v>6971</v>
      </c>
      <c r="D900" s="2" t="str">
        <f t="shared" si="13"/>
        <v>Error?</v>
      </c>
    </row>
    <row r="901" spans="1:4" x14ac:dyDescent="0.2">
      <c r="A901" s="5">
        <v>840</v>
      </c>
      <c r="B901" s="138">
        <f>'Expenditures 15-22'!F42</f>
        <v>8197</v>
      </c>
      <c r="C901" s="2" t="s">
        <v>594</v>
      </c>
      <c r="D901" s="2" t="str">
        <f t="shared" si="13"/>
        <v>Error?</v>
      </c>
    </row>
    <row r="902" spans="1:4" x14ac:dyDescent="0.2">
      <c r="A902" s="5">
        <v>841</v>
      </c>
      <c r="B902" s="138">
        <f>'Expenditures 15-22'!F44</f>
        <v>29512</v>
      </c>
      <c r="D902" s="2" t="str">
        <f t="shared" si="13"/>
        <v>Error?</v>
      </c>
    </row>
    <row r="903" spans="1:4" x14ac:dyDescent="0.2">
      <c r="A903" s="5">
        <v>842</v>
      </c>
      <c r="B903" s="138">
        <f>'Expenditures 15-22'!F45</f>
        <v>1622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31134</v>
      </c>
      <c r="C905" s="2" t="s">
        <v>594</v>
      </c>
      <c r="D905" s="2" t="str">
        <f t="shared" si="13"/>
        <v>Error?</v>
      </c>
    </row>
    <row r="906" spans="1:4" x14ac:dyDescent="0.2">
      <c r="A906" s="5">
        <v>845</v>
      </c>
      <c r="B906" s="138">
        <f>'Expenditures 15-22'!F49</f>
        <v>4791</v>
      </c>
      <c r="D906" s="2" t="str">
        <f t="shared" si="13"/>
        <v>Error?</v>
      </c>
    </row>
    <row r="907" spans="1:4" x14ac:dyDescent="0.2">
      <c r="A907" s="5">
        <v>846</v>
      </c>
      <c r="B907" s="138">
        <f>'Expenditures 15-22'!F50</f>
        <v>617</v>
      </c>
      <c r="D907" s="2" t="str">
        <f t="shared" si="13"/>
        <v>Error?</v>
      </c>
    </row>
    <row r="908" spans="1:4" x14ac:dyDescent="0.2">
      <c r="A908" s="5">
        <v>847</v>
      </c>
      <c r="B908" s="138">
        <f>'Expenditures 15-22'!F53</f>
        <v>5408</v>
      </c>
      <c r="C908" s="2" t="s">
        <v>594</v>
      </c>
      <c r="D908" s="2" t="str">
        <f t="shared" si="13"/>
        <v>Error?</v>
      </c>
    </row>
    <row r="909" spans="1:4" x14ac:dyDescent="0.2">
      <c r="A909" s="5">
        <v>848</v>
      </c>
      <c r="B909" s="138">
        <f>'Expenditures 15-22'!F55</f>
        <v>680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680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851</v>
      </c>
      <c r="D913" s="2" t="str">
        <f t="shared" si="13"/>
        <v>Error?</v>
      </c>
    </row>
    <row r="914" spans="1:4" x14ac:dyDescent="0.2">
      <c r="A914" s="5">
        <v>853</v>
      </c>
      <c r="B914" s="138">
        <f>'Expenditures 15-22'!F61</f>
        <v>27282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86297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114430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159849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207975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19171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2331</v>
      </c>
      <c r="D965" s="2" t="str">
        <f t="shared" si="14"/>
        <v>Error?</v>
      </c>
    </row>
    <row r="966" spans="1:4" x14ac:dyDescent="0.2">
      <c r="A966" s="5">
        <v>905</v>
      </c>
      <c r="B966" s="138">
        <f>'Expenditures 15-22'!G53</f>
        <v>2331</v>
      </c>
      <c r="C966" s="2" t="s">
        <v>594</v>
      </c>
      <c r="D966" s="2" t="str">
        <f t="shared" si="14"/>
        <v>Error?</v>
      </c>
    </row>
    <row r="967" spans="1:4" x14ac:dyDescent="0.2">
      <c r="A967" s="5">
        <v>906</v>
      </c>
      <c r="B967" s="138">
        <f>'Expenditures 15-22'!G55</f>
        <v>139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139</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5646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5646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8116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27287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944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1669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2841</v>
      </c>
      <c r="C1010" s="2" t="s">
        <v>594</v>
      </c>
      <c r="D1010" s="2" t="str">
        <f t="shared" si="14"/>
        <v>Error?</v>
      </c>
    </row>
    <row r="1011" spans="1:4" x14ac:dyDescent="0.2">
      <c r="A1011" s="5">
        <v>950</v>
      </c>
      <c r="B1011" s="138">
        <f>'Expenditures 15-22'!H36</f>
        <v>174</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174</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5092</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5092</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20</v>
      </c>
      <c r="D1029" s="2" t="str">
        <f t="shared" si="15"/>
        <v>Error?</v>
      </c>
    </row>
    <row r="1030" spans="1:4" x14ac:dyDescent="0.2">
      <c r="A1030" s="5">
        <v>969</v>
      </c>
      <c r="B1030" s="138">
        <f>'Expenditures 15-22'!H61</f>
        <v>70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1068</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1158</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6424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2500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11765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1429485</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14696</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37947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2031668</v>
      </c>
      <c r="C1108" s="2" t="s">
        <v>594</v>
      </c>
      <c r="D1108" s="2" t="str">
        <f t="shared" si="16"/>
        <v>Error?</v>
      </c>
    </row>
    <row r="1109" spans="1:4" x14ac:dyDescent="0.2">
      <c r="A1109" s="5">
        <v>1048</v>
      </c>
      <c r="B1109" s="138">
        <f>'Expenditures 15-22'!K36</f>
        <v>54943</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24147</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45668</v>
      </c>
      <c r="C1113" s="2" t="s">
        <v>594</v>
      </c>
      <c r="D1113" s="2" t="str">
        <f t="shared" si="16"/>
        <v>Error?</v>
      </c>
    </row>
    <row r="1114" spans="1:4" x14ac:dyDescent="0.2">
      <c r="A1114" s="5">
        <v>1053</v>
      </c>
      <c r="B1114" s="138">
        <f>'Expenditures 15-22'!K41</f>
        <v>38776</v>
      </c>
      <c r="C1114" s="2" t="s">
        <v>594</v>
      </c>
      <c r="D1114" s="2" t="str">
        <f t="shared" si="16"/>
        <v>Error?</v>
      </c>
    </row>
    <row r="1115" spans="1:4" x14ac:dyDescent="0.2">
      <c r="A1115" s="5">
        <v>1054</v>
      </c>
      <c r="B1115" s="138">
        <f>'Expenditures 15-22'!K42</f>
        <v>163534</v>
      </c>
      <c r="C1115" s="2" t="s">
        <v>594</v>
      </c>
      <c r="D1115" s="2" t="str">
        <f t="shared" si="16"/>
        <v>Error?</v>
      </c>
    </row>
    <row r="1116" spans="1:4" x14ac:dyDescent="0.2">
      <c r="A1116" s="5">
        <v>1055</v>
      </c>
      <c r="B1116" s="138">
        <f>'Expenditures 15-22'!K44</f>
        <v>59542</v>
      </c>
      <c r="C1116" s="2" t="s">
        <v>594</v>
      </c>
      <c r="D1116" s="2" t="str">
        <f t="shared" si="16"/>
        <v>Error?</v>
      </c>
    </row>
    <row r="1117" spans="1:4" x14ac:dyDescent="0.2">
      <c r="A1117" s="5">
        <v>1056</v>
      </c>
      <c r="B1117" s="138">
        <f>'Expenditures 15-22'!K45</f>
        <v>14295</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73837</v>
      </c>
      <c r="C1119" s="2" t="s">
        <v>594</v>
      </c>
      <c r="D1119" s="2" t="str">
        <f t="shared" si="16"/>
        <v>Error?</v>
      </c>
    </row>
    <row r="1120" spans="1:4" x14ac:dyDescent="0.2">
      <c r="A1120" s="5">
        <v>1059</v>
      </c>
      <c r="B1120" s="138">
        <f>'Expenditures 15-22'!K49</f>
        <v>25195</v>
      </c>
      <c r="C1120" s="2" t="s">
        <v>594</v>
      </c>
      <c r="D1120" s="2" t="str">
        <f t="shared" si="16"/>
        <v>Error?</v>
      </c>
    </row>
    <row r="1121" spans="1:4" x14ac:dyDescent="0.2">
      <c r="A1121" s="5">
        <v>1060</v>
      </c>
      <c r="B1121" s="138">
        <f>'Expenditures 15-22'!K50</f>
        <v>128275</v>
      </c>
      <c r="C1121" s="2" t="s">
        <v>594</v>
      </c>
      <c r="D1121" s="2" t="str">
        <f t="shared" si="16"/>
        <v>Error?</v>
      </c>
    </row>
    <row r="1122" spans="1:4" x14ac:dyDescent="0.2">
      <c r="A1122" s="5">
        <v>1061</v>
      </c>
      <c r="B1122" s="138">
        <f>'Expenditures 15-22'!K53</f>
        <v>153470</v>
      </c>
      <c r="C1122" s="2" t="s">
        <v>594</v>
      </c>
      <c r="D1122" s="2" t="str">
        <f t="shared" si="16"/>
        <v>Error?</v>
      </c>
    </row>
    <row r="1123" spans="1:4" x14ac:dyDescent="0.2">
      <c r="A1123" s="5">
        <v>1062</v>
      </c>
      <c r="B1123" s="138">
        <f>'Expenditures 15-22'!K55</f>
        <v>26734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26734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61630</v>
      </c>
      <c r="C1127" s="2" t="s">
        <v>594</v>
      </c>
      <c r="D1127" s="2" t="str">
        <f t="shared" si="16"/>
        <v>Error?</v>
      </c>
    </row>
    <row r="1128" spans="1:4" x14ac:dyDescent="0.2">
      <c r="A1128" s="5">
        <v>1067</v>
      </c>
      <c r="B1128" s="138">
        <f>'Expenditures 15-22'!K61</f>
        <v>124787</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163956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350373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767948</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82778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2882394</v>
      </c>
      <c r="C1152" s="2" t="s">
        <v>594</v>
      </c>
      <c r="D1152" s="2" t="str">
        <f t="shared" si="17"/>
        <v>Error?</v>
      </c>
    </row>
    <row r="1153" spans="1:4" x14ac:dyDescent="0.2">
      <c r="A1153" s="5">
        <v>1092</v>
      </c>
      <c r="B1153" s="138">
        <f>'Expenditures 15-22'!K115</f>
        <v>325290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2340</v>
      </c>
      <c r="D1236" s="2" t="str">
        <f t="shared" si="18"/>
        <v>Error?</v>
      </c>
    </row>
    <row r="1237" spans="1:4" x14ac:dyDescent="0.2">
      <c r="A1237" s="5">
        <v>1176</v>
      </c>
      <c r="B1237" s="138">
        <f>'Expenditures 15-22'!E124</f>
        <v>36397</v>
      </c>
      <c r="D1237" s="2" t="str">
        <f t="shared" si="18"/>
        <v>Error?</v>
      </c>
    </row>
    <row r="1238" spans="1:4" x14ac:dyDescent="0.2">
      <c r="A1238" s="10">
        <v>1177</v>
      </c>
      <c r="D1238" s="2" t="str">
        <f t="shared" si="18"/>
        <v>OK</v>
      </c>
    </row>
    <row r="1239" spans="1:4" x14ac:dyDescent="0.2">
      <c r="A1239" s="5">
        <v>1178</v>
      </c>
      <c r="B1239" s="138">
        <f>'Expenditures 15-22'!E127</f>
        <v>38737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38737</v>
      </c>
      <c r="C1241" s="2" t="s">
        <v>594</v>
      </c>
      <c r="D1241" s="2" t="str">
        <f t="shared" si="18"/>
        <v>Error?</v>
      </c>
    </row>
    <row r="1242" spans="1:4" x14ac:dyDescent="0.2">
      <c r="A1242" s="5">
        <v>1181</v>
      </c>
      <c r="B1242" s="138">
        <f>'Expenditures 15-22'!E151</f>
        <v>38737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60871</v>
      </c>
      <c r="D1245" s="2" t="str">
        <f t="shared" si="18"/>
        <v>Error?</v>
      </c>
    </row>
    <row r="1246" spans="1:4" x14ac:dyDescent="0.2">
      <c r="A1246" s="10">
        <v>1185</v>
      </c>
      <c r="D1246" s="2" t="str">
        <f t="shared" si="18"/>
        <v>OK</v>
      </c>
    </row>
    <row r="1247" spans="1:4" x14ac:dyDescent="0.2">
      <c r="A1247" s="5">
        <v>1186</v>
      </c>
      <c r="B1247" s="138">
        <f>'Expenditures 15-22'!F127</f>
        <v>60871</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60871</v>
      </c>
      <c r="C1249" s="2" t="s">
        <v>594</v>
      </c>
      <c r="D1249" s="2" t="str">
        <f t="shared" si="18"/>
        <v>Error?</v>
      </c>
    </row>
    <row r="1250" spans="1:4" x14ac:dyDescent="0.2">
      <c r="A1250" s="5">
        <v>1189</v>
      </c>
      <c r="B1250" s="138">
        <f>'Expenditures 15-22'!F151</f>
        <v>60871</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5011</v>
      </c>
      <c r="D1252" s="2" t="str">
        <f t="shared" si="18"/>
        <v>Error?</v>
      </c>
    </row>
    <row r="1253" spans="1:4" x14ac:dyDescent="0.2">
      <c r="A1253" s="5">
        <v>1192</v>
      </c>
      <c r="B1253" s="138">
        <f>'Expenditures 15-22'!G124</f>
        <v>1710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6721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6721</v>
      </c>
      <c r="C1258" s="2" t="s">
        <v>594</v>
      </c>
      <c r="D1258" s="2" t="str">
        <f t="shared" si="18"/>
        <v>Error?</v>
      </c>
    </row>
    <row r="1259" spans="1:4" x14ac:dyDescent="0.2">
      <c r="A1259" s="5">
        <v>1198</v>
      </c>
      <c r="B1259" s="138">
        <f>'Expenditures 15-22'!G151</f>
        <v>6721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75</v>
      </c>
      <c r="D1262" s="2" t="str">
        <f t="shared" si="18"/>
        <v>Error?</v>
      </c>
    </row>
    <row r="1263" spans="1:4" x14ac:dyDescent="0.2">
      <c r="A1263" s="10">
        <v>1202</v>
      </c>
      <c r="D1263" s="2" t="str">
        <f t="shared" si="18"/>
        <v>OK</v>
      </c>
    </row>
    <row r="1264" spans="1:4" x14ac:dyDescent="0.2">
      <c r="A1264" s="5">
        <v>1203</v>
      </c>
      <c r="B1264" s="138">
        <f>'Expenditures 15-22'!H127</f>
        <v>75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75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7351</v>
      </c>
      <c r="C1275" s="2" t="s">
        <v>594</v>
      </c>
      <c r="D1275" s="2" t="str">
        <f t="shared" si="18"/>
        <v>Error?</v>
      </c>
    </row>
    <row r="1276" spans="1:4" x14ac:dyDescent="0.2">
      <c r="A1276" s="5">
        <v>1215</v>
      </c>
      <c r="B1276" s="138">
        <f>'Expenditures 15-22'!K124</f>
        <v>99053</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106404</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106404</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106404</v>
      </c>
      <c r="C1288" s="2" t="s">
        <v>594</v>
      </c>
      <c r="D1288" s="2" t="str">
        <f t="shared" si="19"/>
        <v>Error?</v>
      </c>
    </row>
    <row r="1289" spans="1:4" x14ac:dyDescent="0.2">
      <c r="A1289" s="5">
        <v>1228</v>
      </c>
      <c r="B1289" s="138">
        <f>'Expenditures 15-22'!K152</f>
        <v>-9858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111964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85000</v>
      </c>
      <c r="D1315" s="2" t="str">
        <f t="shared" si="19"/>
        <v>Error?</v>
      </c>
    </row>
    <row r="1316" spans="1:4" x14ac:dyDescent="0.2">
      <c r="A1316" s="5">
        <v>1255</v>
      </c>
      <c r="B1316" s="138">
        <f>'Expenditures 15-22'!H171</f>
        <v>2302</v>
      </c>
      <c r="D1316" s="2" t="str">
        <f t="shared" si="19"/>
        <v>Error?</v>
      </c>
    </row>
    <row r="1317" spans="1:4" x14ac:dyDescent="0.2">
      <c r="A1317" s="5">
        <v>1256</v>
      </c>
      <c r="B1317" s="138">
        <f>'Expenditures 15-22'!H172</f>
        <v>199266</v>
      </c>
      <c r="C1317" s="2" t="s">
        <v>594</v>
      </c>
      <c r="D1317" s="2" t="str">
        <f t="shared" si="19"/>
        <v>Error?</v>
      </c>
    </row>
    <row r="1318" spans="1:4" x14ac:dyDescent="0.2">
      <c r="A1318" s="5">
        <v>1257</v>
      </c>
      <c r="B1318" s="138">
        <f>'Expenditures 15-22'!H174</f>
        <v>199266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111964</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85000</v>
      </c>
      <c r="C1329" s="2" t="s">
        <v>594</v>
      </c>
      <c r="D1329" s="2" t="str">
        <f t="shared" si="19"/>
        <v>Error?</v>
      </c>
    </row>
    <row r="1330" spans="1:4" x14ac:dyDescent="0.2">
      <c r="A1330" s="5">
        <v>1269</v>
      </c>
      <c r="B1330" s="138">
        <f>'Expenditures 15-22'!K171</f>
        <v>2302</v>
      </c>
      <c r="C1330" s="2" t="s">
        <v>594</v>
      </c>
      <c r="D1330" s="2" t="str">
        <f t="shared" si="19"/>
        <v>Error?</v>
      </c>
    </row>
    <row r="1331" spans="1:4" x14ac:dyDescent="0.2">
      <c r="A1331" s="5">
        <v>1270</v>
      </c>
      <c r="B1331" s="138">
        <f>'Expenditures 15-22'!K172</f>
        <v>199266</v>
      </c>
      <c r="C1331" s="2" t="s">
        <v>594</v>
      </c>
      <c r="D1331" s="2" t="str">
        <f t="shared" si="19"/>
        <v>Error?</v>
      </c>
    </row>
    <row r="1332" spans="1:4" x14ac:dyDescent="0.2">
      <c r="A1332" s="5">
        <v>1271</v>
      </c>
      <c r="B1332" s="138">
        <f>'Expenditures 15-22'!K174</f>
        <v>199266</v>
      </c>
      <c r="C1332" s="2" t="s">
        <v>594</v>
      </c>
      <c r="D1332" s="2" t="str">
        <f t="shared" si="19"/>
        <v>Error?</v>
      </c>
    </row>
    <row r="1333" spans="1:4" x14ac:dyDescent="0.2">
      <c r="A1333" s="5">
        <v>1272</v>
      </c>
      <c r="B1333" s="138">
        <f>'Expenditures 15-22'!K175</f>
        <v>6232</v>
      </c>
      <c r="C1333" s="2" t="s">
        <v>594</v>
      </c>
      <c r="D1333" s="2" t="str">
        <f t="shared" si="19"/>
        <v>Error?</v>
      </c>
    </row>
    <row r="1334" spans="1:4" x14ac:dyDescent="0.2">
      <c r="A1334" s="10">
        <v>1273</v>
      </c>
      <c r="D1334" s="2" t="str">
        <f t="shared" si="19"/>
        <v>OK</v>
      </c>
    </row>
    <row r="1335" spans="1:4" x14ac:dyDescent="0.2">
      <c r="A1335" s="5">
        <v>1274</v>
      </c>
      <c r="B1335" s="138">
        <f>'Expenditures 15-22'!C182</f>
        <v>77069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77069</v>
      </c>
      <c r="C1339" s="2" t="s">
        <v>594</v>
      </c>
      <c r="D1339" s="2" t="str">
        <f t="shared" si="19"/>
        <v>Error?</v>
      </c>
    </row>
    <row r="1340" spans="1:4" x14ac:dyDescent="0.2">
      <c r="A1340" s="5">
        <v>1279</v>
      </c>
      <c r="B1340" s="138">
        <f>'Expenditures 15-22'!C210</f>
        <v>77069</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23097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23097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23097</v>
      </c>
      <c r="C1353" s="2" t="s">
        <v>594</v>
      </c>
      <c r="D1353" s="2" t="str">
        <f t="shared" si="20"/>
        <v>Error?</v>
      </c>
    </row>
    <row r="1354" spans="1:4" x14ac:dyDescent="0.2">
      <c r="A1354" s="5">
        <v>1293</v>
      </c>
      <c r="B1354" s="138">
        <f>'Expenditures 15-22'!F182</f>
        <v>27752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27752</v>
      </c>
      <c r="C1358" s="2" t="s">
        <v>594</v>
      </c>
      <c r="D1358" s="2" t="str">
        <f t="shared" si="20"/>
        <v>Error?</v>
      </c>
    </row>
    <row r="1359" spans="1:4" x14ac:dyDescent="0.2">
      <c r="A1359" s="5">
        <v>1298</v>
      </c>
      <c r="B1359" s="138">
        <f>'Expenditures 15-22'!F210</f>
        <v>27752</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80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31132</v>
      </c>
      <c r="C1375" s="2" t="s">
        <v>594</v>
      </c>
      <c r="D1375" s="2" t="str">
        <f t="shared" si="20"/>
        <v>Error?</v>
      </c>
    </row>
    <row r="1376" spans="1:4" x14ac:dyDescent="0.2">
      <c r="A1376" s="5">
        <v>1315</v>
      </c>
      <c r="B1376" s="138">
        <f>'Expenditures 15-22'!H210</f>
        <v>31212</v>
      </c>
      <c r="C1376" s="2" t="s">
        <v>594</v>
      </c>
      <c r="D1376" s="2" t="str">
        <f t="shared" si="20"/>
        <v>Error?</v>
      </c>
    </row>
    <row r="1377" spans="1:4" x14ac:dyDescent="0.2">
      <c r="A1377" s="5">
        <v>1316</v>
      </c>
      <c r="B1377" s="138">
        <f>'Expenditures 15-22'!K182</f>
        <v>127998</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127998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31132</v>
      </c>
      <c r="C1387" s="2" t="s">
        <v>594</v>
      </c>
      <c r="D1387" s="2" t="str">
        <f t="shared" si="20"/>
        <v>Error?</v>
      </c>
    </row>
    <row r="1388" spans="1:4" x14ac:dyDescent="0.2">
      <c r="A1388" s="5">
        <v>1327</v>
      </c>
      <c r="B1388" s="138">
        <f>'Expenditures 15-22'!K210</f>
        <v>159130</v>
      </c>
      <c r="C1388" s="2" t="s">
        <v>594</v>
      </c>
      <c r="D1388" s="2" t="str">
        <f t="shared" si="20"/>
        <v>Error?</v>
      </c>
    </row>
    <row r="1389" spans="1:4" x14ac:dyDescent="0.2">
      <c r="A1389" s="5">
        <v>1328</v>
      </c>
      <c r="B1389" s="138">
        <f>'Expenditures 15-22'!K211</f>
        <v>39897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2519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1273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75709</v>
      </c>
      <c r="C1410" s="2" t="s">
        <v>594</v>
      </c>
      <c r="D1410" s="2" t="str">
        <f t="shared" si="21"/>
        <v>Error?</v>
      </c>
    </row>
    <row r="1411" spans="1:4" x14ac:dyDescent="0.2">
      <c r="A1411" s="5">
        <v>1350</v>
      </c>
      <c r="B1411" s="138">
        <f>'Expenditures 15-22'!D232</f>
        <v>773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5110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572</v>
      </c>
      <c r="D1415" s="2" t="str">
        <f t="shared" si="21"/>
        <v>Error?</v>
      </c>
    </row>
    <row r="1416" spans="1:4" x14ac:dyDescent="0.2">
      <c r="A1416" s="5">
        <v>1355</v>
      </c>
      <c r="B1416" s="138">
        <f>'Expenditures 15-22'!D237</f>
        <v>7298</v>
      </c>
      <c r="D1416" s="2" t="str">
        <f t="shared" si="21"/>
        <v>Error?</v>
      </c>
    </row>
    <row r="1417" spans="1:4" x14ac:dyDescent="0.2">
      <c r="A1417" s="5">
        <v>1356</v>
      </c>
      <c r="B1417" s="138">
        <f>'Expenditures 15-22'!D238</f>
        <v>13753</v>
      </c>
      <c r="C1417" s="2" t="s">
        <v>594</v>
      </c>
      <c r="D1417" s="2" t="str">
        <f t="shared" si="21"/>
        <v>Error?</v>
      </c>
    </row>
    <row r="1418" spans="1:4" x14ac:dyDescent="0.2">
      <c r="A1418" s="5">
        <v>1357</v>
      </c>
      <c r="B1418" s="138">
        <f>'Expenditures 15-22'!D240</f>
        <v>1550</v>
      </c>
      <c r="D1418" s="2" t="str">
        <f t="shared" si="21"/>
        <v>Error?</v>
      </c>
    </row>
    <row r="1419" spans="1:4" x14ac:dyDescent="0.2">
      <c r="A1419" s="5">
        <v>1358</v>
      </c>
      <c r="B1419" s="138">
        <f>'Expenditures 15-22'!D241</f>
        <v>2361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3911</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5695</v>
      </c>
      <c r="D1423" s="2" t="str">
        <f t="shared" si="21"/>
        <v>Error?</v>
      </c>
    </row>
    <row r="1424" spans="1:4" x14ac:dyDescent="0.2">
      <c r="A1424" s="5">
        <v>1363</v>
      </c>
      <c r="B1424" s="138">
        <f>'Expenditures 15-22'!D257</f>
        <v>22217</v>
      </c>
      <c r="C1424" s="2" t="s">
        <v>594</v>
      </c>
      <c r="D1424" s="2" t="str">
        <f t="shared" si="21"/>
        <v>Error?</v>
      </c>
    </row>
    <row r="1425" spans="1:4" x14ac:dyDescent="0.2">
      <c r="A1425" s="5">
        <v>1364</v>
      </c>
      <c r="B1425" s="138">
        <f>'Expenditures 15-22'!D259</f>
        <v>3085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3085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11359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14941</v>
      </c>
      <c r="D1431" s="2" t="str">
        <f t="shared" si="21"/>
        <v>Error?</v>
      </c>
    </row>
    <row r="1432" spans="1:4" x14ac:dyDescent="0.2">
      <c r="A1432" s="5">
        <v>1371</v>
      </c>
      <c r="B1432" s="138">
        <f>'Expenditures 15-22'!D267</f>
        <v>13549</v>
      </c>
      <c r="D1432" s="2" t="str">
        <f t="shared" si="21"/>
        <v>Error?</v>
      </c>
    </row>
    <row r="1433" spans="1:4" x14ac:dyDescent="0.2">
      <c r="A1433" s="5">
        <v>1372</v>
      </c>
      <c r="B1433" s="138">
        <f>'Expenditures 15-22'!D268</f>
        <v>15263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55112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98078</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173787</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2519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1273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75709</v>
      </c>
      <c r="C1474" s="2" t="s">
        <v>594</v>
      </c>
      <c r="D1474" s="2" t="str">
        <f t="shared" si="22"/>
        <v>Error?</v>
      </c>
    </row>
    <row r="1475" spans="1:4" x14ac:dyDescent="0.2">
      <c r="A1475" s="5">
        <v>1414</v>
      </c>
      <c r="B1475" s="138">
        <f>'Expenditures 15-22'!K232</f>
        <v>773</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5110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572</v>
      </c>
      <c r="C1479" s="2" t="s">
        <v>594</v>
      </c>
      <c r="D1479" s="2" t="str">
        <f t="shared" si="22"/>
        <v>Error?</v>
      </c>
    </row>
    <row r="1480" spans="1:4" x14ac:dyDescent="0.2">
      <c r="A1480" s="5">
        <v>1419</v>
      </c>
      <c r="B1480" s="138">
        <f>'Expenditures 15-22'!K237</f>
        <v>7298</v>
      </c>
      <c r="C1480" s="2" t="s">
        <v>594</v>
      </c>
      <c r="D1480" s="2" t="str">
        <f t="shared" si="22"/>
        <v>Error?</v>
      </c>
    </row>
    <row r="1481" spans="1:4" x14ac:dyDescent="0.2">
      <c r="A1481" s="5">
        <v>1420</v>
      </c>
      <c r="B1481" s="138">
        <f>'Expenditures 15-22'!K238</f>
        <v>13753</v>
      </c>
      <c r="C1481" s="2" t="s">
        <v>594</v>
      </c>
      <c r="D1481" s="2" t="str">
        <f t="shared" si="22"/>
        <v>Error?</v>
      </c>
    </row>
    <row r="1482" spans="1:4" x14ac:dyDescent="0.2">
      <c r="A1482" s="5">
        <v>1421</v>
      </c>
      <c r="B1482" s="138">
        <f>'Expenditures 15-22'!K240</f>
        <v>1550</v>
      </c>
      <c r="C1482" s="2" t="s">
        <v>594</v>
      </c>
      <c r="D1482" s="2" t="str">
        <f t="shared" si="22"/>
        <v>Error?</v>
      </c>
    </row>
    <row r="1483" spans="1:4" x14ac:dyDescent="0.2">
      <c r="A1483" s="5">
        <v>1422</v>
      </c>
      <c r="B1483" s="138">
        <f>'Expenditures 15-22'!K241</f>
        <v>2361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3911</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5695</v>
      </c>
      <c r="C1487" s="2" t="s">
        <v>594</v>
      </c>
      <c r="D1487" s="2" t="str">
        <f t="shared" si="22"/>
        <v>Error?</v>
      </c>
    </row>
    <row r="1488" spans="1:4" x14ac:dyDescent="0.2">
      <c r="A1488" s="5">
        <v>1427</v>
      </c>
      <c r="B1488" s="138">
        <f>'Expenditures 15-22'!K257</f>
        <v>22217</v>
      </c>
      <c r="C1488" s="2" t="s">
        <v>594</v>
      </c>
      <c r="D1488" s="2" t="str">
        <f t="shared" si="22"/>
        <v>Error?</v>
      </c>
    </row>
    <row r="1489" spans="1:4" x14ac:dyDescent="0.2">
      <c r="A1489" s="5">
        <v>1428</v>
      </c>
      <c r="B1489" s="138">
        <f>'Expenditures 15-22'!K259</f>
        <v>3085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3085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11359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14941</v>
      </c>
      <c r="C1495" s="2" t="s">
        <v>594</v>
      </c>
      <c r="D1495" s="2" t="str">
        <f t="shared" si="22"/>
        <v>Error?</v>
      </c>
    </row>
    <row r="1496" spans="1:4" x14ac:dyDescent="0.2">
      <c r="A1496" s="5">
        <v>1435</v>
      </c>
      <c r="B1496" s="138">
        <f>'Expenditures 15-22'!K267</f>
        <v>13549</v>
      </c>
      <c r="C1496" s="2" t="s">
        <v>594</v>
      </c>
      <c r="D1496" s="2" t="str">
        <f t="shared" si="22"/>
        <v>Error?</v>
      </c>
    </row>
    <row r="1497" spans="1:4" x14ac:dyDescent="0.2">
      <c r="A1497" s="5">
        <v>1436</v>
      </c>
      <c r="B1497" s="138">
        <f>'Expenditures 15-22'!K268</f>
        <v>15263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55112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98078</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173787</v>
      </c>
      <c r="C1517" s="2" t="s">
        <v>594</v>
      </c>
      <c r="D1517" s="2" t="str">
        <f t="shared" si="22"/>
        <v>Error?</v>
      </c>
    </row>
    <row r="1518" spans="1:4" x14ac:dyDescent="0.2">
      <c r="A1518" s="5">
        <v>1457</v>
      </c>
      <c r="B1518" s="138">
        <f>'Expenditures 15-22'!K296</f>
        <v>36470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361824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687114</v>
      </c>
      <c r="C1630" s="2" t="s">
        <v>594</v>
      </c>
      <c r="D1630" s="2" t="str">
        <f t="shared" si="24"/>
        <v>Error?</v>
      </c>
    </row>
    <row r="1631" spans="1:4" x14ac:dyDescent="0.2">
      <c r="A1631" s="5">
        <v>1570</v>
      </c>
      <c r="B1631" s="138">
        <f>'Acct Summary 7-8'!D79</f>
        <v>134951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125093</v>
      </c>
      <c r="C1644" s="2" t="s">
        <v>594</v>
      </c>
      <c r="D1644" s="2" t="str">
        <f t="shared" si="24"/>
        <v>Error?</v>
      </c>
    </row>
    <row r="1645" spans="1:4" x14ac:dyDescent="0.2">
      <c r="A1645" s="5">
        <v>1584</v>
      </c>
      <c r="B1645" s="138">
        <f>'Acct Summary 7-8'!E79</f>
        <v>22250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28482</v>
      </c>
      <c r="C1658" s="2" t="s">
        <v>594</v>
      </c>
      <c r="D1658" s="2" t="str">
        <f t="shared" si="24"/>
        <v>Error?</v>
      </c>
    </row>
    <row r="1659" spans="1:4" x14ac:dyDescent="0.2">
      <c r="A1659" s="5">
        <v>1598</v>
      </c>
      <c r="B1659" s="138">
        <f>'Acct Summary 7-8'!F79</f>
        <v>60072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99969</v>
      </c>
      <c r="C1672" s="2" t="s">
        <v>594</v>
      </c>
      <c r="D1672" s="2" t="str">
        <f t="shared" si="25"/>
        <v>Error?</v>
      </c>
    </row>
    <row r="1673" spans="1:4" x14ac:dyDescent="0.2">
      <c r="A1673" s="5">
        <v>1612</v>
      </c>
      <c r="B1673" s="138">
        <f>'Acct Summary 7-8'!G79</f>
        <v>244023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280493</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306779</v>
      </c>
      <c r="C1744" s="2" t="s">
        <v>594</v>
      </c>
      <c r="D1744" s="2" t="str">
        <f t="shared" si="26"/>
        <v>Error?</v>
      </c>
    </row>
    <row r="1745" spans="1:5" x14ac:dyDescent="0.2">
      <c r="A1745" s="5">
        <v>1684</v>
      </c>
      <c r="B1745" s="138">
        <f>'Tax Sched 23'!B5</f>
        <v>83364</v>
      </c>
      <c r="C1745" s="2" t="s">
        <v>594</v>
      </c>
      <c r="D1745" s="2" t="str">
        <f t="shared" si="26"/>
        <v>Error?</v>
      </c>
    </row>
    <row r="1746" spans="1:5" x14ac:dyDescent="0.2">
      <c r="A1746" s="5">
        <v>1685</v>
      </c>
      <c r="B1746" s="138">
        <f>'Tax Sched 23'!B6</f>
        <v>200683</v>
      </c>
      <c r="C1746" s="2" t="s">
        <v>594</v>
      </c>
      <c r="D1746" s="2" t="str">
        <f t="shared" si="26"/>
        <v>Error?</v>
      </c>
    </row>
    <row r="1747" spans="1:5" x14ac:dyDescent="0.2">
      <c r="A1747" s="5">
        <v>1686</v>
      </c>
      <c r="B1747" s="138">
        <f>'Tax Sched 23'!B7</f>
        <v>40015</v>
      </c>
      <c r="C1747" s="2" t="s">
        <v>594</v>
      </c>
      <c r="D1747" s="2" t="str">
        <f t="shared" si="26"/>
        <v>Error?</v>
      </c>
    </row>
    <row r="1748" spans="1:5" x14ac:dyDescent="0.2">
      <c r="A1748" s="5">
        <v>1687</v>
      </c>
      <c r="B1748" s="138">
        <f>'Tax Sched 23'!B8</f>
        <v>85684</v>
      </c>
      <c r="C1748" s="2" t="s">
        <v>594</v>
      </c>
      <c r="D1748" s="2" t="str">
        <f t="shared" si="26"/>
        <v>Error?</v>
      </c>
    </row>
    <row r="1749" spans="1:5" x14ac:dyDescent="0.2">
      <c r="A1749" s="5">
        <v>1688</v>
      </c>
      <c r="B1749" s="138">
        <f>'Tax Sched 23'!B10</f>
        <v>16673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155964</v>
      </c>
      <c r="C1752" s="2" t="s">
        <v>594</v>
      </c>
      <c r="D1752" s="2" t="str">
        <f t="shared" si="26"/>
        <v>Error?</v>
      </c>
    </row>
    <row r="1753" spans="1:5" x14ac:dyDescent="0.2">
      <c r="A1753" s="5">
        <v>1692</v>
      </c>
      <c r="B1753" s="138">
        <f>'Tax Sched 23'!B12</f>
        <v>16673</v>
      </c>
      <c r="C1753" s="2" t="s">
        <v>594</v>
      </c>
      <c r="D1753" s="2" t="str">
        <f t="shared" si="26"/>
        <v>Error?</v>
      </c>
    </row>
    <row r="1754" spans="1:5" x14ac:dyDescent="0.2">
      <c r="A1754" s="5">
        <v>1693</v>
      </c>
      <c r="B1754" s="138">
        <f>'Tax Sched 23'!B14</f>
        <v>6740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998808</v>
      </c>
      <c r="C1759" s="2" t="s">
        <v>594</v>
      </c>
      <c r="D1759" s="2" t="str">
        <f t="shared" si="26"/>
        <v>Error?</v>
      </c>
    </row>
    <row r="1760" spans="1:5" x14ac:dyDescent="0.2">
      <c r="A1760" s="5">
        <v>1699</v>
      </c>
      <c r="B1760" s="138">
        <f>'Tax Sched 23'!D4</f>
        <v>306779</v>
      </c>
      <c r="C1760" s="2" t="s">
        <v>594</v>
      </c>
      <c r="D1760" s="2" t="str">
        <f t="shared" si="26"/>
        <v>Error?</v>
      </c>
    </row>
    <row r="1761" spans="1:5" x14ac:dyDescent="0.2">
      <c r="A1761" s="5">
        <v>1700</v>
      </c>
      <c r="B1761" s="138">
        <f>'Tax Sched 23'!D5</f>
        <v>83364</v>
      </c>
      <c r="C1761" s="2" t="s">
        <v>594</v>
      </c>
      <c r="D1761" s="2" t="str">
        <f t="shared" si="26"/>
        <v>Error?</v>
      </c>
    </row>
    <row r="1762" spans="1:5" s="8" customFormat="1" x14ac:dyDescent="0.2">
      <c r="A1762" s="5">
        <v>1701</v>
      </c>
      <c r="B1762" s="138">
        <f>'Tax Sched 23'!D6</f>
        <v>200683</v>
      </c>
      <c r="C1762" s="2" t="s">
        <v>594</v>
      </c>
      <c r="D1762" s="2" t="str">
        <f t="shared" si="26"/>
        <v>Error?</v>
      </c>
      <c r="E1762" s="9"/>
    </row>
    <row r="1763" spans="1:5" x14ac:dyDescent="0.2">
      <c r="A1763" s="5">
        <v>1702</v>
      </c>
      <c r="B1763" s="138">
        <f>'Tax Sched 23'!D7</f>
        <v>40015</v>
      </c>
      <c r="C1763" s="2" t="s">
        <v>594</v>
      </c>
      <c r="D1763" s="2" t="str">
        <f t="shared" si="26"/>
        <v>Error?</v>
      </c>
    </row>
    <row r="1764" spans="1:5" x14ac:dyDescent="0.2">
      <c r="A1764" s="5">
        <v>1703</v>
      </c>
      <c r="B1764" s="138">
        <f>'Tax Sched 23'!D8</f>
        <v>85684</v>
      </c>
      <c r="C1764" s="2" t="s">
        <v>594</v>
      </c>
      <c r="D1764" s="2" t="str">
        <f t="shared" si="26"/>
        <v>Error?</v>
      </c>
    </row>
    <row r="1765" spans="1:5" x14ac:dyDescent="0.2">
      <c r="A1765" s="5">
        <v>1704</v>
      </c>
      <c r="B1765" s="138">
        <f>'Tax Sched 23'!D10</f>
        <v>16673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155964</v>
      </c>
      <c r="C1768" s="2" t="s">
        <v>594</v>
      </c>
      <c r="D1768" s="2" t="str">
        <f t="shared" si="26"/>
        <v>Error?</v>
      </c>
    </row>
    <row r="1769" spans="1:5" x14ac:dyDescent="0.2">
      <c r="A1769" s="5">
        <v>1708</v>
      </c>
      <c r="B1769" s="138">
        <f>'Tax Sched 23'!D12</f>
        <v>16673</v>
      </c>
      <c r="C1769" s="2" t="s">
        <v>594</v>
      </c>
      <c r="D1769" s="2" t="str">
        <f t="shared" si="26"/>
        <v>Error?</v>
      </c>
    </row>
    <row r="1770" spans="1:5" x14ac:dyDescent="0.2">
      <c r="A1770" s="5">
        <v>1709</v>
      </c>
      <c r="B1770" s="138">
        <f>'Tax Sched 23'!D14</f>
        <v>6740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998808</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339764</v>
      </c>
      <c r="C1792" s="2" t="s">
        <v>594</v>
      </c>
      <c r="D1792" s="2" t="str">
        <f t="shared" si="27"/>
        <v>Error?</v>
      </c>
    </row>
    <row r="1793" spans="1:4" x14ac:dyDescent="0.2">
      <c r="A1793" s="5">
        <v>1732</v>
      </c>
      <c r="B1793" s="138">
        <f>'Tax Sched 23'!F5</f>
        <v>92327</v>
      </c>
      <c r="C1793" s="2" t="s">
        <v>594</v>
      </c>
      <c r="D1793" s="2" t="str">
        <f t="shared" si="27"/>
        <v>Error?</v>
      </c>
    </row>
    <row r="1794" spans="1:4" x14ac:dyDescent="0.2">
      <c r="A1794" s="5">
        <v>1733</v>
      </c>
      <c r="B1794" s="138">
        <f>'Tax Sched 23'!F6</f>
        <v>207968</v>
      </c>
      <c r="C1794" s="2" t="s">
        <v>594</v>
      </c>
      <c r="D1794" s="2" t="str">
        <f t="shared" si="27"/>
        <v>Error?</v>
      </c>
    </row>
    <row r="1795" spans="1:4" x14ac:dyDescent="0.2">
      <c r="A1795" s="5">
        <v>1734</v>
      </c>
      <c r="B1795" s="138">
        <f>'Tax Sched 23'!F7</f>
        <v>44317</v>
      </c>
      <c r="C1795" s="2" t="s">
        <v>594</v>
      </c>
      <c r="D1795" s="2" t="str">
        <f t="shared" si="27"/>
        <v>Error?</v>
      </c>
    </row>
    <row r="1796" spans="1:4" x14ac:dyDescent="0.2">
      <c r="A1796" s="5">
        <v>1735</v>
      </c>
      <c r="B1796" s="138">
        <f>'Tax Sched 23'!F8</f>
        <v>78900</v>
      </c>
      <c r="C1796" s="2" t="s">
        <v>594</v>
      </c>
      <c r="D1796" s="2" t="str">
        <f t="shared" si="27"/>
        <v>Error?</v>
      </c>
    </row>
    <row r="1797" spans="1:4" x14ac:dyDescent="0.2">
      <c r="A1797" s="5">
        <v>1736</v>
      </c>
      <c r="B1797" s="138">
        <f>'Tax Sched 23'!F10</f>
        <v>18465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176325</v>
      </c>
      <c r="C1800" s="2" t="s">
        <v>594</v>
      </c>
      <c r="D1800" s="2" t="str">
        <f t="shared" si="27"/>
        <v>Error?</v>
      </c>
    </row>
    <row r="1801" spans="1:4" x14ac:dyDescent="0.2">
      <c r="A1801" s="5">
        <v>1740</v>
      </c>
      <c r="B1801" s="138">
        <f>'Tax Sched 23'!F12</f>
        <v>18465</v>
      </c>
      <c r="C1801" s="2" t="s">
        <v>594</v>
      </c>
      <c r="D1801" s="2" t="str">
        <f t="shared" si="27"/>
        <v>Error?</v>
      </c>
    </row>
    <row r="1802" spans="1:4" x14ac:dyDescent="0.2">
      <c r="A1802" s="5">
        <v>1741</v>
      </c>
      <c r="B1802" s="138">
        <f>'Tax Sched 23'!F14</f>
        <v>7386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1070382</v>
      </c>
      <c r="C1807" s="2" t="s">
        <v>594</v>
      </c>
      <c r="D1807" s="2" t="str">
        <f t="shared" si="27"/>
        <v>Error?</v>
      </c>
    </row>
    <row r="1808" spans="1:4" x14ac:dyDescent="0.2">
      <c r="A1808" s="5">
        <v>1747</v>
      </c>
      <c r="B1808" s="138">
        <f>'Tax Sched 23'!E4</f>
        <v>339764</v>
      </c>
      <c r="D1808" s="2" t="str">
        <f t="shared" si="27"/>
        <v>Error?</v>
      </c>
    </row>
    <row r="1809" spans="1:4" x14ac:dyDescent="0.2">
      <c r="A1809" s="5">
        <v>1748</v>
      </c>
      <c r="B1809" s="138">
        <f>'Tax Sched 23'!E5</f>
        <v>92327</v>
      </c>
      <c r="D1809" s="2" t="str">
        <f t="shared" si="27"/>
        <v>Error?</v>
      </c>
    </row>
    <row r="1810" spans="1:4" x14ac:dyDescent="0.2">
      <c r="A1810" s="5">
        <v>1749</v>
      </c>
      <c r="B1810" s="138">
        <f>'Tax Sched 23'!E6</f>
        <v>207968</v>
      </c>
      <c r="D1810" s="2" t="str">
        <f t="shared" si="27"/>
        <v>Error?</v>
      </c>
    </row>
    <row r="1811" spans="1:4" x14ac:dyDescent="0.2">
      <c r="A1811" s="5">
        <v>1750</v>
      </c>
      <c r="B1811" s="138">
        <f>'Tax Sched 23'!E7</f>
        <v>44317</v>
      </c>
      <c r="D1811" s="2" t="str">
        <f t="shared" si="27"/>
        <v>Error?</v>
      </c>
    </row>
    <row r="1812" spans="1:4" x14ac:dyDescent="0.2">
      <c r="A1812" s="5">
        <v>1751</v>
      </c>
      <c r="B1812" s="138">
        <f>'Tax Sched 23'!E8</f>
        <v>78900</v>
      </c>
      <c r="D1812" s="2" t="str">
        <f t="shared" si="27"/>
        <v>Error?</v>
      </c>
    </row>
    <row r="1813" spans="1:4" x14ac:dyDescent="0.2">
      <c r="A1813" s="5">
        <v>1752</v>
      </c>
      <c r="B1813" s="138">
        <f>'Tax Sched 23'!E10</f>
        <v>18465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176325</v>
      </c>
      <c r="D1816" s="2" t="str">
        <f t="shared" si="27"/>
        <v>Error?</v>
      </c>
    </row>
    <row r="1817" spans="1:4" x14ac:dyDescent="0.2">
      <c r="A1817" s="5">
        <v>1756</v>
      </c>
      <c r="B1817" s="138">
        <f>'Tax Sched 23'!E12</f>
        <v>18465</v>
      </c>
      <c r="D1817" s="2" t="str">
        <f t="shared" si="27"/>
        <v>Error?</v>
      </c>
    </row>
    <row r="1818" spans="1:4" x14ac:dyDescent="0.2">
      <c r="A1818" s="5">
        <v>1757</v>
      </c>
      <c r="B1818" s="138">
        <f>'Tax Sched 23'!E14</f>
        <v>7386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1070382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2409899</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6740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55747</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62487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62487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127186</v>
      </c>
      <c r="D2008" s="2" t="str">
        <f t="shared" si="30"/>
        <v>Error?</v>
      </c>
    </row>
    <row r="2009" spans="1:4" x14ac:dyDescent="0.2">
      <c r="A2009" s="5">
        <v>1948</v>
      </c>
      <c r="B2009" s="138">
        <f>'Cap Outlay Deprec 26'!C8</f>
        <v>6195381</v>
      </c>
      <c r="D2009" s="2" t="str">
        <f t="shared" si="30"/>
        <v>Error?</v>
      </c>
    </row>
    <row r="2010" spans="1:4" x14ac:dyDescent="0.2">
      <c r="A2010" s="5">
        <v>1949</v>
      </c>
      <c r="B2010" s="138">
        <f>'Cap Outlay Deprec 26'!C10</f>
        <v>422014</v>
      </c>
      <c r="D2010" s="2" t="str">
        <f t="shared" si="30"/>
        <v>Error?</v>
      </c>
    </row>
    <row r="2011" spans="1:4" x14ac:dyDescent="0.2">
      <c r="A2011" s="5">
        <v>1950</v>
      </c>
      <c r="B2011" s="138">
        <f>'Cap Outlay Deprec 26'!C12</f>
        <v>864075</v>
      </c>
      <c r="D2011" s="2" t="str">
        <f t="shared" si="30"/>
        <v>Error?</v>
      </c>
    </row>
    <row r="2012" spans="1:4" x14ac:dyDescent="0.2">
      <c r="A2012" s="5">
        <v>1951</v>
      </c>
      <c r="B2012" s="138">
        <f>'Cap Outlay Deprec 26'!C13</f>
        <v>479679</v>
      </c>
      <c r="D2012" s="2" t="str">
        <f t="shared" si="30"/>
        <v>Error?</v>
      </c>
    </row>
    <row r="2013" spans="1:4" x14ac:dyDescent="0.2">
      <c r="A2013" s="5">
        <v>1952</v>
      </c>
      <c r="B2013" s="138">
        <f>'Cap Outlay Deprec 26'!C16</f>
        <v>8088335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33476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33476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130565</v>
      </c>
      <c r="D2024" s="2" t="str">
        <f t="shared" si="30"/>
        <v>Error?</v>
      </c>
    </row>
    <row r="2025" spans="1:4" x14ac:dyDescent="0.2">
      <c r="A2025" s="5">
        <v>1964</v>
      </c>
      <c r="B2025" s="138">
        <f>'Cap Outlay Deprec 26'!E16</f>
        <v>130565</v>
      </c>
      <c r="C2025" s="2" t="s">
        <v>594</v>
      </c>
      <c r="D2025" s="2" t="str">
        <f t="shared" si="30"/>
        <v>Error?</v>
      </c>
    </row>
    <row r="2026" spans="1:4" x14ac:dyDescent="0.2">
      <c r="A2026" s="5">
        <v>1965</v>
      </c>
      <c r="B2026" s="138">
        <f>'Cap Outlay Deprec 26'!F5</f>
        <v>127186</v>
      </c>
      <c r="C2026" s="2" t="s">
        <v>594</v>
      </c>
      <c r="D2026" s="2" t="str">
        <f t="shared" si="30"/>
        <v>Error?</v>
      </c>
    </row>
    <row r="2027" spans="1:4" x14ac:dyDescent="0.2">
      <c r="A2027" s="5">
        <v>1966</v>
      </c>
      <c r="B2027" s="138">
        <f>'Cap Outlay Deprec 26'!F8</f>
        <v>6195381</v>
      </c>
      <c r="C2027" s="2" t="s">
        <v>594</v>
      </c>
      <c r="D2027" s="2" t="str">
        <f t="shared" si="30"/>
        <v>Error?</v>
      </c>
    </row>
    <row r="2028" spans="1:4" x14ac:dyDescent="0.2">
      <c r="A2028" s="5">
        <v>1967</v>
      </c>
      <c r="B2028" s="138">
        <f>'Cap Outlay Deprec 26'!F10</f>
        <v>422014</v>
      </c>
      <c r="C2028" s="2" t="s">
        <v>594</v>
      </c>
      <c r="D2028" s="2" t="str">
        <f t="shared" si="30"/>
        <v>Error?</v>
      </c>
    </row>
    <row r="2029" spans="1:4" x14ac:dyDescent="0.2">
      <c r="A2029" s="5">
        <v>1968</v>
      </c>
      <c r="B2029" s="138">
        <f>'Cap Outlay Deprec 26'!F12</f>
        <v>897551</v>
      </c>
      <c r="C2029" s="2" t="s">
        <v>594</v>
      </c>
      <c r="D2029" s="2" t="str">
        <f t="shared" si="30"/>
        <v>Error?</v>
      </c>
    </row>
    <row r="2030" spans="1:4" x14ac:dyDescent="0.2">
      <c r="A2030" s="5">
        <v>1969</v>
      </c>
      <c r="B2030" s="138">
        <f>'Cap Outlay Deprec 26'!F13</f>
        <v>349114</v>
      </c>
      <c r="C2030" s="2" t="s">
        <v>594</v>
      </c>
      <c r="D2030" s="2" t="str">
        <f t="shared" si="30"/>
        <v>Error?</v>
      </c>
    </row>
    <row r="2031" spans="1:4" x14ac:dyDescent="0.2">
      <c r="A2031" s="5">
        <v>1970</v>
      </c>
      <c r="B2031" s="138">
        <f>'Cap Outlay Deprec 26'!F16</f>
        <v>7991246</v>
      </c>
      <c r="C2031" s="2" t="s">
        <v>594</v>
      </c>
      <c r="D2031" s="2" t="str">
        <f t="shared" si="30"/>
        <v>Error?</v>
      </c>
    </row>
    <row r="2032" spans="1:4" x14ac:dyDescent="0.2">
      <c r="A2032" s="10">
        <v>1971</v>
      </c>
      <c r="D2032" s="2" t="str">
        <f t="shared" si="30"/>
        <v>OK</v>
      </c>
    </row>
    <row r="2033" spans="1:4" x14ac:dyDescent="0.2">
      <c r="A2033" s="5">
        <v>1972</v>
      </c>
      <c r="B2033" s="138">
        <f>'Cap Outlay Deprec 26'!H8</f>
        <v>1746424</v>
      </c>
      <c r="D2033" s="2" t="str">
        <f t="shared" si="30"/>
        <v>Error?</v>
      </c>
    </row>
    <row r="2034" spans="1:4" x14ac:dyDescent="0.2">
      <c r="A2034" s="5">
        <v>1973</v>
      </c>
      <c r="B2034" s="138">
        <f>'Cap Outlay Deprec 26'!H10</f>
        <v>191688</v>
      </c>
      <c r="D2034" s="2" t="str">
        <f t="shared" si="30"/>
        <v>Error?</v>
      </c>
    </row>
    <row r="2035" spans="1:4" x14ac:dyDescent="0.2">
      <c r="A2035" s="5">
        <v>1974</v>
      </c>
      <c r="B2035" s="138">
        <f>'Cap Outlay Deprec 26'!H12</f>
        <v>652039</v>
      </c>
      <c r="D2035" s="2" t="str">
        <f t="shared" si="30"/>
        <v>Error?</v>
      </c>
    </row>
    <row r="2036" spans="1:4" x14ac:dyDescent="0.2">
      <c r="A2036" s="5">
        <v>1975</v>
      </c>
      <c r="B2036" s="138">
        <f>'Cap Outlay Deprec 26'!H13</f>
        <v>374118</v>
      </c>
      <c r="D2036" s="2" t="str">
        <f t="shared" si="30"/>
        <v>Error?</v>
      </c>
    </row>
    <row r="2037" spans="1:4" x14ac:dyDescent="0.2">
      <c r="A2037" s="5">
        <v>1976</v>
      </c>
      <c r="B2037" s="138">
        <f>'Cap Outlay Deprec 26'!H16</f>
        <v>2964269</v>
      </c>
      <c r="C2037" s="2" t="s">
        <v>594</v>
      </c>
      <c r="D2037" s="2" t="str">
        <f t="shared" si="30"/>
        <v>Error?</v>
      </c>
    </row>
    <row r="2038" spans="1:4" x14ac:dyDescent="0.2">
      <c r="A2038" s="10">
        <v>1977</v>
      </c>
      <c r="D2038" s="2" t="str">
        <f t="shared" si="30"/>
        <v>OK</v>
      </c>
    </row>
    <row r="2039" spans="1:4" x14ac:dyDescent="0.2">
      <c r="A2039" s="5">
        <v>1978</v>
      </c>
      <c r="B2039" s="138">
        <f>'Cap Outlay Deprec 26'!I8</f>
        <v>88979</v>
      </c>
      <c r="D2039" s="2" t="str">
        <f t="shared" si="30"/>
        <v>Error?</v>
      </c>
    </row>
    <row r="2040" spans="1:4" x14ac:dyDescent="0.2">
      <c r="A2040" s="5">
        <v>1979</v>
      </c>
      <c r="B2040" s="138">
        <f>'Cap Outlay Deprec 26'!I10</f>
        <v>11517</v>
      </c>
      <c r="D2040" s="2" t="str">
        <f t="shared" si="30"/>
        <v>Error?</v>
      </c>
    </row>
    <row r="2041" spans="1:4" x14ac:dyDescent="0.2">
      <c r="A2041" s="5">
        <v>1980</v>
      </c>
      <c r="B2041" s="138">
        <f>'Cap Outlay Deprec 26'!I12</f>
        <v>24551</v>
      </c>
      <c r="D2041" s="2" t="str">
        <f t="shared" si="30"/>
        <v>Error?</v>
      </c>
    </row>
    <row r="2042" spans="1:4" x14ac:dyDescent="0.2">
      <c r="A2042" s="5">
        <v>1981</v>
      </c>
      <c r="B2042" s="138">
        <f>'Cap Outlay Deprec 26'!I13</f>
        <v>29367</v>
      </c>
      <c r="D2042" s="2" t="str">
        <f t="shared" si="30"/>
        <v>Error?</v>
      </c>
    </row>
    <row r="2043" spans="1:4" x14ac:dyDescent="0.2">
      <c r="A2043" s="5">
        <v>1982</v>
      </c>
      <c r="B2043" s="138">
        <f>'Cap Outlay Deprec 26'!I16</f>
        <v>154414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130565</v>
      </c>
      <c r="D2048" s="2" t="str">
        <f t="shared" si="31"/>
        <v>Error?</v>
      </c>
    </row>
    <row r="2049" spans="1:4" x14ac:dyDescent="0.2">
      <c r="A2049" s="5">
        <v>1988</v>
      </c>
      <c r="B2049" s="138">
        <f>'Cap Outlay Deprec 26'!J16</f>
        <v>130565</v>
      </c>
      <c r="C2049" s="2" t="s">
        <v>594</v>
      </c>
      <c r="D2049" s="2" t="str">
        <f t="shared" si="31"/>
        <v>Error?</v>
      </c>
    </row>
    <row r="2050" spans="1:4" x14ac:dyDescent="0.2">
      <c r="A2050" s="10">
        <v>1989</v>
      </c>
      <c r="D2050" s="2" t="str">
        <f t="shared" si="31"/>
        <v>OK</v>
      </c>
    </row>
    <row r="2051" spans="1:4" x14ac:dyDescent="0.2">
      <c r="A2051" s="5">
        <v>1990</v>
      </c>
      <c r="B2051" s="138">
        <f>'Cap Outlay Deprec 26'!K8</f>
        <v>1835403</v>
      </c>
      <c r="C2051" s="2" t="s">
        <v>594</v>
      </c>
      <c r="D2051" s="2" t="str">
        <f t="shared" si="31"/>
        <v>Error?</v>
      </c>
    </row>
    <row r="2052" spans="1:4" x14ac:dyDescent="0.2">
      <c r="A2052" s="5">
        <v>1991</v>
      </c>
      <c r="B2052" s="138">
        <f>'Cap Outlay Deprec 26'!K10</f>
        <v>203205</v>
      </c>
      <c r="C2052" s="2" t="s">
        <v>594</v>
      </c>
      <c r="D2052" s="2" t="str">
        <f t="shared" si="31"/>
        <v>Error?</v>
      </c>
    </row>
    <row r="2053" spans="1:4" x14ac:dyDescent="0.2">
      <c r="A2053" s="5">
        <v>1992</v>
      </c>
      <c r="B2053" s="138">
        <f>'Cap Outlay Deprec 26'!K12</f>
        <v>676590</v>
      </c>
      <c r="C2053" s="2" t="s">
        <v>594</v>
      </c>
      <c r="D2053" s="2" t="str">
        <f t="shared" si="31"/>
        <v>Error?</v>
      </c>
    </row>
    <row r="2054" spans="1:4" x14ac:dyDescent="0.2">
      <c r="A2054" s="5">
        <v>1993</v>
      </c>
      <c r="B2054" s="138">
        <f>'Cap Outlay Deprec 26'!K13</f>
        <v>272920</v>
      </c>
      <c r="C2054" s="2" t="s">
        <v>594</v>
      </c>
      <c r="D2054" s="2" t="str">
        <f t="shared" si="31"/>
        <v>Error?</v>
      </c>
    </row>
    <row r="2055" spans="1:4" x14ac:dyDescent="0.2">
      <c r="A2055" s="5">
        <v>1994</v>
      </c>
      <c r="B2055" s="138">
        <f>'Cap Outlay Deprec 26'!K16</f>
        <v>2988118</v>
      </c>
      <c r="C2055" s="2" t="s">
        <v>594</v>
      </c>
      <c r="D2055" s="2" t="str">
        <f t="shared" si="31"/>
        <v>Error?</v>
      </c>
    </row>
    <row r="2056" spans="1:4" x14ac:dyDescent="0.2">
      <c r="A2056" s="5">
        <v>1995</v>
      </c>
      <c r="B2056" s="138">
        <f>'Cap Outlay Deprec 26'!L5</f>
        <v>127186</v>
      </c>
      <c r="C2056" s="2" t="s">
        <v>594</v>
      </c>
      <c r="D2056" s="2" t="str">
        <f t="shared" si="31"/>
        <v>Error?</v>
      </c>
    </row>
    <row r="2057" spans="1:4" x14ac:dyDescent="0.2">
      <c r="A2057" s="5">
        <v>1996</v>
      </c>
      <c r="B2057" s="138">
        <f>'Cap Outlay Deprec 26'!L8</f>
        <v>4359978</v>
      </c>
      <c r="C2057" s="2" t="s">
        <v>594</v>
      </c>
      <c r="D2057" s="2" t="str">
        <f t="shared" si="31"/>
        <v>Error?</v>
      </c>
    </row>
    <row r="2058" spans="1:4" x14ac:dyDescent="0.2">
      <c r="A2058" s="5">
        <v>1997</v>
      </c>
      <c r="B2058" s="138">
        <f>'Cap Outlay Deprec 26'!L10</f>
        <v>218809</v>
      </c>
      <c r="C2058" s="2" t="s">
        <v>594</v>
      </c>
      <c r="D2058" s="2" t="str">
        <f t="shared" si="31"/>
        <v>Error?</v>
      </c>
    </row>
    <row r="2059" spans="1:4" x14ac:dyDescent="0.2">
      <c r="A2059" s="5">
        <v>1998</v>
      </c>
      <c r="B2059" s="138">
        <f>'Cap Outlay Deprec 26'!L12</f>
        <v>220961</v>
      </c>
      <c r="C2059" s="2" t="s">
        <v>594</v>
      </c>
      <c r="D2059" s="2" t="str">
        <f t="shared" si="31"/>
        <v>Error?</v>
      </c>
    </row>
    <row r="2060" spans="1:4" x14ac:dyDescent="0.2">
      <c r="A2060" s="5">
        <v>1999</v>
      </c>
      <c r="B2060" s="138">
        <f>'Cap Outlay Deprec 26'!L13</f>
        <v>76194</v>
      </c>
      <c r="C2060" s="2" t="s">
        <v>594</v>
      </c>
      <c r="D2060" s="2" t="str">
        <f t="shared" si="31"/>
        <v>Error?</v>
      </c>
    </row>
    <row r="2061" spans="1:4" x14ac:dyDescent="0.2">
      <c r="A2061" s="5">
        <v>2000</v>
      </c>
      <c r="B2061" s="138">
        <f>'Cap Outlay Deprec 26'!L16</f>
        <v>5003128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2500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82778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561074</v>
      </c>
      <c r="C2551" s="2" t="s">
        <v>594</v>
      </c>
      <c r="D2551" s="2" t="str">
        <f t="shared" si="38"/>
        <v>Error?</v>
      </c>
    </row>
    <row r="2552" spans="1:4" x14ac:dyDescent="0.2">
      <c r="A2552" s="10">
        <v>2491</v>
      </c>
      <c r="D2552" s="2" t="str">
        <f t="shared" si="38"/>
        <v>OK</v>
      </c>
    </row>
    <row r="2553" spans="1:4" x14ac:dyDescent="0.2">
      <c r="A2553" s="5">
        <v>2492</v>
      </c>
      <c r="B2553" s="138">
        <f>'Acct Summary 7-8'!C6</f>
        <v>2199600</v>
      </c>
      <c r="C2553" s="2" t="s">
        <v>594</v>
      </c>
      <c r="D2553" s="2" t="str">
        <f t="shared" si="38"/>
        <v>Error?</v>
      </c>
    </row>
    <row r="2554" spans="1:4" x14ac:dyDescent="0.2">
      <c r="A2554" s="5">
        <v>2493</v>
      </c>
      <c r="B2554" s="138">
        <f>'Acct Summary 7-8'!C7</f>
        <v>355354</v>
      </c>
      <c r="C2554" s="2" t="s">
        <v>594</v>
      </c>
      <c r="D2554" s="2" t="str">
        <f t="shared" si="38"/>
        <v>Error?</v>
      </c>
    </row>
    <row r="2555" spans="1:4" x14ac:dyDescent="0.2">
      <c r="A2555" s="5">
        <v>2494</v>
      </c>
      <c r="B2555" s="138">
        <f>'Acct Summary 7-8'!C8</f>
        <v>3207684</v>
      </c>
      <c r="C2555" s="2" t="s">
        <v>594</v>
      </c>
      <c r="D2555" s="2" t="str">
        <f t="shared" si="38"/>
        <v>Error?</v>
      </c>
    </row>
    <row r="2556" spans="1:4" x14ac:dyDescent="0.2">
      <c r="A2556" s="5">
        <v>2495</v>
      </c>
      <c r="B2556" s="138">
        <f>'Acct Summary 7-8'!C12</f>
        <v>2031668</v>
      </c>
      <c r="C2556" s="2" t="s">
        <v>594</v>
      </c>
      <c r="D2556" s="2" t="str">
        <f t="shared" si="38"/>
        <v>Error?</v>
      </c>
    </row>
    <row r="2557" spans="1:4" x14ac:dyDescent="0.2">
      <c r="A2557" s="5">
        <v>2496</v>
      </c>
      <c r="B2557" s="138">
        <f>'Acct Summary 7-8'!C13</f>
        <v>767948</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82778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2882394</v>
      </c>
      <c r="C2561" s="2" t="s">
        <v>594</v>
      </c>
      <c r="D2561" s="2" t="str">
        <f t="shared" si="39"/>
        <v>Error?</v>
      </c>
    </row>
    <row r="2562" spans="1:4" x14ac:dyDescent="0.2">
      <c r="A2562" s="5">
        <v>2501</v>
      </c>
      <c r="B2562" s="138">
        <f>'Acct Summary 7-8'!C20</f>
        <v>325290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96546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96546</v>
      </c>
      <c r="C2568" s="2" t="s">
        <v>594</v>
      </c>
      <c r="D2568" s="2" t="str">
        <f t="shared" si="39"/>
        <v>Error?</v>
      </c>
    </row>
    <row r="2569" spans="1:4" x14ac:dyDescent="0.2">
      <c r="A2569" s="5">
        <v>2508</v>
      </c>
      <c r="B2569" s="138">
        <f>'Acct Summary 7-8'!D13</f>
        <v>106404</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106404</v>
      </c>
      <c r="C2573" s="2" t="s">
        <v>594</v>
      </c>
      <c r="D2573" s="2" t="str">
        <f t="shared" si="39"/>
        <v>Error?</v>
      </c>
    </row>
    <row r="2574" spans="1:4" x14ac:dyDescent="0.2">
      <c r="A2574" s="5">
        <v>2513</v>
      </c>
      <c r="B2574" s="138">
        <f>'Acct Summary 7-8'!D20</f>
        <v>-9858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42672</v>
      </c>
      <c r="C2591" s="2" t="s">
        <v>594</v>
      </c>
      <c r="D2591" s="2" t="str">
        <f t="shared" si="39"/>
        <v>Error?</v>
      </c>
    </row>
    <row r="2592" spans="1:4" x14ac:dyDescent="0.2">
      <c r="A2592" s="10">
        <v>2531</v>
      </c>
      <c r="D2592" s="2" t="str">
        <f t="shared" si="39"/>
        <v>OK</v>
      </c>
    </row>
    <row r="2593" spans="1:4" x14ac:dyDescent="0.2">
      <c r="A2593" s="5">
        <v>2532</v>
      </c>
      <c r="B2593" s="138">
        <f>'Acct Summary 7-8'!F6</f>
        <v>156355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199027</v>
      </c>
      <c r="C2595" s="2" t="s">
        <v>594</v>
      </c>
      <c r="D2595" s="2" t="str">
        <f t="shared" si="39"/>
        <v>Error?</v>
      </c>
    </row>
    <row r="2596" spans="1:4" x14ac:dyDescent="0.2">
      <c r="A2596" s="5">
        <v>2535</v>
      </c>
      <c r="B2596" s="138">
        <f>'Acct Summary 7-8'!F13</f>
        <v>127998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31132</v>
      </c>
      <c r="C2599" s="2" t="s">
        <v>594</v>
      </c>
      <c r="D2599" s="2" t="str">
        <f t="shared" si="39"/>
        <v>Error?</v>
      </c>
    </row>
    <row r="2600" spans="1:4" x14ac:dyDescent="0.2">
      <c r="A2600" s="5">
        <v>2539</v>
      </c>
      <c r="B2600" s="138">
        <f>'Acct Summary 7-8'!F17</f>
        <v>159130</v>
      </c>
      <c r="C2600" s="2" t="s">
        <v>594</v>
      </c>
      <c r="D2600" s="2" t="str">
        <f t="shared" si="39"/>
        <v>Error?</v>
      </c>
    </row>
    <row r="2601" spans="1:4" x14ac:dyDescent="0.2">
      <c r="A2601" s="5">
        <v>2540</v>
      </c>
      <c r="B2601" s="138">
        <f>'Acct Summary 7-8'!F20</f>
        <v>39897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186833</v>
      </c>
      <c r="C2603" s="2" t="s">
        <v>594</v>
      </c>
      <c r="D2603" s="2" t="str">
        <f t="shared" si="39"/>
        <v>Error?</v>
      </c>
    </row>
    <row r="2604" spans="1:4" x14ac:dyDescent="0.2">
      <c r="A2604" s="5">
        <v>2543</v>
      </c>
      <c r="B2604" s="138">
        <f>'Acct Summary 7-8'!G6</f>
        <v>6800</v>
      </c>
      <c r="C2604" s="2" t="s">
        <v>594</v>
      </c>
      <c r="D2604" s="2" t="str">
        <f t="shared" si="39"/>
        <v>Error?</v>
      </c>
    </row>
    <row r="2605" spans="1:4" x14ac:dyDescent="0.2">
      <c r="A2605" s="5">
        <v>2544</v>
      </c>
      <c r="B2605" s="138">
        <f>'Acct Summary 7-8'!G7</f>
        <v>16624</v>
      </c>
      <c r="C2605" s="2" t="s">
        <v>594</v>
      </c>
      <c r="D2605" s="2" t="str">
        <f t="shared" si="39"/>
        <v>Error?</v>
      </c>
    </row>
    <row r="2606" spans="1:4" x14ac:dyDescent="0.2">
      <c r="A2606" s="5">
        <v>2545</v>
      </c>
      <c r="B2606" s="138">
        <f>'Acct Summary 7-8'!G8</f>
        <v>210257</v>
      </c>
      <c r="C2606" s="2" t="s">
        <v>594</v>
      </c>
      <c r="D2606" s="2" t="str">
        <f t="shared" si="39"/>
        <v>Error?</v>
      </c>
    </row>
    <row r="2607" spans="1:4" x14ac:dyDescent="0.2">
      <c r="A2607" s="5">
        <v>2546</v>
      </c>
      <c r="B2607" s="138">
        <f>'Acct Summary 7-8'!G12</f>
        <v>75709</v>
      </c>
      <c r="C2607" s="2" t="s">
        <v>594</v>
      </c>
      <c r="D2607" s="2" t="str">
        <f t="shared" si="39"/>
        <v>Error?</v>
      </c>
    </row>
    <row r="2608" spans="1:4" x14ac:dyDescent="0.2">
      <c r="A2608" s="5">
        <v>2547</v>
      </c>
      <c r="B2608" s="138">
        <f>'Acct Summary 7-8'!G13</f>
        <v>98078</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173787</v>
      </c>
      <c r="C2612" s="2" t="s">
        <v>594</v>
      </c>
      <c r="D2612" s="2" t="str">
        <f t="shared" si="39"/>
        <v>Error?</v>
      </c>
    </row>
    <row r="2613" spans="1:4" x14ac:dyDescent="0.2">
      <c r="A2613" s="5">
        <v>2552</v>
      </c>
      <c r="B2613" s="138">
        <f>'Acct Summary 7-8'!G20</f>
        <v>36470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205498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205498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199266</v>
      </c>
      <c r="C2634" s="2" t="s">
        <v>594</v>
      </c>
      <c r="D2634" s="2" t="str">
        <f t="shared" si="40"/>
        <v>Error?</v>
      </c>
    </row>
    <row r="2635" spans="1:4" x14ac:dyDescent="0.2">
      <c r="A2635" s="5">
        <v>2574</v>
      </c>
      <c r="B2635" s="138">
        <f>'Acct Summary 7-8'!E17</f>
        <v>199266</v>
      </c>
      <c r="C2635" s="2" t="s">
        <v>594</v>
      </c>
      <c r="D2635" s="2" t="str">
        <f t="shared" si="40"/>
        <v>Error?</v>
      </c>
    </row>
    <row r="2636" spans="1:4" x14ac:dyDescent="0.2">
      <c r="A2636" s="5">
        <v>2575</v>
      </c>
      <c r="B2636" s="138">
        <f>'Acct Summary 7-8'!E20</f>
        <v>6232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80278</v>
      </c>
      <c r="C2789" s="2" t="s">
        <v>594</v>
      </c>
      <c r="D2789" s="2" t="str">
        <f t="shared" si="42"/>
        <v>Error?</v>
      </c>
    </row>
    <row r="2790" spans="1:4" x14ac:dyDescent="0.2">
      <c r="A2790" s="5">
        <v>2729</v>
      </c>
      <c r="B2790" s="138">
        <f>'Expenditures 15-22'!E102</f>
        <v>80278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16976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16976</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20243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16976</v>
      </c>
      <c r="D2912" s="2" t="str">
        <f t="shared" si="44"/>
        <v>Error?</v>
      </c>
    </row>
    <row r="2913" spans="1:4" x14ac:dyDescent="0.2">
      <c r="A2913" s="5">
        <v>2852</v>
      </c>
      <c r="B2913" s="138">
        <f>'Assets-Liab 5-6'!I41</f>
        <v>16976</v>
      </c>
      <c r="C2913" s="2" t="s">
        <v>594</v>
      </c>
      <c r="D2913" s="2" t="str">
        <f t="shared" si="44"/>
        <v>Error?</v>
      </c>
    </row>
    <row r="2914" spans="1:4" x14ac:dyDescent="0.2">
      <c r="A2914" s="5">
        <v>2853</v>
      </c>
      <c r="B2914" s="138">
        <f>'Assets-Liab 5-6'!L33</f>
        <v>20243</v>
      </c>
      <c r="D2914" s="2" t="str">
        <f t="shared" si="44"/>
        <v>Error?</v>
      </c>
    </row>
    <row r="2915" spans="1:4" x14ac:dyDescent="0.2">
      <c r="A2915" s="10">
        <v>2854</v>
      </c>
      <c r="D2915" s="2" t="str">
        <f t="shared" si="44"/>
        <v>OK</v>
      </c>
    </row>
    <row r="2916" spans="1:4" x14ac:dyDescent="0.2">
      <c r="A2916" s="5">
        <v>2855</v>
      </c>
      <c r="B2916" s="138">
        <f>'Assets-Liab 5-6'!L34</f>
        <v>20243</v>
      </c>
      <c r="C2916" s="2" t="s">
        <v>594</v>
      </c>
      <c r="D2916" s="2" t="str">
        <f t="shared" si="44"/>
        <v>Error?</v>
      </c>
    </row>
    <row r="2917" spans="1:4" x14ac:dyDescent="0.2">
      <c r="A2917" s="5">
        <v>2856</v>
      </c>
      <c r="B2917" s="138">
        <f>'Assets-Liab 5-6'!L41</f>
        <v>20243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80278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2500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82778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83643</v>
      </c>
      <c r="D3055" s="2" t="str">
        <f t="shared" si="46"/>
        <v>Error?</v>
      </c>
    </row>
    <row r="3056" spans="1:4" x14ac:dyDescent="0.2">
      <c r="A3056" s="5">
        <v>2995</v>
      </c>
      <c r="B3056" s="138">
        <f>'Expenditures 15-22'!D10</f>
        <v>3725</v>
      </c>
      <c r="D3056" s="2" t="str">
        <f t="shared" si="46"/>
        <v>Error?</v>
      </c>
    </row>
    <row r="3057" spans="1:4" x14ac:dyDescent="0.2">
      <c r="A3057" s="5">
        <v>2996</v>
      </c>
      <c r="B3057" s="138">
        <f>'Expenditures 15-22'!E10</f>
        <v>113</v>
      </c>
      <c r="D3057" s="2" t="str">
        <f t="shared" si="46"/>
        <v>Error?</v>
      </c>
    </row>
    <row r="3058" spans="1:4" x14ac:dyDescent="0.2">
      <c r="A3058" s="5">
        <v>2997</v>
      </c>
      <c r="B3058" s="138">
        <f>'Expenditures 15-22'!F10</f>
        <v>6935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94416</v>
      </c>
      <c r="C3062" s="2" t="s">
        <v>594</v>
      </c>
      <c r="D3062" s="2" t="str">
        <f t="shared" si="46"/>
        <v>Error?</v>
      </c>
    </row>
    <row r="3063" spans="1:4" x14ac:dyDescent="0.2">
      <c r="A3063" s="10">
        <v>3002</v>
      </c>
      <c r="D3063" s="2" t="str">
        <f t="shared" si="46"/>
        <v>OK</v>
      </c>
    </row>
    <row r="3064" spans="1:4" x14ac:dyDescent="0.2">
      <c r="A3064" s="5">
        <v>3003</v>
      </c>
      <c r="B3064" s="138">
        <f>'Expenditures 15-22'!D219</f>
        <v>19172</v>
      </c>
      <c r="D3064" s="2" t="str">
        <f t="shared" si="46"/>
        <v>Error?</v>
      </c>
    </row>
    <row r="3065" spans="1:4" x14ac:dyDescent="0.2">
      <c r="A3065" s="5">
        <v>3004</v>
      </c>
      <c r="B3065" s="138">
        <f>'Expenditures 15-22'!K219</f>
        <v>19172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16976</v>
      </c>
      <c r="C3225" s="2" t="s">
        <v>594</v>
      </c>
      <c r="D3225" s="2" t="str">
        <f t="shared" si="49"/>
        <v>Error?</v>
      </c>
    </row>
    <row r="3226" spans="1:4" x14ac:dyDescent="0.2">
      <c r="A3226" s="5">
        <v>3165</v>
      </c>
      <c r="B3226" s="138">
        <f>'Acct Summary 7-8'!I8</f>
        <v>16976</v>
      </c>
      <c r="C3226" s="2" t="s">
        <v>594</v>
      </c>
      <c r="D3226" s="2" t="str">
        <f t="shared" si="49"/>
        <v>Error?</v>
      </c>
    </row>
    <row r="3227" spans="1:4" x14ac:dyDescent="0.2">
      <c r="A3227" s="5">
        <v>3166</v>
      </c>
      <c r="B3227" s="138">
        <f>'Acct Summary 7-8'!I20</f>
        <v>16976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325290</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-9858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39897</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36470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6232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16976</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16976</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356408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57003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4753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17561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19171</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228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455124</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18931</v>
      </c>
      <c r="D3387" s="2" t="str">
        <f t="shared" si="51"/>
        <v>Error?</v>
      </c>
    </row>
    <row r="3388" spans="1:4" x14ac:dyDescent="0.2">
      <c r="A3388" s="5">
        <v>3327</v>
      </c>
      <c r="B3388" s="138">
        <f>'Expenditures 15-22'!D217</f>
        <v>33814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18931</v>
      </c>
      <c r="C3390" s="2" t="s">
        <v>594</v>
      </c>
      <c r="D3390" s="2" t="str">
        <f t="shared" si="51"/>
        <v>Error?</v>
      </c>
    </row>
    <row r="3391" spans="1:4" x14ac:dyDescent="0.2">
      <c r="A3391" s="5">
        <v>3330</v>
      </c>
      <c r="B3391" s="138">
        <f>'Expenditures 15-22'!K217</f>
        <v>33814</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91656</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57154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4271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36332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15126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20243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69382</v>
      </c>
      <c r="C3446" s="2" t="s">
        <v>594</v>
      </c>
      <c r="D3446" s="2" t="str">
        <f t="shared" si="52"/>
        <v>Error?</v>
      </c>
    </row>
    <row r="3447" spans="1:4" x14ac:dyDescent="0.2">
      <c r="A3447" s="5">
        <v>3386</v>
      </c>
      <c r="B3447" s="138">
        <f>'Tax Sched 23'!D16</f>
        <v>69382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68000</v>
      </c>
      <c r="C3449" s="2" t="s">
        <v>594</v>
      </c>
      <c r="D3449" s="2" t="str">
        <f t="shared" si="52"/>
        <v>Error?</v>
      </c>
    </row>
    <row r="3450" spans="1:4" x14ac:dyDescent="0.2">
      <c r="A3450" s="5">
        <v>3389</v>
      </c>
      <c r="B3450" s="138">
        <f>'Tax Sched 23'!E16</f>
        <v>68000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79707</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79707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79707</v>
      </c>
      <c r="D3567" s="2" t="str">
        <f t="shared" si="54"/>
        <v>Error?</v>
      </c>
    </row>
    <row r="3568" spans="1:4" x14ac:dyDescent="0.2">
      <c r="A3568" s="5">
        <v>3507</v>
      </c>
      <c r="B3568" s="138">
        <f>'Assets-Liab 5-6'!K41</f>
        <v>79707</v>
      </c>
      <c r="C3568" s="2" t="s">
        <v>594</v>
      </c>
      <c r="D3568" s="2" t="str">
        <f t="shared" si="54"/>
        <v>Error?</v>
      </c>
    </row>
    <row r="3569" spans="1:4" x14ac:dyDescent="0.2">
      <c r="A3569" s="5">
        <v>3508</v>
      </c>
      <c r="B3569" s="138">
        <f>'Acct Summary 7-8'!K4</f>
        <v>18050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18050</v>
      </c>
      <c r="C3571" s="2" t="s">
        <v>594</v>
      </c>
      <c r="D3571" s="2" t="str">
        <f t="shared" si="54"/>
        <v>Error?</v>
      </c>
    </row>
    <row r="3572" spans="1:4" x14ac:dyDescent="0.2">
      <c r="A3572" s="5">
        <v>3511</v>
      </c>
      <c r="B3572" s="138">
        <f>'Acct Summary 7-8'!K13</f>
        <v>2959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2959</v>
      </c>
      <c r="C3575" s="2" t="s">
        <v>594</v>
      </c>
      <c r="D3575" s="2" t="str">
        <f t="shared" si="54"/>
        <v>Error?</v>
      </c>
    </row>
    <row r="3576" spans="1:4" x14ac:dyDescent="0.2">
      <c r="A3576" s="5">
        <v>3515</v>
      </c>
      <c r="B3576" s="138">
        <f>'Acct Summary 7-8'!K20</f>
        <v>15091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15091</v>
      </c>
      <c r="C3588" s="2" t="s">
        <v>594</v>
      </c>
      <c r="D3588" s="2" t="str">
        <f t="shared" si="55"/>
        <v>Error?</v>
      </c>
    </row>
    <row r="3589" spans="1:4" x14ac:dyDescent="0.2">
      <c r="A3589" s="5">
        <v>3528</v>
      </c>
      <c r="B3589" s="138">
        <f>'Acct Summary 7-8'!K79</f>
        <v>64616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79707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1021</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1021</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1021</v>
      </c>
      <c r="C3642" s="2" t="s">
        <v>594</v>
      </c>
      <c r="D3642" s="2" t="str">
        <f t="shared" si="55"/>
        <v>Error?</v>
      </c>
    </row>
    <row r="3643" spans="1:4" x14ac:dyDescent="0.2">
      <c r="A3643" s="5">
        <v>3582</v>
      </c>
      <c r="B3643" s="138">
        <f>'Expenditures 15-22'!F367</f>
        <v>1021</v>
      </c>
      <c r="C3643" s="2" t="s">
        <v>594</v>
      </c>
      <c r="D3643" s="2" t="str">
        <f t="shared" si="55"/>
        <v>Error?</v>
      </c>
    </row>
    <row r="3644" spans="1:4" x14ac:dyDescent="0.2">
      <c r="A3644" s="10">
        <v>3583</v>
      </c>
      <c r="D3644" s="2" t="str">
        <f t="shared" si="55"/>
        <v>OK</v>
      </c>
    </row>
    <row r="3645" spans="1:4" x14ac:dyDescent="0.2">
      <c r="A3645" s="5">
        <v>3584</v>
      </c>
      <c r="B3645" s="138">
        <f>'Expenditures 15-22'!G348</f>
        <v>1938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1938</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1938</v>
      </c>
      <c r="C3649" s="2" t="s">
        <v>594</v>
      </c>
      <c r="D3649" s="2" t="str">
        <f t="shared" si="56"/>
        <v>Error?</v>
      </c>
    </row>
    <row r="3650" spans="1:4" x14ac:dyDescent="0.2">
      <c r="A3650" s="5">
        <v>3589</v>
      </c>
      <c r="B3650" s="138">
        <f>'Expenditures 15-22'!G367</f>
        <v>1938</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2959</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2959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2959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2959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15091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16851</v>
      </c>
      <c r="C3725" s="2" t="s">
        <v>594</v>
      </c>
      <c r="D3725" s="2" t="str">
        <f t="shared" si="57"/>
        <v>Error?</v>
      </c>
    </row>
    <row r="3726" spans="1:4" x14ac:dyDescent="0.2">
      <c r="A3726" s="5">
        <v>3665</v>
      </c>
      <c r="B3726" s="138">
        <f>'Tax Sched 23'!D13</f>
        <v>16851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18465</v>
      </c>
      <c r="C3728" s="2" t="s">
        <v>594</v>
      </c>
      <c r="D3728" s="2" t="str">
        <f t="shared" si="57"/>
        <v>Error?</v>
      </c>
    </row>
    <row r="3729" spans="1:4" x14ac:dyDescent="0.2">
      <c r="A3729" s="5">
        <v>3668</v>
      </c>
      <c r="B3729" s="138">
        <f>'Tax Sched 23'!E13</f>
        <v>18465</v>
      </c>
      <c r="D3729" s="2" t="str">
        <f t="shared" si="57"/>
        <v>Error?</v>
      </c>
    </row>
    <row r="3730" spans="1:4" x14ac:dyDescent="0.2">
      <c r="A3730" s="5">
        <v>3669</v>
      </c>
      <c r="B3730" s="138">
        <f>'ICR Computation 30'!E10</f>
        <v>14266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1244963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4452647</v>
      </c>
      <c r="C4122" s="2" t="s">
        <v>594</v>
      </c>
      <c r="D4122" s="2" t="str">
        <f t="shared" si="63"/>
        <v>Error?</v>
      </c>
    </row>
    <row r="4123" spans="1:4" x14ac:dyDescent="0.2">
      <c r="A4123" s="5">
        <v>4062</v>
      </c>
      <c r="B4123" s="138">
        <f>'Acct Summary 7-8'!D10</f>
        <v>96546</v>
      </c>
      <c r="C4123" s="2" t="s">
        <v>594</v>
      </c>
      <c r="D4123" s="2" t="str">
        <f t="shared" si="63"/>
        <v>Error?</v>
      </c>
    </row>
    <row r="4124" spans="1:4" x14ac:dyDescent="0.2">
      <c r="A4124" s="5">
        <v>4063</v>
      </c>
      <c r="B4124" s="138">
        <f>'Acct Summary 7-8'!E10</f>
        <v>205498</v>
      </c>
      <c r="C4124" s="2" t="s">
        <v>594</v>
      </c>
      <c r="D4124" s="2" t="str">
        <f t="shared" si="63"/>
        <v>Error?</v>
      </c>
    </row>
    <row r="4125" spans="1:4" x14ac:dyDescent="0.2">
      <c r="A4125" s="5">
        <v>4064</v>
      </c>
      <c r="B4125" s="138">
        <f>'Acct Summary 7-8'!F10</f>
        <v>199027</v>
      </c>
      <c r="C4125" s="2" t="s">
        <v>594</v>
      </c>
      <c r="D4125" s="2" t="str">
        <f t="shared" si="63"/>
        <v>Error?</v>
      </c>
    </row>
    <row r="4126" spans="1:4" x14ac:dyDescent="0.2">
      <c r="A4126" s="5">
        <v>4065</v>
      </c>
      <c r="B4126" s="138">
        <f>'Acct Summary 7-8'!G10</f>
        <v>210257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16976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18050</v>
      </c>
      <c r="C4130" s="2" t="s">
        <v>594</v>
      </c>
      <c r="D4130" s="2" t="str">
        <f t="shared" si="63"/>
        <v>Error?</v>
      </c>
    </row>
    <row r="4131" spans="1:4" x14ac:dyDescent="0.2">
      <c r="A4131" s="5">
        <v>4070</v>
      </c>
      <c r="B4131" s="138">
        <f>'Acct Summary 7-8'!C18</f>
        <v>1244963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4127357</v>
      </c>
      <c r="C4136" s="2" t="s">
        <v>594</v>
      </c>
      <c r="D4136" s="2" t="str">
        <f t="shared" si="63"/>
        <v>Error?</v>
      </c>
    </row>
    <row r="4137" spans="1:4" x14ac:dyDescent="0.2">
      <c r="A4137" s="5">
        <v>4076</v>
      </c>
      <c r="B4137" s="138">
        <f>'Acct Summary 7-8'!D19</f>
        <v>106404</v>
      </c>
      <c r="C4137" s="2" t="s">
        <v>594</v>
      </c>
      <c r="D4137" s="2" t="str">
        <f t="shared" si="63"/>
        <v>Error?</v>
      </c>
    </row>
    <row r="4138" spans="1:4" x14ac:dyDescent="0.2">
      <c r="A4138" s="5">
        <v>4077</v>
      </c>
      <c r="B4138" s="138">
        <f>'Acct Summary 7-8'!E19</f>
        <v>199266</v>
      </c>
      <c r="C4138" s="2" t="s">
        <v>594</v>
      </c>
      <c r="D4138" s="2" t="str">
        <f t="shared" si="63"/>
        <v>Error?</v>
      </c>
    </row>
    <row r="4139" spans="1:4" x14ac:dyDescent="0.2">
      <c r="A4139" s="5">
        <v>4078</v>
      </c>
      <c r="B4139" s="138">
        <f>'Acct Summary 7-8'!F19</f>
        <v>159130</v>
      </c>
      <c r="C4139" s="2" t="s">
        <v>594</v>
      </c>
      <c r="D4139" s="2" t="str">
        <f t="shared" si="63"/>
        <v>Error?</v>
      </c>
    </row>
    <row r="4140" spans="1:4" x14ac:dyDescent="0.2">
      <c r="A4140" s="5">
        <v>4079</v>
      </c>
      <c r="B4140" s="138">
        <f>'Acct Summary 7-8'!G19</f>
        <v>173787</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2959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2295530</v>
      </c>
      <c r="C4171" s="2" t="s">
        <v>594</v>
      </c>
      <c r="D4171" s="2" t="str">
        <f t="shared" si="64"/>
        <v>Error?</v>
      </c>
    </row>
    <row r="4172" spans="1:4" x14ac:dyDescent="0.2">
      <c r="A4172" s="5">
        <v>4111</v>
      </c>
      <c r="B4172" s="138">
        <f>'Short-Term Long-Term Debt 24'!J49</f>
        <v>2267048</v>
      </c>
      <c r="C4172" s="2" t="s">
        <v>594</v>
      </c>
      <c r="D4172" s="2" t="str">
        <f t="shared" si="64"/>
        <v>Error?</v>
      </c>
    </row>
    <row r="4173" spans="1:4" x14ac:dyDescent="0.2">
      <c r="A4173" s="5">
        <v>4112</v>
      </c>
      <c r="B4173" s="138">
        <f>'Short-Term Long-Term Debt 24'!H49</f>
        <v>114369</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29369</v>
      </c>
      <c r="D4210" s="2" t="str">
        <f t="shared" si="64"/>
        <v>Error?</v>
      </c>
    </row>
    <row r="4211" spans="1:4" x14ac:dyDescent="0.2">
      <c r="A4211" s="5">
        <v>4150</v>
      </c>
      <c r="B4211" s="138">
        <f>'Expenditures 15-22'!K206</f>
        <v>29369</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594</v>
      </c>
      <c r="D4265" s="2" t="str">
        <f t="shared" si="65"/>
        <v>Error?</v>
      </c>
      <c r="E4265" s="128"/>
    </row>
    <row r="4266" spans="1:5" x14ac:dyDescent="0.2">
      <c r="A4266" s="12">
        <v>4205</v>
      </c>
      <c r="B4266" s="138">
        <f>('FP Info 3'!F10)*100000</f>
        <v>250</v>
      </c>
      <c r="C4266" s="2" t="s">
        <v>594</v>
      </c>
      <c r="D4266" s="2" t="str">
        <f t="shared" si="65"/>
        <v>Error?</v>
      </c>
      <c r="E4266" s="128"/>
    </row>
    <row r="4267" spans="1:5" x14ac:dyDescent="0.2">
      <c r="A4267" s="12">
        <v>4206</v>
      </c>
      <c r="B4267" s="138">
        <f>('FP Info 3'!H10)*100000</f>
        <v>119.99999999999999</v>
      </c>
      <c r="C4267" s="2" t="s">
        <v>594</v>
      </c>
      <c r="D4267" s="2" t="str">
        <f t="shared" si="65"/>
        <v>Error?</v>
      </c>
      <c r="E4267" s="128"/>
    </row>
    <row r="4268" spans="1:5" x14ac:dyDescent="0.2">
      <c r="A4268" s="12">
        <v>4207</v>
      </c>
      <c r="B4268" s="138">
        <f>('FP Info 3'!J10)*100000</f>
        <v>1290</v>
      </c>
      <c r="C4268" s="2" t="s">
        <v>594</v>
      </c>
      <c r="D4268" s="2" t="str">
        <f t="shared" si="65"/>
        <v>Error?</v>
      </c>
    </row>
    <row r="4269" spans="1:5" x14ac:dyDescent="0.2">
      <c r="A4269" s="12">
        <v>4208</v>
      </c>
      <c r="B4269" s="138">
        <f>'FP Info 3'!J16</f>
        <v>929152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10033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29996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29317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29317</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10000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14748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34363883</v>
      </c>
      <c r="D4995" s="2" t="str">
        <f t="shared" si="77"/>
        <v>Error?</v>
      </c>
    </row>
    <row r="4996" spans="1:4" x14ac:dyDescent="0.2">
      <c r="A4996" s="12">
        <v>4935</v>
      </c>
      <c r="B4996" s="138">
        <f>'FP Info 3'!H31</f>
        <v>2371107.9270000001</v>
      </c>
      <c r="D4996" s="2" t="str">
        <f t="shared" si="77"/>
        <v>Error?</v>
      </c>
    </row>
    <row r="4997" spans="1:4" x14ac:dyDescent="0.2">
      <c r="A4997" s="12">
        <v>4936</v>
      </c>
      <c r="B4997" s="138">
        <f>'FP Info 3'!H37</f>
        <v>2295530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16851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306779</v>
      </c>
      <c r="D5061" s="2" t="str">
        <f t="shared" si="78"/>
        <v>Error?</v>
      </c>
    </row>
    <row r="5062" spans="1:4" x14ac:dyDescent="0.2">
      <c r="A5062" s="10">
        <v>5001</v>
      </c>
      <c r="D5062" s="2" t="str">
        <f t="shared" si="78"/>
        <v>OK</v>
      </c>
    </row>
    <row r="5063" spans="1:4" x14ac:dyDescent="0.2">
      <c r="A5063" s="5">
        <v>5002</v>
      </c>
      <c r="B5063" s="138">
        <f>'Revenues 9-14'!C7</f>
        <v>6740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330370</v>
      </c>
      <c r="C5066" s="2" t="s">
        <v>594</v>
      </c>
      <c r="D5066" s="2" t="str">
        <f t="shared" si="78"/>
        <v>Error?</v>
      </c>
    </row>
    <row r="5067" spans="1:4" x14ac:dyDescent="0.2">
      <c r="A5067" s="5">
        <v>5006</v>
      </c>
      <c r="B5067" s="138">
        <f>'Revenues 9-14'!C14</f>
        <v>3460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87718</v>
      </c>
      <c r="D5069" s="2" t="str">
        <f t="shared" si="78"/>
        <v>Error?</v>
      </c>
    </row>
    <row r="5070" spans="1:4" x14ac:dyDescent="0.2">
      <c r="A5070" s="5">
        <v>5009</v>
      </c>
      <c r="B5070" s="138">
        <f>'Revenues 9-14'!C17</f>
        <v>2731</v>
      </c>
      <c r="D5070" s="2" t="str">
        <f t="shared" si="78"/>
        <v>Error?</v>
      </c>
    </row>
    <row r="5071" spans="1:4" x14ac:dyDescent="0.2">
      <c r="A5071" s="5">
        <v>5010</v>
      </c>
      <c r="B5071" s="138">
        <f>'Revenues 9-14'!C18</f>
        <v>93909</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4983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4983</v>
      </c>
      <c r="C5090" s="2" t="s">
        <v>594</v>
      </c>
      <c r="D5090" s="2" t="str">
        <f t="shared" si="78"/>
        <v>Error?</v>
      </c>
    </row>
    <row r="5091" spans="1:4" x14ac:dyDescent="0.2">
      <c r="A5091" s="5">
        <v>5030</v>
      </c>
      <c r="B5091" s="138">
        <f>'Revenues 9-14'!C70</f>
        <v>8191</v>
      </c>
      <c r="D5091" s="2" t="str">
        <f t="shared" si="78"/>
        <v>Error?</v>
      </c>
    </row>
    <row r="5092" spans="1:4" x14ac:dyDescent="0.2">
      <c r="A5092" s="5">
        <v>5031</v>
      </c>
      <c r="B5092" s="138">
        <f>'Revenues 9-14'!C71</f>
        <v>0</v>
      </c>
      <c r="D5092" s="2" t="str">
        <f t="shared" si="78"/>
        <v>Error?</v>
      </c>
    </row>
    <row r="5093" spans="1:4" x14ac:dyDescent="0.2">
      <c r="A5093" s="5">
        <v>5032</v>
      </c>
      <c r="B5093" s="138">
        <f>'Revenues 9-14'!C72</f>
        <v>69</v>
      </c>
      <c r="D5093" s="2" t="str">
        <f t="shared" si="78"/>
        <v>Error?</v>
      </c>
    </row>
    <row r="5094" spans="1:4" x14ac:dyDescent="0.2">
      <c r="A5094" s="5">
        <v>5033</v>
      </c>
      <c r="B5094" s="138">
        <f>'Revenues 9-14'!C73</f>
        <v>9706</v>
      </c>
      <c r="D5094" s="2" t="str">
        <f t="shared" si="78"/>
        <v>Error?</v>
      </c>
    </row>
    <row r="5095" spans="1:4" x14ac:dyDescent="0.2">
      <c r="A5095" s="5">
        <v>5034</v>
      </c>
      <c r="B5095" s="138">
        <f>'Revenues 9-14'!C74</f>
        <v>25</v>
      </c>
      <c r="D5095" s="2" t="str">
        <f t="shared" si="78"/>
        <v>Error?</v>
      </c>
    </row>
    <row r="5096" spans="1:4" x14ac:dyDescent="0.2">
      <c r="A5096" s="5">
        <v>5035</v>
      </c>
      <c r="B5096" s="138">
        <f>'Revenues 9-14'!C75</f>
        <v>50865</v>
      </c>
      <c r="C5096" s="2" t="s">
        <v>594</v>
      </c>
      <c r="D5096" s="2" t="str">
        <f t="shared" si="78"/>
        <v>Error?</v>
      </c>
    </row>
    <row r="5097" spans="1:4" x14ac:dyDescent="0.2">
      <c r="A5097" s="5">
        <v>5036</v>
      </c>
      <c r="B5097" s="138">
        <f>'Revenues 9-14'!C77</f>
        <v>8998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9204</v>
      </c>
      <c r="D5101" s="2" t="str">
        <f t="shared" si="78"/>
        <v>Error?</v>
      </c>
    </row>
    <row r="5102" spans="1:4" x14ac:dyDescent="0.2">
      <c r="A5102" s="5">
        <v>5041</v>
      </c>
      <c r="B5102" s="138">
        <f>'Revenues 9-14'!C82</f>
        <v>19377</v>
      </c>
      <c r="C5102" s="2" t="s">
        <v>594</v>
      </c>
      <c r="D5102" s="2" t="str">
        <f t="shared" si="78"/>
        <v>Error?</v>
      </c>
    </row>
    <row r="5103" spans="1:4" x14ac:dyDescent="0.2">
      <c r="A5103" s="5">
        <v>5042</v>
      </c>
      <c r="B5103" s="138">
        <f>'Revenues 9-14'!C84</f>
        <v>5595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5595</v>
      </c>
      <c r="C5112" s="2" t="s">
        <v>594</v>
      </c>
      <c r="D5112" s="2" t="str">
        <f t="shared" si="78"/>
        <v>Error?</v>
      </c>
    </row>
    <row r="5113" spans="1:4" x14ac:dyDescent="0.2">
      <c r="A5113" s="5">
        <v>5052</v>
      </c>
      <c r="B5113" s="138">
        <f>'Revenues 9-14'!C95</f>
        <v>1</v>
      </c>
      <c r="D5113" s="2" t="str">
        <f t="shared" si="78"/>
        <v>Error?</v>
      </c>
    </row>
    <row r="5114" spans="1:4" x14ac:dyDescent="0.2">
      <c r="A5114" s="5">
        <v>5053</v>
      </c>
      <c r="B5114" s="138">
        <f>'Revenues 9-14'!C96</f>
        <v>3724</v>
      </c>
      <c r="D5114" s="2" t="str">
        <f t="shared" si="78"/>
        <v>Error?</v>
      </c>
    </row>
    <row r="5115" spans="1:4" x14ac:dyDescent="0.2">
      <c r="A5115" s="5">
        <v>5054</v>
      </c>
      <c r="B5115" s="138">
        <f>'Revenues 9-14'!C98</f>
        <v>38056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2754</v>
      </c>
      <c r="D5119" s="2" t="str">
        <f t="shared" ref="D5119:D5182" si="79">IF(ISBLANK(B5119),"OK",IF(A5119-B5119=0,"OK","Error?"))</f>
        <v>Error?</v>
      </c>
    </row>
    <row r="5120" spans="1:4" x14ac:dyDescent="0.2">
      <c r="A5120" s="5">
        <v>5059</v>
      </c>
      <c r="B5120" s="138">
        <f>'Revenues 9-14'!C108</f>
        <v>55975</v>
      </c>
      <c r="C5120" s="2" t="s">
        <v>594</v>
      </c>
      <c r="D5120" s="2" t="str">
        <f t="shared" si="79"/>
        <v>Error?</v>
      </c>
    </row>
    <row r="5121" spans="1:4" x14ac:dyDescent="0.2">
      <c r="A5121" s="5">
        <v>5060</v>
      </c>
      <c r="B5121" s="138">
        <f>'Revenues 9-14'!C109</f>
        <v>561074</v>
      </c>
      <c r="C5121" s="2" t="s">
        <v>594</v>
      </c>
      <c r="D5121" s="2" t="str">
        <f t="shared" si="79"/>
        <v>Error?</v>
      </c>
    </row>
    <row r="5122" spans="1:4" x14ac:dyDescent="0.2">
      <c r="A5122" s="5">
        <v>5061</v>
      </c>
      <c r="B5122" s="138">
        <f>'Revenues 9-14'!C111</f>
        <v>9900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81756</v>
      </c>
      <c r="D5124" s="2" t="str">
        <f t="shared" si="79"/>
        <v>Error?</v>
      </c>
    </row>
    <row r="5125" spans="1:4" x14ac:dyDescent="0.2">
      <c r="A5125" s="5">
        <v>5064</v>
      </c>
      <c r="B5125" s="138">
        <f>'Revenues 9-14'!C114</f>
        <v>91656</v>
      </c>
      <c r="C5125" s="2" t="s">
        <v>594</v>
      </c>
      <c r="D5125" s="2" t="str">
        <f t="shared" si="79"/>
        <v>Error?</v>
      </c>
    </row>
    <row r="5126" spans="1:4" x14ac:dyDescent="0.2">
      <c r="A5126" s="5">
        <v>5065</v>
      </c>
      <c r="B5126" s="138">
        <f>'Revenues 9-14'!C117</f>
        <v>2001615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2001615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28097</v>
      </c>
      <c r="D5134" s="2" t="str">
        <f t="shared" si="79"/>
        <v>Error?</v>
      </c>
    </row>
    <row r="5135" spans="1:4" x14ac:dyDescent="0.2">
      <c r="A5135" s="5">
        <v>5074</v>
      </c>
      <c r="B5135" s="138">
        <f>'Revenues 9-14'!C126</f>
        <v>27650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55747</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4446</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4446</v>
      </c>
      <c r="C5165" s="2" t="s">
        <v>594</v>
      </c>
      <c r="D5165" s="2" t="str">
        <f t="shared" si="79"/>
        <v>Error?</v>
      </c>
    </row>
    <row r="5166" spans="1:4" x14ac:dyDescent="0.2">
      <c r="A5166" s="10">
        <v>5105</v>
      </c>
      <c r="D5166" s="2" t="str">
        <f t="shared" si="79"/>
        <v>OK</v>
      </c>
    </row>
    <row r="5167" spans="1:4" x14ac:dyDescent="0.2">
      <c r="A5167" s="5">
        <v>5106</v>
      </c>
      <c r="B5167" s="138">
        <f>'Revenues 9-14'!C145</f>
        <v>2556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134486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197985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2199600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118498</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46455</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164953</v>
      </c>
      <c r="C5246" s="2" t="s">
        <v>594</v>
      </c>
      <c r="D5246" s="2" t="str">
        <f t="shared" si="80"/>
        <v>Error?</v>
      </c>
    </row>
    <row r="5247" spans="1:4" x14ac:dyDescent="0.2">
      <c r="A5247" s="5">
        <v>5186</v>
      </c>
      <c r="B5247" s="138">
        <f>'Revenues 9-14'!C203</f>
        <v>96307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10000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96307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355354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355354</v>
      </c>
      <c r="C5326" s="2" t="s">
        <v>594</v>
      </c>
      <c r="D5326" s="2" t="str">
        <f t="shared" si="82"/>
        <v>Error?</v>
      </c>
    </row>
    <row r="5327" spans="1:4" x14ac:dyDescent="0.2">
      <c r="A5327" s="5">
        <v>5266</v>
      </c>
      <c r="B5327" s="138">
        <f>'Revenues 9-14'!C275</f>
        <v>3207684</v>
      </c>
      <c r="C5327" s="2" t="s">
        <v>594</v>
      </c>
      <c r="D5327" s="2" t="str">
        <f t="shared" si="82"/>
        <v>Error?</v>
      </c>
    </row>
    <row r="5328" spans="1:4" x14ac:dyDescent="0.2">
      <c r="A5328" s="5">
        <v>5267</v>
      </c>
      <c r="B5328" s="138">
        <f>'Revenues 9-14'!D5</f>
        <v>83364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83364</v>
      </c>
      <c r="C5334" s="2" t="s">
        <v>594</v>
      </c>
      <c r="D5334" s="2" t="str">
        <f t="shared" si="82"/>
        <v>Error?</v>
      </c>
    </row>
    <row r="5335" spans="1:4" x14ac:dyDescent="0.2">
      <c r="A5335" s="5">
        <v>5274</v>
      </c>
      <c r="B5335" s="138">
        <f>'Revenues 9-14'!D14</f>
        <v>892</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690</v>
      </c>
      <c r="D5338" s="2" t="str">
        <f t="shared" si="82"/>
        <v>Error?</v>
      </c>
    </row>
    <row r="5339" spans="1:4" x14ac:dyDescent="0.2">
      <c r="A5339" s="5">
        <v>5278</v>
      </c>
      <c r="B5339" s="138">
        <f>'Revenues 9-14'!D18</f>
        <v>1582</v>
      </c>
      <c r="C5339" s="2" t="s">
        <v>594</v>
      </c>
      <c r="D5339" s="2" t="str">
        <f t="shared" si="82"/>
        <v>Error?</v>
      </c>
    </row>
    <row r="5340" spans="1:4" x14ac:dyDescent="0.2">
      <c r="A5340" s="5">
        <v>5279</v>
      </c>
      <c r="B5340" s="138">
        <f>'Revenues 9-14'!D65</f>
        <v>1825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1825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9775</v>
      </c>
      <c r="C5355" s="2" t="s">
        <v>594</v>
      </c>
      <c r="D5355" s="2" t="str">
        <f t="shared" si="82"/>
        <v>Error?</v>
      </c>
    </row>
    <row r="5356" spans="1:4" x14ac:dyDescent="0.2">
      <c r="A5356" s="5">
        <v>5295</v>
      </c>
      <c r="B5356" s="138">
        <f>'Revenues 9-14'!D109</f>
        <v>96546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96546</v>
      </c>
      <c r="C5508" s="2" t="s">
        <v>594</v>
      </c>
      <c r="D5508" s="2" t="str">
        <f t="shared" si="85"/>
        <v>Error?</v>
      </c>
    </row>
    <row r="5509" spans="1:4" x14ac:dyDescent="0.2">
      <c r="A5509" s="5">
        <v>5448</v>
      </c>
      <c r="B5509" s="138">
        <f>'Revenues 9-14'!E5</f>
        <v>200683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200683</v>
      </c>
      <c r="C5513" s="2" t="s">
        <v>594</v>
      </c>
      <c r="D5513" s="2" t="str">
        <f t="shared" si="85"/>
        <v>Error?</v>
      </c>
    </row>
    <row r="5514" spans="1:4" x14ac:dyDescent="0.2">
      <c r="A5514" s="5">
        <v>5453</v>
      </c>
      <c r="B5514" s="138">
        <f>'Revenues 9-14'!E14</f>
        <v>2147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1660</v>
      </c>
      <c r="D5517" s="2" t="str">
        <f t="shared" si="85"/>
        <v>Error?</v>
      </c>
    </row>
    <row r="5518" spans="1:4" x14ac:dyDescent="0.2">
      <c r="A5518" s="5">
        <v>5457</v>
      </c>
      <c r="B5518" s="138">
        <f>'Revenues 9-14'!E18</f>
        <v>3807</v>
      </c>
      <c r="C5518" s="2" t="s">
        <v>594</v>
      </c>
      <c r="D5518" s="2" t="str">
        <f t="shared" si="85"/>
        <v>Error?</v>
      </c>
    </row>
    <row r="5519" spans="1:4" x14ac:dyDescent="0.2">
      <c r="A5519" s="5">
        <v>5458</v>
      </c>
      <c r="B5519" s="138">
        <f>'Revenues 9-14'!E65</f>
        <v>1008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1008</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205498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205498</v>
      </c>
      <c r="C5552" s="2" t="s">
        <v>594</v>
      </c>
      <c r="D5552" s="2" t="str">
        <f t="shared" si="85"/>
        <v>Error?</v>
      </c>
    </row>
    <row r="5553" spans="1:4" x14ac:dyDescent="0.2">
      <c r="A5553" s="5">
        <v>5492</v>
      </c>
      <c r="B5553" s="138">
        <f>'Revenues 9-14'!F5</f>
        <v>40015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40015</v>
      </c>
      <c r="C5557" s="2" t="s">
        <v>594</v>
      </c>
      <c r="D5557" s="2" t="str">
        <f t="shared" si="85"/>
        <v>Error?</v>
      </c>
    </row>
    <row r="5558" spans="1:4" x14ac:dyDescent="0.2">
      <c r="A5558" s="5">
        <v>5497</v>
      </c>
      <c r="B5558" s="138">
        <f>'Revenues 9-14'!F14</f>
        <v>428</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331</v>
      </c>
      <c r="D5561" s="2" t="str">
        <f t="shared" si="85"/>
        <v>Error?</v>
      </c>
    </row>
    <row r="5562" spans="1:4" x14ac:dyDescent="0.2">
      <c r="A5562" s="5">
        <v>5501</v>
      </c>
      <c r="B5562" s="138">
        <f>'Revenues 9-14'!F18</f>
        <v>759</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604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604</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1294</v>
      </c>
      <c r="D5586" s="2" t="str">
        <f t="shared" si="86"/>
        <v>Error?</v>
      </c>
    </row>
    <row r="5587" spans="1:4" x14ac:dyDescent="0.2">
      <c r="A5587" s="5">
        <v>5526</v>
      </c>
      <c r="B5587" s="138">
        <f>'Revenues 9-14'!F108</f>
        <v>1294</v>
      </c>
      <c r="C5587" s="2" t="s">
        <v>594</v>
      </c>
      <c r="D5587" s="2" t="str">
        <f t="shared" si="86"/>
        <v>Error?</v>
      </c>
    </row>
    <row r="5588" spans="1:4" x14ac:dyDescent="0.2">
      <c r="A5588" s="5">
        <v>5527</v>
      </c>
      <c r="B5588" s="138">
        <f>'Revenues 9-14'!F109</f>
        <v>42672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30000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30000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126355</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126355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126355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156355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199027</v>
      </c>
      <c r="C5720" s="2" t="s">
        <v>594</v>
      </c>
      <c r="D5720" s="2" t="str">
        <f t="shared" si="88"/>
        <v>Error?</v>
      </c>
    </row>
    <row r="5721" spans="1:4" x14ac:dyDescent="0.2">
      <c r="A5721" s="5">
        <v>5660</v>
      </c>
      <c r="B5721" s="138">
        <f>'Revenues 9-14'!G5</f>
        <v>85684</v>
      </c>
      <c r="D5721" s="2" t="str">
        <f t="shared" si="88"/>
        <v>Error?</v>
      </c>
    </row>
    <row r="5722" spans="1:4" x14ac:dyDescent="0.2">
      <c r="A5722" s="5">
        <v>5661</v>
      </c>
      <c r="B5722" s="138">
        <f>'Revenues 9-14'!G7</f>
        <v>0</v>
      </c>
      <c r="D5722" s="2" t="str">
        <f t="shared" si="88"/>
        <v>Error?</v>
      </c>
    </row>
    <row r="5723" spans="1:4" x14ac:dyDescent="0.2">
      <c r="A5723" s="5">
        <v>5662</v>
      </c>
      <c r="B5723" s="138">
        <f>'Revenues 9-14'!G8</f>
        <v>69382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155066</v>
      </c>
      <c r="C5725" s="2" t="s">
        <v>594</v>
      </c>
      <c r="D5725" s="2" t="str">
        <f t="shared" si="88"/>
        <v>Error?</v>
      </c>
    </row>
    <row r="5726" spans="1:4" x14ac:dyDescent="0.2">
      <c r="A5726" s="5">
        <v>5665</v>
      </c>
      <c r="B5726" s="138">
        <f>'Revenues 9-14'!G14</f>
        <v>1659</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24900</v>
      </c>
      <c r="D5728" s="2" t="str">
        <f t="shared" si="88"/>
        <v>Error?</v>
      </c>
    </row>
    <row r="5729" spans="1:4" x14ac:dyDescent="0.2">
      <c r="A5729" s="5">
        <v>5668</v>
      </c>
      <c r="B5729" s="138">
        <f>'Revenues 9-14'!G17</f>
        <v>1283</v>
      </c>
      <c r="D5729" s="2" t="str">
        <f t="shared" si="88"/>
        <v>Error?</v>
      </c>
    </row>
    <row r="5730" spans="1:4" x14ac:dyDescent="0.2">
      <c r="A5730" s="5">
        <v>5669</v>
      </c>
      <c r="B5730" s="138">
        <f>'Revenues 9-14'!G18</f>
        <v>27842</v>
      </c>
      <c r="C5730" s="2" t="s">
        <v>594</v>
      </c>
      <c r="D5730" s="2" t="str">
        <f t="shared" si="88"/>
        <v>Error?</v>
      </c>
    </row>
    <row r="5731" spans="1:4" x14ac:dyDescent="0.2">
      <c r="A5731" s="5">
        <v>5670</v>
      </c>
      <c r="B5731" s="138">
        <f>'Revenues 9-14'!G65</f>
        <v>3925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3925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6800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6800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6800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16624</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16624</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16624</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16624</v>
      </c>
      <c r="C5869" s="2" t="s">
        <v>594</v>
      </c>
      <c r="D5869" s="2" t="str">
        <f t="shared" si="90"/>
        <v>Error?</v>
      </c>
    </row>
    <row r="5870" spans="1:4" x14ac:dyDescent="0.2">
      <c r="A5870" s="5">
        <v>5809</v>
      </c>
      <c r="B5870" s="138">
        <f>'Revenues 9-14'!G275</f>
        <v>210257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16673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16673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138</v>
      </c>
      <c r="D5922" s="2" t="str">
        <f t="shared" si="91"/>
        <v>Error?</v>
      </c>
    </row>
    <row r="5923" spans="1:4" x14ac:dyDescent="0.2">
      <c r="A5923" s="5">
        <v>5862</v>
      </c>
      <c r="B5923" s="138">
        <f>'Revenues 9-14'!I18</f>
        <v>138</v>
      </c>
      <c r="C5923" s="2" t="s">
        <v>594</v>
      </c>
      <c r="D5923" s="2" t="str">
        <f t="shared" si="91"/>
        <v>Error?</v>
      </c>
    </row>
    <row r="5924" spans="1:4" x14ac:dyDescent="0.2">
      <c r="A5924" s="5">
        <v>5863</v>
      </c>
      <c r="B5924" s="138">
        <f>'Revenues 9-14'!I65</f>
        <v>165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16976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16673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16673</v>
      </c>
      <c r="C5987" s="2" t="s">
        <v>594</v>
      </c>
      <c r="D5987" s="2" t="str">
        <f t="shared" si="92"/>
        <v>Error?</v>
      </c>
    </row>
    <row r="5988" spans="1:4" x14ac:dyDescent="0.2">
      <c r="A5988" s="5">
        <v>5927</v>
      </c>
      <c r="B5988" s="138">
        <f>'Revenues 9-14'!K14</f>
        <v>178</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138</v>
      </c>
      <c r="D5991" s="2" t="str">
        <f t="shared" si="92"/>
        <v>Error?</v>
      </c>
    </row>
    <row r="5992" spans="1:4" x14ac:dyDescent="0.2">
      <c r="A5992" s="5">
        <v>5931</v>
      </c>
      <c r="B5992" s="138">
        <f>'Revenues 9-14'!K18</f>
        <v>316</v>
      </c>
      <c r="C5992" s="2" t="s">
        <v>594</v>
      </c>
      <c r="D5992" s="2" t="str">
        <f t="shared" si="92"/>
        <v>Error?</v>
      </c>
    </row>
    <row r="5993" spans="1:4" x14ac:dyDescent="0.2">
      <c r="A5993" s="5">
        <v>5932</v>
      </c>
      <c r="B5993" s="138">
        <f>'Revenues 9-14'!K65</f>
        <v>1061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1061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18050</v>
      </c>
      <c r="C6023" s="2" t="s">
        <v>594</v>
      </c>
      <c r="D6023" s="2" t="str">
        <f t="shared" si="93"/>
        <v>Error?</v>
      </c>
    </row>
    <row r="6024" spans="1:5" x14ac:dyDescent="0.2">
      <c r="A6024" s="5">
        <v>5963</v>
      </c>
      <c r="B6024" s="138">
        <f>'Revenues 9-14'!G109</f>
        <v>186833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16976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18050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32874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24328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383.8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159237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159237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159237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159237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159237</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325290</v>
      </c>
      <c r="D6267" s="2" t="str">
        <f t="shared" si="96"/>
        <v>Error?</v>
      </c>
      <c r="E6267" s="2" t="s">
        <v>199</v>
      </c>
    </row>
    <row r="6268" spans="1:5" x14ac:dyDescent="0.2">
      <c r="A6268">
        <v>6207</v>
      </c>
      <c r="B6268" s="138">
        <f>'Acct Summary 7-8'!D82</f>
        <v>-9858</v>
      </c>
      <c r="D6268" s="2" t="str">
        <f t="shared" si="96"/>
        <v>Error?</v>
      </c>
      <c r="E6268" s="2" t="s">
        <v>199</v>
      </c>
    </row>
    <row r="6269" spans="1:5" x14ac:dyDescent="0.2">
      <c r="A6269">
        <v>6208</v>
      </c>
      <c r="B6269" s="138">
        <f>'Acct Summary 7-8'!E82</f>
        <v>6232</v>
      </c>
      <c r="D6269" s="2" t="str">
        <f t="shared" si="96"/>
        <v>Error?</v>
      </c>
      <c r="E6269" s="2" t="s">
        <v>199</v>
      </c>
    </row>
    <row r="6270" spans="1:5" x14ac:dyDescent="0.2">
      <c r="A6270">
        <v>6209</v>
      </c>
      <c r="B6270" s="138">
        <f>'Acct Summary 7-8'!F82</f>
        <v>39897</v>
      </c>
      <c r="D6270" s="2" t="str">
        <f t="shared" si="96"/>
        <v>Error?</v>
      </c>
      <c r="E6270" s="2" t="s">
        <v>199</v>
      </c>
    </row>
    <row r="6271" spans="1:5" x14ac:dyDescent="0.2">
      <c r="A6271">
        <v>6210</v>
      </c>
      <c r="B6271" s="138">
        <f>'Acct Summary 7-8'!G82</f>
        <v>36470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16976</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15091</v>
      </c>
      <c r="D6275" s="2" t="str">
        <f t="shared" si="97"/>
        <v>Error?</v>
      </c>
      <c r="E6275" s="2" t="s">
        <v>199</v>
      </c>
    </row>
    <row r="6276" spans="1:5" x14ac:dyDescent="0.2">
      <c r="A6276">
        <v>6215</v>
      </c>
      <c r="B6276" s="138">
        <f>'Acct Summary 7-8'!C83</f>
        <v>0.47341489185200708</v>
      </c>
      <c r="D6276" s="2" t="str">
        <f t="shared" si="97"/>
        <v>Error?</v>
      </c>
      <c r="E6276" s="2" t="s">
        <v>199</v>
      </c>
    </row>
    <row r="6277" spans="1:5" x14ac:dyDescent="0.2">
      <c r="A6277">
        <v>6216</v>
      </c>
      <c r="B6277" s="138">
        <f>'Acct Summary 7-8'!D83</f>
        <v>-7.8805368805608622E-2</v>
      </c>
      <c r="D6277" s="2" t="str">
        <f t="shared" si="97"/>
        <v>Error?</v>
      </c>
      <c r="E6277" s="2" t="s">
        <v>199</v>
      </c>
    </row>
    <row r="6278" spans="1:5" x14ac:dyDescent="0.2">
      <c r="A6278">
        <v>6217</v>
      </c>
      <c r="B6278" s="138">
        <f>'Acct Summary 7-8'!E83</f>
        <v>0.21880485920932519</v>
      </c>
      <c r="D6278" s="2" t="str">
        <f t="shared" si="97"/>
        <v>Error?</v>
      </c>
      <c r="E6278" s="2" t="s">
        <v>199</v>
      </c>
    </row>
    <row r="6279" spans="1:5" x14ac:dyDescent="0.2">
      <c r="A6279">
        <v>6218</v>
      </c>
      <c r="B6279" s="138">
        <f>'Acct Summary 7-8'!F83</f>
        <v>0.39909371905290641</v>
      </c>
      <c r="D6279" s="2" t="str">
        <f t="shared" si="97"/>
        <v>Error?</v>
      </c>
      <c r="E6279" s="2" t="s">
        <v>199</v>
      </c>
    </row>
    <row r="6280" spans="1:5" x14ac:dyDescent="0.2">
      <c r="A6280">
        <v>6219</v>
      </c>
      <c r="B6280" s="138">
        <f>'Acct Summary 7-8'!G83</f>
        <v>0.13002107004452873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1</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f>'Acct Summary 7-8'!K83</f>
        <v>0.18933092451102163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155964</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155964</v>
      </c>
      <c r="D6301" s="2" t="str">
        <f t="shared" si="97"/>
        <v>Error?</v>
      </c>
      <c r="E6301" s="2" t="s">
        <v>199</v>
      </c>
    </row>
    <row r="6302" spans="1:5" x14ac:dyDescent="0.2">
      <c r="A6302">
        <v>6241</v>
      </c>
      <c r="B6302" s="138">
        <f>'Revenues 9-14'!J14</f>
        <v>1668</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1290</v>
      </c>
      <c r="D6305" s="2" t="str">
        <f t="shared" si="97"/>
        <v>Error?</v>
      </c>
      <c r="E6305" s="2" t="s">
        <v>199</v>
      </c>
    </row>
    <row r="6306" spans="1:5" x14ac:dyDescent="0.2">
      <c r="A6306">
        <v>6245</v>
      </c>
      <c r="B6306" s="138">
        <f>'Revenues 9-14'!J18</f>
        <v>2958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315</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315</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11440</v>
      </c>
      <c r="D6330" s="2" t="str">
        <f t="shared" si="97"/>
        <v>Error?</v>
      </c>
      <c r="E6330" s="2" t="s">
        <v>199</v>
      </c>
    </row>
    <row r="6331" spans="1:5" x14ac:dyDescent="0.2">
      <c r="A6331">
        <v>6270</v>
      </c>
      <c r="B6331" s="138">
        <f>'Revenues 9-14'!D100</f>
        <v>9775</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159237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159237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159237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1763</v>
      </c>
      <c r="D7067" s="2" t="str">
        <f t="shared" si="109"/>
        <v>Error?</v>
      </c>
    </row>
    <row r="7068" spans="1:4" x14ac:dyDescent="0.2">
      <c r="A7068">
        <v>7007</v>
      </c>
      <c r="B7068" s="138">
        <f>'Expenditures 15-22'!K205</f>
        <v>1763</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16522</v>
      </c>
      <c r="D7093" s="2" t="str">
        <f t="shared" si="109"/>
        <v>Error?</v>
      </c>
    </row>
    <row r="7094" spans="1:4" x14ac:dyDescent="0.2">
      <c r="A7094">
        <v>7033</v>
      </c>
      <c r="B7094" s="138">
        <f>'Expenditures 15-22'!K254</f>
        <v>16522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42475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42475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99051</v>
      </c>
      <c r="D7172" s="2" t="str">
        <f t="shared" si="111"/>
        <v>Error?</v>
      </c>
    </row>
    <row r="7173" spans="1:4" x14ac:dyDescent="0.2">
      <c r="A7173">
        <v>7112</v>
      </c>
      <c r="B7173" s="138">
        <f>'Expenditures 15-22'!D325</f>
        <v>2533</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101584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15178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15178</v>
      </c>
      <c r="D7198" s="2" t="str">
        <f t="shared" si="111"/>
        <v>Error?</v>
      </c>
    </row>
    <row r="7199" spans="1:4" x14ac:dyDescent="0.2">
      <c r="A7199">
        <v>7138</v>
      </c>
      <c r="B7199" s="138">
        <f>'Expenditures 15-22'!C330</f>
        <v>99051</v>
      </c>
      <c r="D7199" s="2" t="str">
        <f t="shared" si="111"/>
        <v>Error?</v>
      </c>
    </row>
    <row r="7200" spans="1:4" x14ac:dyDescent="0.2">
      <c r="A7200">
        <v>7139</v>
      </c>
      <c r="B7200" s="138">
        <f>'Expenditures 15-22'!D330</f>
        <v>2533</v>
      </c>
      <c r="D7200" s="2" t="str">
        <f t="shared" si="111"/>
        <v>Error?</v>
      </c>
    </row>
    <row r="7201" spans="1:4" x14ac:dyDescent="0.2">
      <c r="A7201">
        <v>7140</v>
      </c>
      <c r="B7201" s="138">
        <f>'Expenditures 15-22'!E330</f>
        <v>57653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159237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99051</v>
      </c>
      <c r="D7216" s="2" t="str">
        <f t="shared" si="111"/>
        <v>Error?</v>
      </c>
    </row>
    <row r="7217" spans="1:4" x14ac:dyDescent="0.2">
      <c r="A7217">
        <v>7156</v>
      </c>
      <c r="B7217" s="138">
        <f>'Expenditures 15-22'!D342</f>
        <v>2533</v>
      </c>
      <c r="D7217" s="2" t="str">
        <f t="shared" si="111"/>
        <v>Error?</v>
      </c>
    </row>
    <row r="7218" spans="1:4" x14ac:dyDescent="0.2">
      <c r="A7218">
        <v>7157</v>
      </c>
      <c r="B7218" s="138">
        <f>'Expenditures 15-22'!E342</f>
        <v>57653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159237</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154414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62487</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17460</v>
      </c>
      <c r="D7797" s="2" t="str">
        <f t="shared" si="127"/>
        <v>Error?</v>
      </c>
      <c r="E7797" s="4" t="s">
        <v>2019</v>
      </c>
    </row>
    <row r="7798" spans="1:5" x14ac:dyDescent="0.2">
      <c r="A7798">
        <v>7737</v>
      </c>
      <c r="B7798" s="138">
        <f>'Contracts Paid in CY 29'!F141</f>
        <v>17460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20" t="str">
        <f>COVER!A17</f>
        <v>Vienna SD 55</v>
      </c>
      <c r="B7" s="2421"/>
      <c r="C7" s="2421"/>
      <c r="D7" s="2422"/>
      <c r="E7" s="2423">
        <f>COVER!A13</f>
        <v>21044055002</v>
      </c>
      <c r="F7" s="2424"/>
      <c r="G7" s="2430" t="str">
        <f>COVER!T23</f>
        <v>066-003657</v>
      </c>
      <c r="H7" s="2431"/>
      <c r="I7" s="2431"/>
      <c r="J7" s="2431"/>
      <c r="K7" s="2431"/>
      <c r="L7" s="2432"/>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33"/>
      <c r="B9" s="2434"/>
      <c r="C9" s="2434"/>
      <c r="D9" s="2434"/>
      <c r="E9" s="2434"/>
      <c r="F9" s="2435"/>
      <c r="G9" s="2404" t="str">
        <f>COVER!T13</f>
        <v>BOTSCH &amp; ASSOCIATES, CPA'S, LLC</v>
      </c>
      <c r="H9" s="2436"/>
      <c r="I9" s="2436"/>
      <c r="J9" s="2436"/>
      <c r="K9" s="2436"/>
      <c r="L9" s="2437"/>
    </row>
    <row r="10" spans="1:29" ht="13.5" customHeight="1" x14ac:dyDescent="0.2">
      <c r="A10" s="2410" t="str">
        <f>COVER!A38</f>
        <v>GREG FREHNER</v>
      </c>
      <c r="B10" s="2411"/>
      <c r="C10" s="2411"/>
      <c r="D10" s="2411"/>
      <c r="E10" s="2411"/>
      <c r="F10" s="2412"/>
      <c r="G10" s="2404" t="str">
        <f>COVER!T17</f>
        <v>113 E. MAIN ST.</v>
      </c>
      <c r="H10" s="2405"/>
      <c r="I10" s="2405"/>
      <c r="J10" s="2405"/>
      <c r="K10" s="2405"/>
      <c r="L10" s="2406"/>
    </row>
    <row r="11" spans="1:29" ht="13.5" customHeight="1" x14ac:dyDescent="0.2">
      <c r="A11" s="1184" t="s">
        <v>1599</v>
      </c>
      <c r="B11" s="1185"/>
      <c r="C11" s="1186"/>
      <c r="D11" s="1191"/>
      <c r="E11" s="1186"/>
      <c r="F11" s="1190"/>
      <c r="G11" s="2404" t="str">
        <f>COVER!T19</f>
        <v>CARMI</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ARLYNNE@BOTSCH.COM</v>
      </c>
      <c r="J13" s="2417"/>
      <c r="K13" s="2417"/>
      <c r="L13" s="2418"/>
    </row>
    <row r="14" spans="1:29" ht="13.5" customHeight="1" x14ac:dyDescent="0.2">
      <c r="A14" s="2404" t="str">
        <f>COVER!A19</f>
        <v>PO BOX 427</v>
      </c>
      <c r="B14" s="2405"/>
      <c r="C14" s="2405"/>
      <c r="D14" s="2405"/>
      <c r="E14" s="2405"/>
      <c r="F14" s="2406"/>
      <c r="G14" s="1195" t="s">
        <v>1247</v>
      </c>
      <c r="H14" s="1193"/>
      <c r="I14" s="1193"/>
      <c r="J14" s="1193"/>
      <c r="K14" s="1193"/>
      <c r="L14" s="1194"/>
    </row>
    <row r="15" spans="1:29" ht="13.5" customHeight="1" x14ac:dyDescent="0.2">
      <c r="A15" s="2404" t="str">
        <f>COVER!A21</f>
        <v>VIENNA</v>
      </c>
      <c r="B15" s="2405"/>
      <c r="C15" s="2405"/>
      <c r="D15" s="2405"/>
      <c r="E15" s="2405"/>
      <c r="F15" s="2406"/>
      <c r="G15" s="2401" t="str">
        <f>COVER!T15</f>
        <v>ARLYNNE STROMAN, CPA</v>
      </c>
      <c r="H15" s="2402"/>
      <c r="I15" s="2402"/>
      <c r="J15" s="2402"/>
      <c r="K15" s="2402"/>
      <c r="L15" s="2403"/>
    </row>
    <row r="16" spans="1:29" ht="12.2" customHeight="1" x14ac:dyDescent="0.2">
      <c r="A16" s="2426">
        <f>COVER!A25</f>
        <v>62995</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5" t="s">
        <v>1246</v>
      </c>
      <c r="H17" s="1193"/>
      <c r="I17" s="1193"/>
      <c r="J17" s="1193"/>
      <c r="K17" s="1197" t="s">
        <v>1245</v>
      </c>
      <c r="L17" s="1190"/>
      <c r="M17" s="1183"/>
    </row>
    <row r="18" spans="1:13" ht="12.2" customHeight="1" x14ac:dyDescent="0.2">
      <c r="A18" s="2410"/>
      <c r="B18" s="2411"/>
      <c r="C18" s="2411"/>
      <c r="D18" s="2411"/>
      <c r="E18" s="2411"/>
      <c r="F18" s="2412"/>
      <c r="G18" s="2420" t="str">
        <f>COVER!T21</f>
        <v>618-382-4151</v>
      </c>
      <c r="H18" s="2421"/>
      <c r="I18" s="2421"/>
      <c r="J18" s="2421"/>
      <c r="K18" s="2420" t="str">
        <f>COVER!X21</f>
        <v>618-382-4153</v>
      </c>
      <c r="L18" s="242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2" t="str">
        <f>'Single Audit Cover'!A7</f>
        <v>Vienna SD 55</v>
      </c>
      <c r="B1" s="2419"/>
      <c r="C1" s="2419"/>
      <c r="D1" s="2419"/>
    </row>
    <row r="2" spans="1:11" s="1214" customFormat="1" ht="12.75" x14ac:dyDescent="0.2">
      <c r="A2" s="2443">
        <f>'Single Audit Cover'!E7</f>
        <v>21044055002</v>
      </c>
      <c r="B2" s="2444"/>
      <c r="C2" s="2444"/>
      <c r="D2" s="2444"/>
    </row>
    <row r="3" spans="1:11" s="1214" customFormat="1" ht="12.75" x14ac:dyDescent="0.2">
      <c r="A3" s="2442" t="s">
        <v>1593</v>
      </c>
      <c r="B3" s="2419"/>
      <c r="C3" s="2419"/>
      <c r="D3" s="2419"/>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1947</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4"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46" t="str">
        <f>'Single Audit Cover'!A7</f>
        <v>Vienna SD 55</v>
      </c>
      <c r="B1" s="2446"/>
      <c r="C1" s="2446"/>
      <c r="D1" s="2446"/>
      <c r="E1" s="2446"/>
    </row>
    <row r="2" spans="1:5" x14ac:dyDescent="0.2">
      <c r="A2" s="2447">
        <f>'Single Audit Cover'!E7</f>
        <v>21044055002</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59" t="s">
        <v>1305</v>
      </c>
    </row>
    <row r="10" spans="1:5" x14ac:dyDescent="0.2">
      <c r="A10" s="1260" t="s">
        <v>1304</v>
      </c>
      <c r="B10" s="1261" t="s">
        <v>1303</v>
      </c>
      <c r="C10" s="1261"/>
      <c r="D10" s="1262">
        <f>SUM('Acct Summary 7-8'!C7:K7)</f>
        <v>371978</v>
      </c>
    </row>
    <row r="11" spans="1:5" ht="18" customHeight="1" x14ac:dyDescent="0.2">
      <c r="A11" s="1260" t="s">
        <v>1302</v>
      </c>
      <c r="B11" s="1261"/>
      <c r="C11" s="1261"/>
    </row>
    <row r="12" spans="1:5" x14ac:dyDescent="0.2">
      <c r="A12" s="1260" t="s">
        <v>1301</v>
      </c>
      <c r="B12" s="1261" t="s">
        <v>1300</v>
      </c>
      <c r="C12" s="1261"/>
      <c r="D12" s="1263">
        <f>SUM('Revenues 9-14'!C112:D112,'Revenues 9-14'!F112:G112)</f>
        <v>0</v>
      </c>
    </row>
    <row r="13" spans="1:5" x14ac:dyDescent="0.2">
      <c r="A13" s="1260" t="s">
        <v>1299</v>
      </c>
      <c r="B13" s="1261"/>
      <c r="C13" s="1261"/>
    </row>
    <row r="14" spans="1:5" x14ac:dyDescent="0.2">
      <c r="A14" s="1260" t="s">
        <v>1830</v>
      </c>
      <c r="B14" s="1261"/>
      <c r="C14" s="1261"/>
      <c r="D14" s="1263">
        <f>'ICR Computation 30'!E11</f>
        <v>24328</v>
      </c>
    </row>
    <row r="15" spans="1:5" x14ac:dyDescent="0.2">
      <c r="A15" s="1260"/>
      <c r="B15" s="1261"/>
      <c r="C15" s="1261"/>
    </row>
    <row r="16" spans="1:5" x14ac:dyDescent="0.2">
      <c r="A16" s="1260" t="s">
        <v>1955</v>
      </c>
      <c r="B16" s="1261"/>
      <c r="C16" s="1261"/>
    </row>
    <row r="17" spans="1:4" x14ac:dyDescent="0.2">
      <c r="A17" s="1260" t="s">
        <v>1601</v>
      </c>
      <c r="B17" s="1261" t="s">
        <v>1298</v>
      </c>
      <c r="C17" s="1261"/>
      <c r="D17" s="1263">
        <f>-SUM('Revenues 9-14'!C271:D271,'Revenues 9-14'!F271:G271)</f>
        <v>-29996</v>
      </c>
    </row>
    <row r="19" spans="1:4" ht="13.5" thickBot="1" x14ac:dyDescent="0.25">
      <c r="A19" s="1264" t="s">
        <v>1297</v>
      </c>
      <c r="D19" s="1265">
        <f>SUM(D10:D17)</f>
        <v>366310</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48"/>
      <c r="B24" s="2448"/>
      <c r="D24" s="1267"/>
    </row>
    <row r="25" spans="1:4" x14ac:dyDescent="0.2">
      <c r="A25" s="2445"/>
      <c r="B25" s="2445"/>
      <c r="D25" s="1267"/>
    </row>
    <row r="26" spans="1:4" x14ac:dyDescent="0.2">
      <c r="A26" s="2445"/>
      <c r="B26" s="2445"/>
      <c r="D26" s="1267"/>
    </row>
    <row r="27" spans="1:4" x14ac:dyDescent="0.2">
      <c r="A27" s="2445"/>
      <c r="B27" s="2445"/>
      <c r="D27" s="1267"/>
    </row>
    <row r="28" spans="1:4" x14ac:dyDescent="0.2">
      <c r="A28" s="2445"/>
      <c r="B28" s="2445"/>
      <c r="D28" s="1267"/>
    </row>
    <row r="29" spans="1:4" x14ac:dyDescent="0.2">
      <c r="A29" s="2445"/>
      <c r="B29" s="2445"/>
      <c r="D29" s="1267"/>
    </row>
    <row r="30" spans="1:4" x14ac:dyDescent="0.2">
      <c r="A30" s="2445"/>
      <c r="B30" s="2445"/>
      <c r="D30" s="1267"/>
    </row>
    <row r="32" spans="1:4" x14ac:dyDescent="0.2">
      <c r="A32" s="1259" t="s">
        <v>1295</v>
      </c>
      <c r="D32" s="1262">
        <f>SUM(D19:D30)</f>
        <v>366310</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45"/>
      <c r="B40" s="2445"/>
      <c r="D40" s="1267"/>
    </row>
    <row r="41" spans="1:4" x14ac:dyDescent="0.2">
      <c r="A41" s="2445"/>
      <c r="B41" s="2445"/>
      <c r="D41" s="1270"/>
    </row>
    <row r="42" spans="1:4" x14ac:dyDescent="0.2">
      <c r="A42" s="2445"/>
      <c r="B42" s="2445"/>
      <c r="D42" s="1270"/>
    </row>
    <row r="43" spans="1:4" x14ac:dyDescent="0.2">
      <c r="A43" s="2445"/>
      <c r="B43" s="2445"/>
      <c r="D43" s="1270"/>
    </row>
    <row r="44" spans="1:4" x14ac:dyDescent="0.2">
      <c r="A44" s="2445"/>
      <c r="B44" s="2445"/>
      <c r="D44" s="1270"/>
    </row>
    <row r="45" spans="1:4" x14ac:dyDescent="0.2">
      <c r="A45" s="2445"/>
      <c r="B45" s="2445"/>
      <c r="D45" s="1270"/>
    </row>
    <row r="47" spans="1:4" x14ac:dyDescent="0.2">
      <c r="B47" s="1271" t="s">
        <v>1289</v>
      </c>
      <c r="C47" s="1271"/>
      <c r="D47" s="1272">
        <f>SUM(D35:D45)</f>
        <v>0</v>
      </c>
    </row>
    <row r="49" spans="2:4" x14ac:dyDescent="0.2">
      <c r="B49" s="1271" t="s">
        <v>1288</v>
      </c>
      <c r="C49" s="1271"/>
      <c r="D49" s="1272">
        <f>D32-D47</f>
        <v>366310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Vienna SD 55</v>
      </c>
      <c r="B1" s="2459"/>
      <c r="C1" s="2459"/>
      <c r="D1" s="2459"/>
      <c r="E1" s="2459"/>
      <c r="F1" s="2459"/>
    </row>
    <row r="2" spans="1:7" ht="13.5" customHeight="1" x14ac:dyDescent="0.2">
      <c r="A2" s="2460">
        <f>'Single Audit Cover'!E7</f>
        <v>21044055002</v>
      </c>
      <c r="B2" s="2460"/>
      <c r="C2" s="2460"/>
      <c r="D2" s="2460"/>
      <c r="E2" s="2460"/>
      <c r="F2" s="2460"/>
      <c r="G2" s="1274"/>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5" t="s">
        <v>1831</v>
      </c>
      <c r="C6" s="317"/>
      <c r="D6" s="317"/>
    </row>
    <row r="7" spans="1:7" ht="60.95" customHeight="1" x14ac:dyDescent="0.2">
      <c r="A7" s="2458" t="s">
        <v>1832</v>
      </c>
      <c r="B7" s="2458"/>
      <c r="C7" s="2458"/>
      <c r="D7" s="2458"/>
      <c r="E7" s="2458"/>
      <c r="F7" s="2458"/>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58" t="s">
        <v>1834</v>
      </c>
      <c r="B13" s="2458"/>
      <c r="C13" s="2458"/>
      <c r="D13" s="2458"/>
      <c r="E13" s="2458"/>
      <c r="F13" s="2458"/>
    </row>
    <row r="14" spans="1:7" ht="9.75" customHeight="1" x14ac:dyDescent="0.2">
      <c r="C14" s="1259"/>
      <c r="D14" s="1259"/>
    </row>
    <row r="15" spans="1:7" ht="13.5" customHeight="1" x14ac:dyDescent="0.2">
      <c r="C15" s="1870" t="s">
        <v>1332</v>
      </c>
      <c r="D15" s="2456" t="s">
        <v>1331</v>
      </c>
      <c r="E15" s="2456"/>
      <c r="F15" s="2456"/>
    </row>
    <row r="16" spans="1:7" ht="13.5" customHeight="1" x14ac:dyDescent="0.2">
      <c r="A16" s="1281"/>
      <c r="B16" s="1275" t="s">
        <v>1330</v>
      </c>
      <c r="C16" s="1870" t="s">
        <v>1329</v>
      </c>
      <c r="D16" s="2457" t="s">
        <v>1670</v>
      </c>
      <c r="E16" s="2457"/>
      <c r="F16" s="2457"/>
    </row>
    <row r="17" spans="1:6" ht="20.45" customHeight="1" x14ac:dyDescent="0.2">
      <c r="A17" s="1282"/>
      <c r="B17" s="1283"/>
      <c r="C17" s="1284"/>
      <c r="D17" s="2451"/>
      <c r="E17" s="2451"/>
      <c r="F17" s="2451"/>
    </row>
    <row r="18" spans="1:6" ht="20.65" customHeight="1" x14ac:dyDescent="0.2">
      <c r="A18" s="1282"/>
      <c r="B18" s="1283"/>
      <c r="C18" s="1284"/>
      <c r="D18" s="2451"/>
      <c r="E18" s="2451"/>
      <c r="F18" s="2451"/>
    </row>
    <row r="19" spans="1:6" ht="20.65" customHeight="1" x14ac:dyDescent="0.2">
      <c r="A19" s="1282"/>
      <c r="B19" s="1283"/>
      <c r="C19" s="1284"/>
      <c r="D19" s="2451"/>
      <c r="E19" s="2451"/>
      <c r="F19" s="2451"/>
    </row>
    <row r="20" spans="1:6" ht="20.65" customHeight="1" x14ac:dyDescent="0.2">
      <c r="A20" s="1282"/>
      <c r="B20" s="1283"/>
      <c r="C20" s="1284"/>
      <c r="D20" s="2451"/>
      <c r="E20" s="2451"/>
      <c r="F20" s="2451"/>
    </row>
    <row r="21" spans="1:6" ht="20.65" customHeight="1" x14ac:dyDescent="0.2">
      <c r="A21" s="1282"/>
      <c r="B21" s="1283"/>
      <c r="C21" s="1284"/>
      <c r="D21" s="2451"/>
      <c r="E21" s="2451"/>
      <c r="F21" s="2451"/>
    </row>
    <row r="22" spans="1:6" ht="20.65" customHeight="1" x14ac:dyDescent="0.2">
      <c r="A22" s="1282"/>
      <c r="B22" s="1283"/>
      <c r="C22" s="1284"/>
      <c r="D22" s="2451"/>
      <c r="E22" s="2451"/>
      <c r="F22" s="2451"/>
    </row>
    <row r="23" spans="1:6" ht="20.65" customHeight="1" x14ac:dyDescent="0.2">
      <c r="A23" s="1282"/>
      <c r="B23" s="1283"/>
      <c r="C23" s="1284"/>
      <c r="D23" s="2451"/>
      <c r="E23" s="2451"/>
      <c r="F23" s="2451"/>
    </row>
    <row r="24" spans="1:6" ht="20.65" customHeight="1" x14ac:dyDescent="0.2">
      <c r="A24" s="1282"/>
      <c r="B24" s="1283"/>
      <c r="C24" s="1284"/>
      <c r="D24" s="2451"/>
      <c r="E24" s="2451"/>
      <c r="F24" s="2451"/>
    </row>
    <row r="25" spans="1:6" ht="20.65" customHeight="1" x14ac:dyDescent="0.2">
      <c r="A25" s="1282"/>
      <c r="B25" s="1283"/>
      <c r="C25" s="1284"/>
      <c r="D25" s="2451"/>
      <c r="E25" s="2451"/>
      <c r="F25" s="2451"/>
    </row>
    <row r="26" spans="1:6" ht="20.65" customHeight="1" x14ac:dyDescent="0.2">
      <c r="A26" s="1282"/>
      <c r="B26" s="1283"/>
      <c r="C26" s="1284"/>
      <c r="D26" s="2451"/>
      <c r="E26" s="2451"/>
      <c r="F26" s="2451"/>
    </row>
    <row r="27" spans="1:6" ht="20.65" customHeight="1" x14ac:dyDescent="0.2">
      <c r="A27" s="1282"/>
      <c r="B27" s="1283"/>
      <c r="C27" s="1284"/>
      <c r="D27" s="2451"/>
      <c r="E27" s="2451"/>
      <c r="F27" s="2451"/>
    </row>
    <row r="28" spans="1:6" ht="20.65" customHeight="1" x14ac:dyDescent="0.2">
      <c r="A28" s="1282"/>
      <c r="B28" s="1283"/>
      <c r="C28" s="1284"/>
      <c r="D28" s="2451"/>
      <c r="E28" s="2451"/>
      <c r="F28" s="2451"/>
    </row>
    <row r="29" spans="1:6" ht="20.65" customHeight="1" x14ac:dyDescent="0.2">
      <c r="A29" s="1282"/>
      <c r="B29" s="1283"/>
      <c r="C29" s="1284"/>
      <c r="D29" s="2451"/>
      <c r="E29" s="2451"/>
      <c r="F29" s="2451"/>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52" t="s">
        <v>1835</v>
      </c>
      <c r="B32" s="2452"/>
      <c r="C32" s="2452"/>
      <c r="D32" s="2452"/>
      <c r="E32" s="2452"/>
      <c r="F32" s="2452"/>
    </row>
    <row r="33" spans="1:6" ht="13.5" customHeight="1" x14ac:dyDescent="0.2">
      <c r="A33" s="328" t="s">
        <v>1509</v>
      </c>
      <c r="B33" s="328"/>
      <c r="C33" s="1287">
        <v>0</v>
      </c>
      <c r="D33" s="1927"/>
      <c r="E33" s="1285"/>
    </row>
    <row r="34" spans="1:6" ht="13.5" customHeight="1" x14ac:dyDescent="0.2">
      <c r="A34" s="328" t="s">
        <v>1948</v>
      </c>
      <c r="B34" s="328"/>
      <c r="C34" s="1288">
        <v>0</v>
      </c>
      <c r="D34" s="1927" t="s">
        <v>1671</v>
      </c>
      <c r="E34" s="2453">
        <f>+C33+C34</f>
        <v>0</v>
      </c>
      <c r="F34" s="2454"/>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55" t="s">
        <v>1672</v>
      </c>
      <c r="C49" s="2455"/>
      <c r="D49" s="2455"/>
      <c r="E49" s="1398"/>
    </row>
    <row r="50" spans="1:5" s="1299" customFormat="1" ht="3.75" customHeight="1" x14ac:dyDescent="0.2">
      <c r="A50" s="1298"/>
      <c r="B50" s="1869"/>
      <c r="C50" s="1869"/>
      <c r="D50" s="1869"/>
      <c r="E50" s="1398"/>
    </row>
    <row r="51" spans="1:5" s="1299" customFormat="1" ht="20.25" customHeight="1" x14ac:dyDescent="0.2">
      <c r="A51" s="1300">
        <v>6</v>
      </c>
      <c r="B51" s="2450" t="s">
        <v>1632</v>
      </c>
      <c r="C51" s="2450"/>
      <c r="D51" s="2450"/>
    </row>
    <row r="52" spans="1:5" ht="14.25" customHeight="1" x14ac:dyDescent="0.2">
      <c r="A52" s="1300"/>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29" t="str">
        <f>'Single Audit Cover'!A7</f>
        <v>Vienna SD 55</v>
      </c>
      <c r="C1" s="2463"/>
      <c r="D1" s="2463"/>
      <c r="E1" s="2463"/>
      <c r="F1" s="2463"/>
      <c r="G1" s="2463"/>
      <c r="H1" s="2463"/>
      <c r="I1" s="2463"/>
      <c r="J1" s="2463"/>
      <c r="K1" s="2463"/>
      <c r="L1" s="2463"/>
      <c r="M1" s="2463"/>
    </row>
    <row r="2" spans="2:14" ht="15" x14ac:dyDescent="0.2">
      <c r="B2" s="2460">
        <f>'Single Audit Cover'!E7</f>
        <v>21044055002</v>
      </c>
      <c r="C2" s="2460"/>
      <c r="D2" s="2460"/>
      <c r="E2" s="2460"/>
      <c r="F2" s="2460"/>
      <c r="G2" s="2460"/>
      <c r="H2" s="2460"/>
      <c r="I2" s="2460"/>
      <c r="J2" s="2460"/>
      <c r="K2" s="2460"/>
      <c r="L2" s="2460"/>
      <c r="M2" s="2460"/>
      <c r="N2" s="1301"/>
    </row>
    <row r="3" spans="2:14" ht="15" x14ac:dyDescent="0.2">
      <c r="B3" s="2464" t="s">
        <v>1281</v>
      </c>
      <c r="C3" s="2464"/>
      <c r="D3" s="2464"/>
      <c r="E3" s="2464"/>
      <c r="F3" s="2464"/>
      <c r="G3" s="2464"/>
      <c r="H3" s="2464"/>
      <c r="I3" s="2464"/>
      <c r="J3" s="2464"/>
      <c r="K3" s="2464"/>
      <c r="L3" s="2464"/>
      <c r="M3" s="2464"/>
      <c r="N3" s="1301"/>
    </row>
    <row r="4" spans="2:14" ht="15" x14ac:dyDescent="0.2">
      <c r="B4" s="2465" t="str">
        <f>'Single Audit Cover'!A4</f>
        <v>Year Ending June 30, 2018</v>
      </c>
      <c r="C4" s="2465"/>
      <c r="D4" s="2465"/>
      <c r="E4" s="2465"/>
      <c r="F4" s="2465"/>
      <c r="G4" s="2465"/>
      <c r="H4" s="2465"/>
      <c r="I4" s="2465"/>
      <c r="J4" s="2465"/>
      <c r="K4" s="2465"/>
      <c r="L4" s="2465"/>
      <c r="M4" s="2465"/>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1949</v>
      </c>
      <c r="K8" s="1318" t="s">
        <v>1323</v>
      </c>
      <c r="L8" s="1319" t="s">
        <v>1319</v>
      </c>
      <c r="M8" s="1320" t="s">
        <v>30</v>
      </c>
    </row>
    <row r="9" spans="2:14" ht="14.25" x14ac:dyDescent="0.2">
      <c r="B9" s="1324" t="s">
        <v>1321</v>
      </c>
      <c r="C9" s="1312" t="s">
        <v>1838</v>
      </c>
      <c r="D9" s="1313" t="s">
        <v>1839</v>
      </c>
      <c r="E9" s="1321" t="s">
        <v>1663</v>
      </c>
      <c r="F9" s="1322" t="s">
        <v>1949</v>
      </c>
      <c r="G9" s="1323" t="s">
        <v>1663</v>
      </c>
      <c r="H9" s="1316" t="s">
        <v>1664</v>
      </c>
      <c r="I9" s="1318" t="s">
        <v>1949</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1950</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101"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2086</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2021</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Vienna SD 55</v>
      </c>
      <c r="C1" s="2478"/>
      <c r="D1" s="2478"/>
      <c r="E1" s="2478"/>
      <c r="F1" s="2478"/>
      <c r="G1" s="2478"/>
      <c r="H1" s="2478"/>
      <c r="I1" s="2478"/>
      <c r="J1" s="1421"/>
    </row>
    <row r="2" spans="2:10" s="317" customFormat="1" ht="12.75" customHeight="1" x14ac:dyDescent="0.2">
      <c r="B2" s="2479">
        <f>'Single Audit Cover'!E7</f>
        <v>21044055002</v>
      </c>
      <c r="C2" s="2480"/>
      <c r="D2" s="2480"/>
      <c r="E2" s="2480"/>
      <c r="F2" s="2480"/>
      <c r="G2" s="2480"/>
      <c r="H2" s="2480"/>
      <c r="I2" s="2480"/>
      <c r="J2" s="1421"/>
    </row>
    <row r="3" spans="2:10" s="317" customFormat="1" ht="12.75" customHeight="1" x14ac:dyDescent="0.2">
      <c r="B3" s="2481" t="s">
        <v>1347</v>
      </c>
      <c r="C3" s="2482"/>
      <c r="D3" s="2482"/>
      <c r="E3" s="2482"/>
      <c r="F3" s="2482"/>
      <c r="G3" s="2482"/>
      <c r="H3" s="2482"/>
      <c r="I3" s="2482"/>
      <c r="J3" s="1422"/>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81" t="s">
        <v>1346</v>
      </c>
      <c r="C7" s="2482"/>
      <c r="D7" s="2482"/>
      <c r="E7" s="2482"/>
      <c r="F7" s="2482"/>
      <c r="G7" s="2482"/>
      <c r="H7" s="2482"/>
      <c r="I7" s="2482"/>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83"/>
      <c r="D11" s="2483"/>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84"/>
      <c r="E29" s="2484"/>
      <c r="F29" s="2484"/>
      <c r="G29" s="2484"/>
      <c r="H29" s="2484"/>
      <c r="I29" s="2484"/>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85" t="s">
        <v>1854</v>
      </c>
      <c r="D37" s="2486"/>
      <c r="E37" s="2486"/>
      <c r="F37" s="2487"/>
      <c r="G37" s="2485" t="s">
        <v>1674</v>
      </c>
      <c r="H37" s="2486"/>
      <c r="I37" s="2487"/>
    </row>
    <row r="38" spans="2:9" ht="16.5" customHeight="1" x14ac:dyDescent="0.2">
      <c r="B38" s="1443"/>
      <c r="C38" s="2473"/>
      <c r="D38" s="2474"/>
      <c r="E38" s="2474"/>
      <c r="F38" s="2475"/>
      <c r="G38" s="2488"/>
      <c r="H38" s="2489"/>
      <c r="I38" s="2490"/>
    </row>
    <row r="39" spans="2:9" ht="16.5" customHeight="1" x14ac:dyDescent="0.2">
      <c r="B39" s="1443"/>
      <c r="C39" s="2473"/>
      <c r="D39" s="2474"/>
      <c r="E39" s="2474"/>
      <c r="F39" s="2475"/>
      <c r="G39" s="2476"/>
      <c r="H39" s="2476"/>
      <c r="I39" s="2476"/>
    </row>
    <row r="40" spans="2:9" ht="16.5" customHeight="1" x14ac:dyDescent="0.2">
      <c r="B40" s="1443"/>
      <c r="C40" s="2473"/>
      <c r="D40" s="2474"/>
      <c r="E40" s="2474"/>
      <c r="F40" s="2475"/>
      <c r="G40" s="2476"/>
      <c r="H40" s="2476"/>
      <c r="I40" s="2476"/>
    </row>
    <row r="41" spans="2:9" ht="16.5" customHeight="1" x14ac:dyDescent="0.2">
      <c r="B41" s="1443"/>
      <c r="C41" s="2473"/>
      <c r="D41" s="2474"/>
      <c r="E41" s="2474"/>
      <c r="F41" s="2475"/>
      <c r="G41" s="2476"/>
      <c r="H41" s="2476"/>
      <c r="I41" s="2476"/>
    </row>
    <row r="42" spans="2:9" ht="16.5" customHeight="1" x14ac:dyDescent="0.2">
      <c r="B42" s="1443"/>
      <c r="C42" s="2473"/>
      <c r="D42" s="2474"/>
      <c r="E42" s="2474"/>
      <c r="F42" s="2475"/>
      <c r="G42" s="2476"/>
      <c r="H42" s="2476"/>
      <c r="I42" s="2476"/>
    </row>
    <row r="43" spans="2:9" ht="16.5" customHeight="1" x14ac:dyDescent="0.2">
      <c r="B43" s="1443"/>
      <c r="C43" s="2466" t="s">
        <v>1675</v>
      </c>
      <c r="D43" s="2467"/>
      <c r="E43" s="2467"/>
      <c r="F43" s="2468"/>
      <c r="G43" s="2469">
        <f>SUM(G38:I42)</f>
        <v>0</v>
      </c>
      <c r="H43" s="2469"/>
      <c r="I43" s="2469"/>
    </row>
    <row r="44" spans="2:9" ht="12.75" customHeight="1" x14ac:dyDescent="0.2"/>
    <row r="45" spans="2:9" ht="12.75" customHeight="1" x14ac:dyDescent="0.2">
      <c r="B45" s="1434" t="s">
        <v>1951</v>
      </c>
      <c r="D45" s="2470">
        <v>0</v>
      </c>
      <c r="E45" s="2471"/>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72"/>
      <c r="F49" s="2472"/>
      <c r="G49" s="2472"/>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Vienna SD 55</v>
      </c>
      <c r="C1" s="2477"/>
      <c r="D1" s="2477"/>
      <c r="E1" s="2477"/>
      <c r="F1" s="2477"/>
      <c r="G1" s="2477"/>
      <c r="H1" s="2477"/>
      <c r="I1" s="2477"/>
      <c r="J1" s="2477"/>
      <c r="K1" s="2477"/>
      <c r="L1" s="1373"/>
      <c r="M1" s="1373"/>
    </row>
    <row r="2" spans="1:13" ht="12" customHeight="1" x14ac:dyDescent="0.2">
      <c r="B2" s="2479">
        <f>'Single Audit Cover'!E7</f>
        <v>21044055002</v>
      </c>
      <c r="C2" s="2479"/>
      <c r="D2" s="2479"/>
      <c r="E2" s="2479"/>
      <c r="F2" s="2479"/>
      <c r="G2" s="2479"/>
      <c r="H2" s="2479"/>
      <c r="I2" s="2479"/>
      <c r="J2" s="2479"/>
      <c r="K2" s="2479"/>
      <c r="L2" s="1374"/>
      <c r="M2" s="1375"/>
    </row>
    <row r="3" spans="1:13" ht="10.35" customHeight="1" x14ac:dyDescent="0.2">
      <c r="B3" s="2493" t="s">
        <v>1347</v>
      </c>
      <c r="C3" s="2493"/>
      <c r="D3" s="2493"/>
      <c r="E3" s="2493"/>
      <c r="F3" s="2493"/>
      <c r="G3" s="2493"/>
      <c r="H3" s="2493"/>
      <c r="I3" s="2493"/>
      <c r="J3" s="2493"/>
      <c r="K3" s="2493"/>
      <c r="L3" s="1376"/>
      <c r="M3" s="1376"/>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4" t="s">
        <v>1363</v>
      </c>
      <c r="C7" s="2494"/>
      <c r="D7" s="2495"/>
      <c r="E7" s="2495"/>
      <c r="F7" s="2495"/>
      <c r="G7" s="2495"/>
      <c r="H7" s="2495"/>
      <c r="I7" s="2495"/>
      <c r="J7" s="2495"/>
      <c r="K7" s="2495"/>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1952</v>
      </c>
      <c r="D10" s="1385"/>
      <c r="E10" s="322"/>
      <c r="F10" s="1386" t="s">
        <v>1362</v>
      </c>
      <c r="G10" s="1387"/>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2"/>
      <c r="C14" s="2492"/>
      <c r="D14" s="2492"/>
      <c r="E14" s="2492"/>
      <c r="F14" s="2492"/>
      <c r="G14" s="2492"/>
      <c r="H14" s="2492"/>
      <c r="I14" s="2492"/>
      <c r="J14" s="2492"/>
      <c r="K14" s="2492"/>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2"/>
      <c r="C17" s="2492"/>
      <c r="D17" s="2492"/>
      <c r="E17" s="2492"/>
      <c r="F17" s="2492"/>
      <c r="G17" s="2492"/>
      <c r="H17" s="2492"/>
      <c r="I17" s="2492"/>
      <c r="J17" s="2492"/>
      <c r="K17" s="2492"/>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6"/>
      <c r="C20" s="2496"/>
      <c r="D20" s="2492"/>
      <c r="E20" s="2492"/>
      <c r="F20" s="2492"/>
      <c r="G20" s="2492"/>
      <c r="H20" s="2492"/>
      <c r="I20" s="2492"/>
      <c r="J20" s="2492"/>
      <c r="K20" s="2492"/>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2"/>
      <c r="C23" s="2492"/>
      <c r="D23" s="2492"/>
      <c r="E23" s="2492"/>
      <c r="F23" s="2492"/>
      <c r="G23" s="2492"/>
      <c r="H23" s="2492"/>
      <c r="I23" s="2492"/>
      <c r="J23" s="2492"/>
      <c r="K23" s="2492"/>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2"/>
      <c r="C26" s="2492"/>
      <c r="D26" s="2492"/>
      <c r="E26" s="2492"/>
      <c r="F26" s="2492"/>
      <c r="G26" s="2492"/>
      <c r="H26" s="2492"/>
      <c r="I26" s="2492"/>
      <c r="J26" s="2492"/>
      <c r="K26" s="2492"/>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1"/>
      <c r="C29" s="2491"/>
      <c r="D29" s="2492"/>
      <c r="E29" s="2492"/>
      <c r="F29" s="2492"/>
      <c r="G29" s="2492"/>
      <c r="H29" s="2492"/>
      <c r="I29" s="2492"/>
      <c r="J29" s="2492"/>
      <c r="K29" s="2492"/>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1"/>
      <c r="C32" s="2491"/>
      <c r="D32" s="2492"/>
      <c r="E32" s="2492"/>
      <c r="F32" s="2492"/>
      <c r="G32" s="2492"/>
      <c r="H32" s="2492"/>
      <c r="I32" s="2492"/>
      <c r="J32" s="2492"/>
      <c r="K32" s="2492"/>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1953</v>
      </c>
      <c r="C36" s="1299"/>
      <c r="L36" s="1380"/>
    </row>
    <row r="37" spans="1:13" ht="9.6" customHeight="1" x14ac:dyDescent="0.2">
      <c r="B37" s="1299" t="s">
        <v>1954</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Vienna SD 55</v>
      </c>
      <c r="C1" s="2500"/>
      <c r="D1" s="2500"/>
      <c r="E1" s="2500"/>
      <c r="F1" s="2500"/>
      <c r="G1" s="2500"/>
      <c r="H1" s="2500"/>
      <c r="I1" s="2500"/>
      <c r="J1" s="2500"/>
      <c r="K1" s="2500"/>
      <c r="L1" s="1464"/>
    </row>
    <row r="2" spans="1:12" ht="12.75" customHeight="1" x14ac:dyDescent="0.2">
      <c r="B2" s="2501">
        <f>'Single Audit Cover'!E7</f>
        <v>21044055002</v>
      </c>
      <c r="C2" s="2501"/>
      <c r="D2" s="2501"/>
      <c r="E2" s="2501"/>
      <c r="F2" s="2501"/>
      <c r="G2" s="2501"/>
      <c r="H2" s="2501"/>
      <c r="I2" s="2501"/>
      <c r="J2" s="2501"/>
      <c r="K2" s="2501"/>
      <c r="L2" s="1465"/>
    </row>
    <row r="3" spans="1:12" ht="12.75" customHeight="1" x14ac:dyDescent="0.2">
      <c r="B3" s="2493" t="s">
        <v>1347</v>
      </c>
      <c r="C3" s="2493"/>
      <c r="D3" s="2493"/>
      <c r="E3" s="2493"/>
      <c r="F3" s="2493"/>
      <c r="G3" s="2493"/>
      <c r="H3" s="2493"/>
      <c r="I3" s="2493"/>
      <c r="J3" s="2493"/>
      <c r="K3" s="2493"/>
      <c r="L3" s="1376"/>
    </row>
    <row r="4" spans="1:12" ht="12.75" customHeight="1" x14ac:dyDescent="0.2">
      <c r="B4" s="2493" t="str">
        <f>'Single Audit Cover'!A4</f>
        <v>Year Ending June 30, 2018</v>
      </c>
      <c r="C4" s="2493"/>
      <c r="D4" s="2493"/>
      <c r="E4" s="2493"/>
      <c r="F4" s="2493"/>
      <c r="G4" s="2493"/>
      <c r="H4" s="2493"/>
      <c r="I4" s="2493"/>
      <c r="J4" s="2493"/>
      <c r="K4" s="2493"/>
      <c r="L4" s="1376"/>
    </row>
    <row r="5" spans="1:12" ht="5.25" customHeight="1" x14ac:dyDescent="0.2">
      <c r="B5" s="1259" t="s">
        <v>1231</v>
      </c>
      <c r="C5" s="1259"/>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1952</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84"/>
      <c r="G12" s="2484"/>
      <c r="H12" s="2484"/>
      <c r="I12" s="2484"/>
      <c r="J12" s="2484"/>
      <c r="K12" s="2484"/>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497"/>
      <c r="E14" s="2497"/>
      <c r="F14" s="2497"/>
      <c r="H14" s="1474" t="s">
        <v>1370</v>
      </c>
      <c r="I14" s="2498"/>
      <c r="J14" s="2498"/>
      <c r="K14" s="2498"/>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498"/>
      <c r="E16" s="2498"/>
      <c r="F16" s="2498"/>
      <c r="G16" s="2498"/>
      <c r="H16" s="2498"/>
      <c r="I16" s="2498"/>
      <c r="J16" s="2498"/>
      <c r="K16" s="2498"/>
      <c r="L16" s="322"/>
    </row>
    <row r="17" spans="2:12" ht="13.5" customHeight="1" x14ac:dyDescent="0.2">
      <c r="B17" s="1386" t="s">
        <v>1368</v>
      </c>
      <c r="C17" s="1386"/>
      <c r="D17" s="2499"/>
      <c r="E17" s="2499"/>
      <c r="F17" s="2499"/>
      <c r="G17" s="2499"/>
      <c r="H17" s="2499"/>
      <c r="I17" s="2499"/>
      <c r="J17" s="2499"/>
      <c r="K17" s="2499"/>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2"/>
      <c r="C20" s="2492"/>
      <c r="D20" s="2492"/>
      <c r="E20" s="2492"/>
      <c r="F20" s="2492"/>
      <c r="G20" s="2492"/>
      <c r="H20" s="2492"/>
      <c r="I20" s="2492"/>
      <c r="J20" s="2492"/>
      <c r="K20" s="2492"/>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77" t="str">
        <f>'Single Audit Cover'!A7</f>
        <v>Vienna SD 55</v>
      </c>
      <c r="C1" s="2477"/>
      <c r="D1" s="2477"/>
      <c r="E1" s="1490"/>
    </row>
    <row r="2" spans="2:5" s="1281" customFormat="1" ht="12.75" customHeight="1" x14ac:dyDescent="0.2">
      <c r="B2" s="2479">
        <f>'Single Audit Cover'!E7</f>
        <v>21044055002</v>
      </c>
      <c r="C2" s="2479"/>
      <c r="D2" s="2479"/>
      <c r="E2" s="1491"/>
    </row>
    <row r="3" spans="2:5" ht="12.75" customHeight="1" x14ac:dyDescent="0.2">
      <c r="B3" s="2493" t="s">
        <v>1869</v>
      </c>
      <c r="C3" s="2493"/>
      <c r="D3" s="2493"/>
      <c r="E3" s="1273"/>
    </row>
    <row r="4" spans="2:5" s="1281" customFormat="1" ht="12.75" customHeight="1" x14ac:dyDescent="0.2">
      <c r="B4" s="2503" t="str">
        <f>'Single Audit Cover'!A4</f>
        <v>Year Ending June 30, 2018</v>
      </c>
      <c r="C4" s="2503"/>
      <c r="D4" s="2503"/>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c r="C8" s="324"/>
      <c r="D8" s="324"/>
      <c r="E8" s="324"/>
    </row>
    <row r="9" spans="2:5" ht="13.5" customHeight="1" x14ac:dyDescent="0.2">
      <c r="B9" s="1496"/>
      <c r="C9" s="323"/>
      <c r="D9" s="323"/>
      <c r="E9" s="323"/>
    </row>
    <row r="10" spans="2:5" ht="13.5" customHeight="1" x14ac:dyDescent="0.2">
      <c r="B10" s="1495"/>
      <c r="C10" s="323"/>
      <c r="D10" s="323"/>
      <c r="E10" s="323"/>
    </row>
    <row r="11" spans="2:5" ht="13.5" customHeight="1" x14ac:dyDescent="0.2">
      <c r="B11" s="1495"/>
      <c r="C11" s="323"/>
      <c r="D11" s="323"/>
      <c r="E11" s="323"/>
    </row>
    <row r="12" spans="2:5" ht="13.5" customHeight="1" x14ac:dyDescent="0.2">
      <c r="B12" s="1495"/>
      <c r="C12" s="323"/>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34363883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9.1999999999999998E-3</v>
      </c>
      <c r="E10" s="356" t="s">
        <v>1062</v>
      </c>
      <c r="F10" s="355">
        <v>2.5000000000000001E-3</v>
      </c>
      <c r="G10" s="356" t="s">
        <v>1062</v>
      </c>
      <c r="H10" s="355">
        <v>1.1999999999999999E-3</v>
      </c>
      <c r="I10" s="356" t="s">
        <v>1063</v>
      </c>
      <c r="J10" s="1753">
        <f>ROUND(D10+F10+H10,5)</f>
        <v>1.29E-2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3520233</v>
      </c>
      <c r="E16" s="356"/>
      <c r="F16" s="1754">
        <f>SUM('Acct Summary 7-8'!C17,'Acct Summary 7-8'!D17,'Acct Summary 7-8'!F17)</f>
        <v>3147928</v>
      </c>
      <c r="G16" s="356"/>
      <c r="H16" s="1754">
        <f>SUM(D16-F16)</f>
        <v>372305</v>
      </c>
      <c r="I16" s="222"/>
      <c r="J16" s="1754">
        <f>SUM('Acct Summary 7-8'!C81,'Acct Summary 7-8'!D81,'Acct Summary 7-8'!F81,'Acct Summary 7-8'!I81)</f>
        <v>929152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6">
        <f>IF(B31="X",(J7*0.069),IF(B32="X",(J7*0.138),"Enter x in a.or b."))</f>
        <v>2371107.9270000001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2295530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9" zoomScale="110" zoomScaleNormal="110" workbookViewId="0">
      <selection activeCell="F27" sqref="F27"/>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Vienna SD 55</v>
      </c>
      <c r="E7" s="391"/>
      <c r="G7" s="252"/>
      <c r="H7" s="387"/>
      <c r="I7" s="387"/>
      <c r="J7" s="387"/>
      <c r="K7" s="387"/>
      <c r="L7" s="329"/>
      <c r="M7" s="329"/>
      <c r="N7" s="329"/>
      <c r="O7" s="329"/>
      <c r="P7" s="329"/>
    </row>
    <row r="8" spans="1:18" ht="12.75" x14ac:dyDescent="0.2">
      <c r="A8" s="329"/>
      <c r="B8" s="329"/>
      <c r="C8" s="389" t="s">
        <v>1187</v>
      </c>
      <c r="D8" s="392">
        <f>COVER!A13</f>
        <v>21044055002</v>
      </c>
      <c r="E8" s="393"/>
      <c r="G8" s="329"/>
      <c r="H8" s="329"/>
      <c r="I8" s="329"/>
      <c r="J8" s="329"/>
      <c r="K8" s="329"/>
      <c r="L8" s="329"/>
      <c r="M8" s="329"/>
      <c r="N8" s="329"/>
      <c r="O8" s="329"/>
      <c r="P8" s="329"/>
    </row>
    <row r="9" spans="1:18" ht="12.75" x14ac:dyDescent="0.2">
      <c r="A9" s="329"/>
      <c r="B9" s="329"/>
      <c r="C9" s="389" t="s">
        <v>737</v>
      </c>
      <c r="D9" s="394" t="str">
        <f>COVER!A15</f>
        <v>JOHNSON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929152</v>
      </c>
      <c r="I12" s="404"/>
      <c r="J12" s="404"/>
      <c r="K12" s="405">
        <f>TRUNC((H12/H13*100000),5)/100000</f>
        <v>0.2639461649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3520233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3147928</v>
      </c>
      <c r="I17" s="404"/>
      <c r="J17" s="416"/>
      <c r="K17" s="405">
        <f>TRUNC((H17/H18*100000),5)/100000</f>
        <v>0.89423853470000003</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3520233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929152</v>
      </c>
      <c r="I24" s="422"/>
      <c r="J24" s="422"/>
      <c r="K24" s="423">
        <f>TRUNC(((H24/H25*100000)/100000),2)</f>
        <v>106.25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8744.2444400000004</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376799.97710000002</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f>IF(K32&gt;=75,"4",IF(K32&gt;=50,"3",IF(K32&gt;=25,"2",1)))</f>
        <v>1</v>
      </c>
      <c r="P31" s="216"/>
    </row>
    <row r="32" spans="1:18" s="408" customFormat="1" ht="11.25" x14ac:dyDescent="0.2">
      <c r="A32" s="218"/>
      <c r="B32" s="401"/>
      <c r="C32" s="218" t="s">
        <v>902</v>
      </c>
      <c r="D32" s="218"/>
      <c r="E32" s="218"/>
      <c r="F32" s="218"/>
      <c r="G32" s="402"/>
      <c r="H32" s="403">
        <f>'FP Info 3'!H37</f>
        <v>2295530</v>
      </c>
      <c r="I32" s="420"/>
      <c r="J32" s="420"/>
      <c r="K32" s="423">
        <f>TRUNC(100-((((H32/H33*100))*100)/100),2)</f>
        <v>3.18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2371107.9270000001</v>
      </c>
      <c r="I33" s="420"/>
      <c r="J33" s="420"/>
      <c r="K33" s="403"/>
      <c r="L33" s="218"/>
      <c r="M33" s="435" t="s">
        <v>1207</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0" activePane="bottomLeft" state="frozen"/>
      <selection activeCell="A47" sqref="A47"/>
      <selection pane="bottomLeft" activeCell="K38" sqref="K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0"/>
      <c r="D3" s="1581"/>
      <c r="E3" s="1581"/>
      <c r="F3" s="1581"/>
      <c r="G3" s="1581"/>
      <c r="H3" s="1581"/>
      <c r="I3" s="1581"/>
      <c r="J3" s="1581"/>
      <c r="K3" s="1581"/>
      <c r="L3" s="1581"/>
      <c r="M3" s="1582"/>
      <c r="N3" s="1583"/>
    </row>
    <row r="4" spans="1:14" ht="13.5" customHeight="1" x14ac:dyDescent="0.2">
      <c r="A4" s="463" t="s">
        <v>1750</v>
      </c>
      <c r="B4" s="464"/>
      <c r="C4" s="465">
        <v>57154</v>
      </c>
      <c r="D4" s="466">
        <v>4271</v>
      </c>
      <c r="E4" s="466"/>
      <c r="F4" s="466">
        <v>36332</v>
      </c>
      <c r="G4" s="466">
        <v>15126</v>
      </c>
      <c r="H4" s="466"/>
      <c r="I4" s="466"/>
      <c r="J4" s="467"/>
      <c r="K4" s="466"/>
      <c r="L4" s="466">
        <v>20243</v>
      </c>
      <c r="M4" s="468"/>
      <c r="N4" s="469"/>
    </row>
    <row r="5" spans="1:14" x14ac:dyDescent="0.2">
      <c r="A5" s="463" t="s">
        <v>1049</v>
      </c>
      <c r="B5" s="470">
        <v>120</v>
      </c>
      <c r="C5" s="465">
        <v>629960</v>
      </c>
      <c r="D5" s="466">
        <v>120822</v>
      </c>
      <c r="E5" s="466">
        <v>28482</v>
      </c>
      <c r="F5" s="466">
        <v>63637</v>
      </c>
      <c r="G5" s="466">
        <v>265367</v>
      </c>
      <c r="H5" s="466"/>
      <c r="I5" s="466">
        <v>16976</v>
      </c>
      <c r="J5" s="467"/>
      <c r="K5" s="471">
        <v>79707</v>
      </c>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687114</v>
      </c>
      <c r="D13" s="1758">
        <f t="shared" ref="D13:L13" si="0">SUM(D4:D12)</f>
        <v>125093</v>
      </c>
      <c r="E13" s="1758">
        <f t="shared" si="0"/>
        <v>28482</v>
      </c>
      <c r="F13" s="1758">
        <f t="shared" si="0"/>
        <v>99969</v>
      </c>
      <c r="G13" s="1758">
        <f t="shared" si="0"/>
        <v>280493</v>
      </c>
      <c r="H13" s="1758">
        <f t="shared" si="0"/>
        <v>0</v>
      </c>
      <c r="I13" s="1758">
        <f t="shared" si="0"/>
        <v>16976</v>
      </c>
      <c r="J13" s="1758">
        <f t="shared" si="0"/>
        <v>0</v>
      </c>
      <c r="K13" s="1758">
        <f t="shared" si="0"/>
        <v>79707</v>
      </c>
      <c r="L13" s="1758">
        <f t="shared" si="0"/>
        <v>20243</v>
      </c>
      <c r="M13" s="468"/>
      <c r="N13" s="469"/>
    </row>
    <row r="14" spans="1:14" ht="18" customHeight="1" thickTop="1" x14ac:dyDescent="0.2">
      <c r="A14" s="2127" t="s">
        <v>149</v>
      </c>
      <c r="B14" s="2128"/>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127186</v>
      </c>
      <c r="N16" s="484"/>
    </row>
    <row r="17" spans="1:14" s="485" customFormat="1" ht="12.75" customHeight="1" x14ac:dyDescent="0.2">
      <c r="A17" s="482" t="s">
        <v>1470</v>
      </c>
      <c r="B17" s="483">
        <v>230</v>
      </c>
      <c r="C17" s="477"/>
      <c r="D17" s="477"/>
      <c r="E17" s="477"/>
      <c r="F17" s="477"/>
      <c r="G17" s="477"/>
      <c r="H17" s="477"/>
      <c r="I17" s="477"/>
      <c r="J17" s="477"/>
      <c r="K17" s="477"/>
      <c r="L17" s="477"/>
      <c r="M17" s="467">
        <v>4359978</v>
      </c>
      <c r="N17" s="484"/>
    </row>
    <row r="18" spans="1:14" s="485" customFormat="1" ht="12.75" customHeight="1" x14ac:dyDescent="0.2">
      <c r="A18" s="482" t="s">
        <v>1471</v>
      </c>
      <c r="B18" s="483">
        <v>240</v>
      </c>
      <c r="C18" s="477"/>
      <c r="D18" s="477"/>
      <c r="E18" s="477"/>
      <c r="F18" s="477"/>
      <c r="G18" s="477"/>
      <c r="H18" s="477"/>
      <c r="I18" s="477"/>
      <c r="J18" s="477"/>
      <c r="K18" s="477"/>
      <c r="L18" s="477"/>
      <c r="M18" s="467">
        <v>218809</v>
      </c>
      <c r="N18" s="484"/>
    </row>
    <row r="19" spans="1:14" s="485" customFormat="1" ht="12.75" customHeight="1" x14ac:dyDescent="0.2">
      <c r="A19" s="482" t="s">
        <v>1472</v>
      </c>
      <c r="B19" s="483">
        <v>250</v>
      </c>
      <c r="C19" s="477"/>
      <c r="D19" s="477"/>
      <c r="E19" s="477"/>
      <c r="F19" s="477"/>
      <c r="G19" s="477"/>
      <c r="H19" s="477"/>
      <c r="I19" s="477"/>
      <c r="J19" s="477"/>
      <c r="K19" s="477"/>
      <c r="L19" s="477"/>
      <c r="M19" s="467">
        <v>297155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28482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2267048</v>
      </c>
    </row>
    <row r="23" spans="1:14" ht="13.5" customHeight="1" thickBot="1" x14ac:dyDescent="0.25">
      <c r="A23" s="1757" t="s">
        <v>664</v>
      </c>
      <c r="B23" s="1762"/>
      <c r="C23" s="468"/>
      <c r="D23" s="468"/>
      <c r="E23" s="468"/>
      <c r="F23" s="468"/>
      <c r="G23" s="468"/>
      <c r="H23" s="468"/>
      <c r="I23" s="468"/>
      <c r="J23" s="468"/>
      <c r="K23" s="468"/>
      <c r="L23" s="468"/>
      <c r="M23" s="1709">
        <f>SUM(M15:M22)</f>
        <v>5003128</v>
      </c>
      <c r="N23" s="1709">
        <f>SUM(N21:N22)</f>
        <v>2295530</v>
      </c>
    </row>
    <row r="24" spans="1:14" ht="18" customHeight="1" thickTop="1" x14ac:dyDescent="0.2">
      <c r="A24" s="2129" t="s">
        <v>619</v>
      </c>
      <c r="B24" s="2130"/>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20243</v>
      </c>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20243</v>
      </c>
      <c r="M34" s="468"/>
      <c r="N34" s="480"/>
    </row>
    <row r="35" spans="1:14" ht="18" customHeight="1" thickTop="1" x14ac:dyDescent="0.2">
      <c r="A35" s="2131" t="s">
        <v>550</v>
      </c>
      <c r="B35" s="2132"/>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2295530</v>
      </c>
    </row>
    <row r="37" spans="1:14" ht="13.5" thickBot="1" x14ac:dyDescent="0.25">
      <c r="A37" s="1757" t="s">
        <v>674</v>
      </c>
      <c r="B37" s="1762"/>
      <c r="C37" s="477"/>
      <c r="D37" s="477"/>
      <c r="E37" s="477"/>
      <c r="F37" s="477"/>
      <c r="G37" s="477"/>
      <c r="H37" s="477"/>
      <c r="I37" s="477"/>
      <c r="J37" s="477"/>
      <c r="K37" s="477"/>
      <c r="L37" s="480"/>
      <c r="M37" s="468"/>
      <c r="N37" s="1709">
        <f>SUM(N36:N36)</f>
        <v>2295530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687114</v>
      </c>
      <c r="D39" s="466">
        <v>125093</v>
      </c>
      <c r="E39" s="466">
        <v>28482</v>
      </c>
      <c r="F39" s="466">
        <v>99969</v>
      </c>
      <c r="G39" s="466">
        <v>280493</v>
      </c>
      <c r="H39" s="466"/>
      <c r="I39" s="466">
        <v>16976</v>
      </c>
      <c r="J39" s="467"/>
      <c r="K39" s="466">
        <v>79707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5003128</v>
      </c>
      <c r="N40" s="497"/>
    </row>
    <row r="41" spans="1:14" ht="13.5" customHeight="1" thickBot="1" x14ac:dyDescent="0.25">
      <c r="A41" s="1757" t="s">
        <v>676</v>
      </c>
      <c r="B41" s="1727"/>
      <c r="C41" s="1709">
        <f>(SUM(C34,C37,C38,C39))</f>
        <v>687114</v>
      </c>
      <c r="D41" s="1709">
        <f t="shared" ref="D41:L41" si="2">SUM(D34,D37,D38:D39)</f>
        <v>125093</v>
      </c>
      <c r="E41" s="1709">
        <f t="shared" si="2"/>
        <v>28482</v>
      </c>
      <c r="F41" s="1709">
        <f t="shared" si="2"/>
        <v>99969</v>
      </c>
      <c r="G41" s="1709">
        <f t="shared" si="2"/>
        <v>280493</v>
      </c>
      <c r="H41" s="1709">
        <f t="shared" si="2"/>
        <v>0</v>
      </c>
      <c r="I41" s="1709">
        <f t="shared" si="2"/>
        <v>16976</v>
      </c>
      <c r="J41" s="1709">
        <f t="shared" si="2"/>
        <v>0</v>
      </c>
      <c r="K41" s="1709">
        <f t="shared" si="2"/>
        <v>79707</v>
      </c>
      <c r="L41" s="1709">
        <f t="shared" si="2"/>
        <v>20243</v>
      </c>
      <c r="M41" s="1709">
        <f>SUM(M40)</f>
        <v>5003128</v>
      </c>
      <c r="N41" s="1709">
        <f>SUM(N37)</f>
        <v>2295530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4"/>
      <c r="D3" s="1595"/>
      <c r="E3" s="1595"/>
      <c r="F3" s="1595"/>
      <c r="G3" s="1595"/>
      <c r="H3" s="1595"/>
      <c r="I3" s="1595"/>
      <c r="J3" s="1595"/>
      <c r="K3" s="1596"/>
      <c r="L3" s="506"/>
    </row>
    <row r="4" spans="1:13" ht="15.75" customHeight="1" x14ac:dyDescent="0.2">
      <c r="A4" s="1953" t="s">
        <v>1579</v>
      </c>
      <c r="B4" s="1954">
        <v>1000</v>
      </c>
      <c r="C4" s="1763">
        <f>'Revenues 9-14'!C109</f>
        <v>561074</v>
      </c>
      <c r="D4" s="1763">
        <f>'Revenues 9-14'!D109</f>
        <v>96546</v>
      </c>
      <c r="E4" s="1763">
        <f>'Revenues 9-14'!E109</f>
        <v>205498</v>
      </c>
      <c r="F4" s="1763">
        <f>'Revenues 9-14'!F109</f>
        <v>42672</v>
      </c>
      <c r="G4" s="1763">
        <f>'Revenues 9-14'!G109</f>
        <v>186833</v>
      </c>
      <c r="H4" s="1763">
        <f>'Revenues 9-14'!H109</f>
        <v>0</v>
      </c>
      <c r="I4" s="1763">
        <f>'Revenues 9-14'!I109</f>
        <v>16976</v>
      </c>
      <c r="J4" s="1763">
        <f>'Revenues 9-14'!J109</f>
        <v>159237</v>
      </c>
      <c r="K4" s="1763">
        <f>'Revenues 9-14'!K109</f>
        <v>18050</v>
      </c>
      <c r="L4" s="347"/>
    </row>
    <row r="5" spans="1:13" ht="15.75" customHeight="1" x14ac:dyDescent="0.2">
      <c r="A5" s="1597" t="s">
        <v>1580</v>
      </c>
      <c r="B5" s="1598">
        <v>2000</v>
      </c>
      <c r="C5" s="1764">
        <f>'Revenues 9-14'!C114</f>
        <v>91656</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2199600</v>
      </c>
      <c r="D6" s="1764">
        <f>'Revenues 9-14'!D173</f>
        <v>0</v>
      </c>
      <c r="E6" s="1764">
        <f>'Revenues 9-14'!E173</f>
        <v>0</v>
      </c>
      <c r="F6" s="1764">
        <f>'Revenues 9-14'!F173</f>
        <v>156355</v>
      </c>
      <c r="G6" s="1764">
        <f>'Revenues 9-14'!G173</f>
        <v>6800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355354</v>
      </c>
      <c r="D7" s="1764">
        <f>'Revenues 9-14'!D274</f>
        <v>0</v>
      </c>
      <c r="E7" s="1764">
        <f>'Revenues 9-14'!E274</f>
        <v>0</v>
      </c>
      <c r="F7" s="1764">
        <f>'Revenues 9-14'!F274</f>
        <v>0</v>
      </c>
      <c r="G7" s="1764">
        <f>'Revenues 9-14'!G274</f>
        <v>16624</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3207684</v>
      </c>
      <c r="D8" s="1709">
        <f t="shared" ref="D8:K8" si="0">SUM(D4:D7)</f>
        <v>96546</v>
      </c>
      <c r="E8" s="1709">
        <f t="shared" si="0"/>
        <v>205498</v>
      </c>
      <c r="F8" s="1709">
        <f t="shared" si="0"/>
        <v>199027</v>
      </c>
      <c r="G8" s="1709">
        <f t="shared" si="0"/>
        <v>210257</v>
      </c>
      <c r="H8" s="1709">
        <f t="shared" si="0"/>
        <v>0</v>
      </c>
      <c r="I8" s="1709">
        <f t="shared" si="0"/>
        <v>16976</v>
      </c>
      <c r="J8" s="1709">
        <f t="shared" si="0"/>
        <v>159237</v>
      </c>
      <c r="K8" s="1709">
        <f t="shared" si="0"/>
        <v>18050</v>
      </c>
      <c r="L8" s="347"/>
    </row>
    <row r="9" spans="1:13" ht="15.75" thickTop="1" x14ac:dyDescent="0.2">
      <c r="A9" s="514" t="s">
        <v>1752</v>
      </c>
      <c r="B9" s="515">
        <v>3998</v>
      </c>
      <c r="C9" s="481">
        <v>1244963</v>
      </c>
      <c r="D9" s="516"/>
      <c r="E9" s="481"/>
      <c r="F9" s="481"/>
      <c r="G9" s="517"/>
      <c r="H9" s="481"/>
      <c r="I9" s="509" t="s">
        <v>1231</v>
      </c>
      <c r="J9" s="478"/>
      <c r="K9" s="481"/>
      <c r="L9" s="347"/>
    </row>
    <row r="10" spans="1:13" s="519" customFormat="1" ht="13.5" thickBot="1" x14ac:dyDescent="0.25">
      <c r="A10" s="1757" t="s">
        <v>1235</v>
      </c>
      <c r="B10" s="1730"/>
      <c r="C10" s="1709">
        <f>SUM(C8:C9)</f>
        <v>4452647</v>
      </c>
      <c r="D10" s="1709">
        <f t="shared" ref="D10:K10" si="1">SUM(D8:D9)</f>
        <v>96546</v>
      </c>
      <c r="E10" s="1709">
        <f t="shared" si="1"/>
        <v>205498</v>
      </c>
      <c r="F10" s="1709">
        <f t="shared" si="1"/>
        <v>199027</v>
      </c>
      <c r="G10" s="1709">
        <f t="shared" si="1"/>
        <v>210257</v>
      </c>
      <c r="H10" s="1709">
        <f t="shared" si="1"/>
        <v>0</v>
      </c>
      <c r="I10" s="1709">
        <f t="shared" si="1"/>
        <v>16976</v>
      </c>
      <c r="J10" s="1709">
        <f t="shared" si="1"/>
        <v>159237</v>
      </c>
      <c r="K10" s="1709">
        <f t="shared" si="1"/>
        <v>18050</v>
      </c>
      <c r="L10" s="518"/>
    </row>
    <row r="11" spans="1:13" s="519" customFormat="1" ht="16.7" customHeight="1" thickTop="1" x14ac:dyDescent="0.2">
      <c r="A11" s="2127" t="s">
        <v>1238</v>
      </c>
      <c r="B11" s="2128"/>
      <c r="C11" s="1591"/>
      <c r="D11" s="1592"/>
      <c r="E11" s="1592"/>
      <c r="F11" s="1592"/>
      <c r="G11" s="1592"/>
      <c r="H11" s="1592"/>
      <c r="I11" s="1592"/>
      <c r="J11" s="1592"/>
      <c r="K11" s="1593"/>
      <c r="L11" s="518"/>
    </row>
    <row r="12" spans="1:13" ht="15.75" customHeight="1" x14ac:dyDescent="0.2">
      <c r="A12" s="1597" t="s">
        <v>476</v>
      </c>
      <c r="B12" s="1599">
        <v>1000</v>
      </c>
      <c r="C12" s="1763">
        <f>'Expenditures 15-22'!K33</f>
        <v>2031668</v>
      </c>
      <c r="D12" s="520" t="s">
        <v>1231</v>
      </c>
      <c r="E12" s="468" t="s">
        <v>1231</v>
      </c>
      <c r="F12" s="468" t="s">
        <v>1231</v>
      </c>
      <c r="G12" s="1763">
        <f>'Expenditures 15-22'!K229</f>
        <v>75709</v>
      </c>
      <c r="H12" s="521"/>
      <c r="I12" s="468" t="s">
        <v>1231</v>
      </c>
      <c r="J12" s="468" t="s">
        <v>1231</v>
      </c>
      <c r="K12" s="521" t="s">
        <v>1231</v>
      </c>
      <c r="L12" s="347"/>
    </row>
    <row r="13" spans="1:13" ht="15.75" customHeight="1" x14ac:dyDescent="0.2">
      <c r="A13" s="1597" t="s">
        <v>477</v>
      </c>
      <c r="B13" s="1599">
        <v>2000</v>
      </c>
      <c r="C13" s="1764">
        <f>'Expenditures 15-22'!K74</f>
        <v>767948</v>
      </c>
      <c r="D13" s="1764">
        <f>'Expenditures 15-22'!K129</f>
        <v>106404</v>
      </c>
      <c r="E13" s="469" t="s">
        <v>1231</v>
      </c>
      <c r="F13" s="1764">
        <f>'Expenditures 15-22'!K184</f>
        <v>127998</v>
      </c>
      <c r="G13" s="1764">
        <f>'Expenditures 15-22'!K279</f>
        <v>98078</v>
      </c>
      <c r="H13" s="1764">
        <f>'Expenditures 15-22'!K303</f>
        <v>0</v>
      </c>
      <c r="I13" s="468" t="s">
        <v>1231</v>
      </c>
      <c r="J13" s="1764">
        <f>'Expenditures 15-22'!K330</f>
        <v>159237</v>
      </c>
      <c r="K13" s="1768">
        <f>'Expenditures 15-22'!K352</f>
        <v>2959</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82778</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199266</v>
      </c>
      <c r="F16" s="1764">
        <f>'Expenditures 15-22'!K208</f>
        <v>31132</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2882394</v>
      </c>
      <c r="D17" s="1709">
        <f t="shared" si="2"/>
        <v>106404</v>
      </c>
      <c r="E17" s="1709">
        <f t="shared" si="2"/>
        <v>199266</v>
      </c>
      <c r="F17" s="1709">
        <f t="shared" si="2"/>
        <v>159130</v>
      </c>
      <c r="G17" s="1709">
        <f t="shared" si="2"/>
        <v>173787</v>
      </c>
      <c r="H17" s="1709">
        <f t="shared" si="2"/>
        <v>0</v>
      </c>
      <c r="I17" s="468"/>
      <c r="J17" s="1709">
        <f>SUM(J12:J16)</f>
        <v>159237</v>
      </c>
      <c r="K17" s="1709">
        <f>SUM(K12:K16)</f>
        <v>2959</v>
      </c>
      <c r="L17" s="347"/>
    </row>
    <row r="18" spans="1:12" ht="15" customHeight="1" thickTop="1" x14ac:dyDescent="0.2">
      <c r="A18" s="1765" t="s">
        <v>1753</v>
      </c>
      <c r="B18" s="1766">
        <v>4180</v>
      </c>
      <c r="C18" s="1763">
        <f t="shared" ref="C18:H18" si="3">C9</f>
        <v>1244963</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4127357</v>
      </c>
      <c r="D19" s="1709">
        <f t="shared" si="4"/>
        <v>106404</v>
      </c>
      <c r="E19" s="1709">
        <f t="shared" si="4"/>
        <v>199266</v>
      </c>
      <c r="F19" s="1709">
        <f t="shared" si="4"/>
        <v>159130</v>
      </c>
      <c r="G19" s="1709">
        <f t="shared" si="4"/>
        <v>173787</v>
      </c>
      <c r="H19" s="1709">
        <f t="shared" si="4"/>
        <v>0</v>
      </c>
      <c r="I19" s="468"/>
      <c r="J19" s="1709">
        <f>SUM(J17:J18)</f>
        <v>159237</v>
      </c>
      <c r="K19" s="1709">
        <f>SUM(K17:K18)</f>
        <v>2959</v>
      </c>
      <c r="L19" s="347"/>
    </row>
    <row r="20" spans="1:12" ht="16.5" thickTop="1" thickBot="1" x14ac:dyDescent="0.25">
      <c r="A20" s="2143" t="s">
        <v>1754</v>
      </c>
      <c r="B20" s="2144"/>
      <c r="C20" s="1767">
        <f>C8-C17</f>
        <v>325290</v>
      </c>
      <c r="D20" s="1767">
        <f t="shared" ref="D20:K20" si="5">D8-D17</f>
        <v>-9858</v>
      </c>
      <c r="E20" s="1767">
        <f t="shared" si="5"/>
        <v>6232</v>
      </c>
      <c r="F20" s="1767">
        <f t="shared" si="5"/>
        <v>39897</v>
      </c>
      <c r="G20" s="1767">
        <f t="shared" si="5"/>
        <v>36470</v>
      </c>
      <c r="H20" s="1767">
        <f t="shared" si="5"/>
        <v>0</v>
      </c>
      <c r="I20" s="1767">
        <f t="shared" si="5"/>
        <v>16976</v>
      </c>
      <c r="J20" s="1767">
        <f t="shared" si="5"/>
        <v>0</v>
      </c>
      <c r="K20" s="1767">
        <f t="shared" si="5"/>
        <v>15091</v>
      </c>
      <c r="L20" s="347"/>
    </row>
    <row r="21" spans="1:12" ht="16.7" customHeight="1" thickTop="1" x14ac:dyDescent="0.2">
      <c r="A21" s="2155" t="s">
        <v>616</v>
      </c>
      <c r="B21" s="2156"/>
      <c r="C21" s="1591"/>
      <c r="D21" s="1592"/>
      <c r="E21" s="1592"/>
      <c r="F21" s="1592"/>
      <c r="G21" s="1592"/>
      <c r="H21" s="1592"/>
      <c r="I21" s="1592"/>
      <c r="J21" s="1592"/>
      <c r="K21" s="1593"/>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5" t="s">
        <v>1239</v>
      </c>
      <c r="B77" s="2136"/>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39" t="s">
        <v>618</v>
      </c>
      <c r="B78" s="2140"/>
      <c r="C78" s="1723">
        <f t="shared" ref="C78:K78" si="9">C20+C77</f>
        <v>325290</v>
      </c>
      <c r="D78" s="1723">
        <f t="shared" si="9"/>
        <v>-9858</v>
      </c>
      <c r="E78" s="1723">
        <f t="shared" si="9"/>
        <v>6232</v>
      </c>
      <c r="F78" s="1723">
        <f t="shared" si="9"/>
        <v>39897</v>
      </c>
      <c r="G78" s="1723">
        <f t="shared" si="9"/>
        <v>36470</v>
      </c>
      <c r="H78" s="1723">
        <f t="shared" si="9"/>
        <v>0</v>
      </c>
      <c r="I78" s="1723">
        <f t="shared" si="9"/>
        <v>16976</v>
      </c>
      <c r="J78" s="1723">
        <f t="shared" si="9"/>
        <v>0</v>
      </c>
      <c r="K78" s="1723">
        <f t="shared" si="9"/>
        <v>15091</v>
      </c>
      <c r="L78" s="533"/>
    </row>
    <row r="79" spans="1:12" ht="13.5" thickTop="1" x14ac:dyDescent="0.2">
      <c r="A79" s="1515" t="s">
        <v>2071</v>
      </c>
      <c r="B79" s="534"/>
      <c r="C79" s="478">
        <v>361824</v>
      </c>
      <c r="D79" s="535">
        <v>134951</v>
      </c>
      <c r="E79" s="535">
        <v>22250</v>
      </c>
      <c r="F79" s="535">
        <v>60072</v>
      </c>
      <c r="G79" s="535">
        <v>244023</v>
      </c>
      <c r="H79" s="535"/>
      <c r="I79" s="535"/>
      <c r="J79" s="535"/>
      <c r="K79" s="535">
        <v>64616</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09">
        <f>(SUM(C78:C80))</f>
        <v>687114</v>
      </c>
      <c r="D81" s="1709">
        <f>SUM(D78:D80)</f>
        <v>125093</v>
      </c>
      <c r="E81" s="1709">
        <f t="shared" ref="E81:K81" si="10">SUM(E78:E80)</f>
        <v>28482</v>
      </c>
      <c r="F81" s="1709">
        <f t="shared" si="10"/>
        <v>99969</v>
      </c>
      <c r="G81" s="1709">
        <f t="shared" si="10"/>
        <v>280493</v>
      </c>
      <c r="H81" s="1709">
        <f t="shared" si="10"/>
        <v>0</v>
      </c>
      <c r="I81" s="1709">
        <f t="shared" si="10"/>
        <v>16976</v>
      </c>
      <c r="J81" s="1709">
        <f t="shared" si="10"/>
        <v>0</v>
      </c>
      <c r="K81" s="1709">
        <f t="shared" si="10"/>
        <v>79707</v>
      </c>
      <c r="L81" s="347"/>
    </row>
    <row r="82" spans="1:12" ht="0.75" customHeight="1" thickTop="1" thickBot="1" x14ac:dyDescent="0.25">
      <c r="A82" s="536" t="s">
        <v>361</v>
      </c>
      <c r="B82" s="537"/>
      <c r="C82" s="538">
        <f>(C81-C79)</f>
        <v>325290</v>
      </c>
      <c r="D82" s="538">
        <f t="shared" ref="D82:K82" si="11">(D81-D79)</f>
        <v>-9858</v>
      </c>
      <c r="E82" s="538">
        <f t="shared" si="11"/>
        <v>6232</v>
      </c>
      <c r="F82" s="538">
        <f t="shared" si="11"/>
        <v>39897</v>
      </c>
      <c r="G82" s="538">
        <f t="shared" si="11"/>
        <v>36470</v>
      </c>
      <c r="H82" s="538">
        <f t="shared" si="11"/>
        <v>0</v>
      </c>
      <c r="I82" s="538">
        <f t="shared" si="11"/>
        <v>16976</v>
      </c>
      <c r="J82" s="538">
        <f t="shared" si="11"/>
        <v>0</v>
      </c>
      <c r="K82" s="538">
        <f t="shared" si="11"/>
        <v>15091</v>
      </c>
    </row>
    <row r="83" spans="1:12" ht="14.25" hidden="1" thickTop="1" thickBot="1" x14ac:dyDescent="0.25">
      <c r="A83" s="539" t="s">
        <v>362</v>
      </c>
      <c r="B83" s="464"/>
      <c r="C83" s="540">
        <f>C82/C81</f>
        <v>0.47341489185200708</v>
      </c>
      <c r="D83" s="540">
        <f t="shared" ref="D83:K83" si="12">D82/D81</f>
        <v>-7.8805368805608622E-2</v>
      </c>
      <c r="E83" s="540">
        <f t="shared" si="12"/>
        <v>0.21880485920932519</v>
      </c>
      <c r="F83" s="540">
        <f t="shared" si="12"/>
        <v>0.39909371905290641</v>
      </c>
      <c r="G83" s="540">
        <f t="shared" si="12"/>
        <v>0.13002107004452873</v>
      </c>
      <c r="H83" s="540" t="e">
        <f t="shared" si="12"/>
        <v>#DIV/0!</v>
      </c>
      <c r="I83" s="540">
        <f t="shared" si="12"/>
        <v>1</v>
      </c>
      <c r="J83" s="540" t="e">
        <f t="shared" si="12"/>
        <v>#DIV/0!</v>
      </c>
      <c r="K83" s="540">
        <f t="shared" si="12"/>
        <v>0.18933092451102163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20" activePane="bottomLeft" state="frozen"/>
      <selection activeCell="A47" sqref="A47"/>
      <selection pane="bottomLeft" activeCell="C126" sqref="C126"/>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v>306779</v>
      </c>
      <c r="D5" s="481">
        <v>83364</v>
      </c>
      <c r="E5" s="466">
        <v>200683</v>
      </c>
      <c r="F5" s="548">
        <v>40015</v>
      </c>
      <c r="G5" s="466">
        <v>85684</v>
      </c>
      <c r="H5" s="466"/>
      <c r="I5" s="466">
        <v>16673</v>
      </c>
      <c r="J5" s="467">
        <v>155964</v>
      </c>
      <c r="K5" s="466">
        <v>16673</v>
      </c>
    </row>
    <row r="6" spans="1:12" ht="15" x14ac:dyDescent="0.2">
      <c r="A6" s="463" t="s">
        <v>1761</v>
      </c>
      <c r="B6" s="470">
        <v>1130</v>
      </c>
      <c r="C6" s="466">
        <v>16851</v>
      </c>
      <c r="D6" s="466"/>
      <c r="E6" s="475"/>
      <c r="F6" s="475"/>
      <c r="G6" s="468"/>
      <c r="H6" s="468"/>
      <c r="I6" s="468"/>
      <c r="J6" s="468"/>
      <c r="K6" s="468"/>
    </row>
    <row r="7" spans="1:12" x14ac:dyDescent="0.2">
      <c r="A7" s="463" t="s">
        <v>112</v>
      </c>
      <c r="B7" s="549">
        <v>1140</v>
      </c>
      <c r="C7" s="466">
        <v>6740</v>
      </c>
      <c r="D7" s="466"/>
      <c r="E7" s="468"/>
      <c r="F7" s="467"/>
      <c r="G7" s="467"/>
      <c r="H7" s="467"/>
      <c r="I7" s="468"/>
      <c r="J7" s="468"/>
      <c r="K7" s="468"/>
    </row>
    <row r="8" spans="1:12" x14ac:dyDescent="0.2">
      <c r="A8" s="463" t="s">
        <v>433</v>
      </c>
      <c r="B8" s="470">
        <v>1150</v>
      </c>
      <c r="C8" s="475"/>
      <c r="D8" s="475"/>
      <c r="E8" s="477"/>
      <c r="F8" s="477"/>
      <c r="G8" s="481">
        <v>69382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330370</v>
      </c>
      <c r="D12" s="1728">
        <f t="shared" si="0"/>
        <v>83364</v>
      </c>
      <c r="E12" s="1728">
        <f t="shared" si="0"/>
        <v>200683</v>
      </c>
      <c r="F12" s="1728">
        <f t="shared" si="0"/>
        <v>40015</v>
      </c>
      <c r="G12" s="1728">
        <f t="shared" si="0"/>
        <v>155066</v>
      </c>
      <c r="H12" s="1728">
        <f t="shared" si="0"/>
        <v>0</v>
      </c>
      <c r="I12" s="1728">
        <f t="shared" si="0"/>
        <v>16673</v>
      </c>
      <c r="J12" s="1728">
        <f t="shared" si="0"/>
        <v>155964</v>
      </c>
      <c r="K12" s="1709">
        <f t="shared" si="0"/>
        <v>16673</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v>3460</v>
      </c>
      <c r="D14" s="466">
        <v>892</v>
      </c>
      <c r="E14" s="466">
        <v>2147</v>
      </c>
      <c r="F14" s="466">
        <v>428</v>
      </c>
      <c r="G14" s="466">
        <v>1659</v>
      </c>
      <c r="H14" s="466"/>
      <c r="I14" s="466"/>
      <c r="J14" s="467">
        <v>1668</v>
      </c>
      <c r="K14" s="466">
        <v>178</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87718</v>
      </c>
      <c r="D16" s="466"/>
      <c r="E16" s="466"/>
      <c r="F16" s="466"/>
      <c r="G16" s="466">
        <v>24900</v>
      </c>
      <c r="H16" s="466"/>
      <c r="I16" s="466"/>
      <c r="J16" s="467"/>
      <c r="K16" s="466"/>
    </row>
    <row r="17" spans="1:11" ht="12.75" customHeight="1" x14ac:dyDescent="0.2">
      <c r="A17" s="463" t="s">
        <v>840</v>
      </c>
      <c r="B17" s="470">
        <v>1290</v>
      </c>
      <c r="C17" s="551">
        <v>2731</v>
      </c>
      <c r="D17" s="466">
        <v>690</v>
      </c>
      <c r="E17" s="466">
        <v>1660</v>
      </c>
      <c r="F17" s="466">
        <v>331</v>
      </c>
      <c r="G17" s="466">
        <v>1283</v>
      </c>
      <c r="H17" s="466"/>
      <c r="I17" s="466">
        <v>138</v>
      </c>
      <c r="J17" s="467">
        <v>1290</v>
      </c>
      <c r="K17" s="466">
        <v>138</v>
      </c>
    </row>
    <row r="18" spans="1:11" ht="12.75" customHeight="1" thickBot="1" x14ac:dyDescent="0.25">
      <c r="A18" s="1729" t="s">
        <v>558</v>
      </c>
      <c r="B18" s="1730"/>
      <c r="C18" s="1731">
        <f>SUM(C14:C17)</f>
        <v>93909</v>
      </c>
      <c r="D18" s="1731">
        <f t="shared" ref="D18:K18" si="1">SUM(D14:D17)</f>
        <v>1582</v>
      </c>
      <c r="E18" s="1731">
        <f t="shared" si="1"/>
        <v>3807</v>
      </c>
      <c r="F18" s="1731">
        <f t="shared" si="1"/>
        <v>759</v>
      </c>
      <c r="G18" s="1731">
        <f t="shared" si="1"/>
        <v>27842</v>
      </c>
      <c r="H18" s="1731">
        <f t="shared" si="1"/>
        <v>0</v>
      </c>
      <c r="I18" s="1731">
        <f t="shared" si="1"/>
        <v>138</v>
      </c>
      <c r="J18" s="1731">
        <f t="shared" si="1"/>
        <v>2958</v>
      </c>
      <c r="K18" s="1732">
        <f t="shared" si="1"/>
        <v>316</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4983</v>
      </c>
      <c r="D65" s="466">
        <v>1825</v>
      </c>
      <c r="E65" s="466">
        <v>1008</v>
      </c>
      <c r="F65" s="467">
        <v>604</v>
      </c>
      <c r="G65" s="466">
        <v>3925</v>
      </c>
      <c r="H65" s="466"/>
      <c r="I65" s="466">
        <v>165</v>
      </c>
      <c r="J65" s="467">
        <v>315</v>
      </c>
      <c r="K65" s="466">
        <v>1061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4983</v>
      </c>
      <c r="D67" s="1709">
        <f t="shared" ref="D67:K67" si="2">SUM(D65:D66)</f>
        <v>1825</v>
      </c>
      <c r="E67" s="1709">
        <f t="shared" si="2"/>
        <v>1008</v>
      </c>
      <c r="F67" s="1709">
        <f t="shared" si="2"/>
        <v>604</v>
      </c>
      <c r="G67" s="1709">
        <f t="shared" si="2"/>
        <v>3925</v>
      </c>
      <c r="H67" s="1709">
        <f t="shared" si="2"/>
        <v>0</v>
      </c>
      <c r="I67" s="1709">
        <f t="shared" si="2"/>
        <v>165</v>
      </c>
      <c r="J67" s="1709">
        <f t="shared" si="2"/>
        <v>315</v>
      </c>
      <c r="K67" s="1709">
        <f t="shared" si="2"/>
        <v>1061</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v>32874</v>
      </c>
      <c r="D69" s="468"/>
      <c r="E69" s="468"/>
      <c r="F69" s="468"/>
      <c r="G69" s="468"/>
      <c r="H69" s="468"/>
      <c r="I69" s="468"/>
      <c r="J69" s="468"/>
      <c r="K69" s="468"/>
    </row>
    <row r="70" spans="1:11" ht="12.75" customHeight="1" x14ac:dyDescent="0.2">
      <c r="A70" s="463" t="s">
        <v>1054</v>
      </c>
      <c r="B70" s="470">
        <v>1612</v>
      </c>
      <c r="C70" s="551">
        <v>8191</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v>69</v>
      </c>
      <c r="D72" s="468"/>
      <c r="E72" s="468"/>
      <c r="F72" s="468"/>
      <c r="G72" s="468"/>
      <c r="H72" s="468"/>
      <c r="I72" s="468"/>
      <c r="J72" s="468"/>
      <c r="K72" s="468"/>
    </row>
    <row r="73" spans="1:11" ht="12.75" customHeight="1" x14ac:dyDescent="0.2">
      <c r="A73" s="463" t="s">
        <v>1055</v>
      </c>
      <c r="B73" s="470">
        <v>1620</v>
      </c>
      <c r="C73" s="551">
        <v>9706</v>
      </c>
      <c r="D73" s="468"/>
      <c r="E73" s="468"/>
      <c r="F73" s="468"/>
      <c r="G73" s="468"/>
      <c r="H73" s="468"/>
      <c r="I73" s="468"/>
      <c r="J73" s="468"/>
      <c r="K73" s="468"/>
    </row>
    <row r="74" spans="1:11" ht="12.75" customHeight="1" x14ac:dyDescent="0.2">
      <c r="A74" s="463" t="s">
        <v>25</v>
      </c>
      <c r="B74" s="470">
        <v>1690</v>
      </c>
      <c r="C74" s="551">
        <v>25</v>
      </c>
      <c r="D74" s="468"/>
      <c r="E74" s="468"/>
      <c r="F74" s="468"/>
      <c r="G74" s="468"/>
      <c r="H74" s="468"/>
      <c r="I74" s="468"/>
      <c r="J74" s="468"/>
      <c r="K74" s="468"/>
    </row>
    <row r="75" spans="1:11" ht="12.75" customHeight="1" thickBot="1" x14ac:dyDescent="0.25">
      <c r="A75" s="1729" t="s">
        <v>569</v>
      </c>
      <c r="B75" s="1730"/>
      <c r="C75" s="1709">
        <f>SUM(C69:C74)</f>
        <v>50865</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v>8998</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1175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9204</v>
      </c>
      <c r="D81" s="466"/>
      <c r="E81" s="468"/>
      <c r="F81" s="468"/>
      <c r="G81" s="468"/>
      <c r="H81" s="468"/>
      <c r="I81" s="468"/>
      <c r="J81" s="468"/>
      <c r="K81" s="468"/>
    </row>
    <row r="82" spans="1:11" ht="12.75" customHeight="1" thickBot="1" x14ac:dyDescent="0.25">
      <c r="A82" s="1729" t="s">
        <v>259</v>
      </c>
      <c r="B82" s="1730"/>
      <c r="C82" s="1728">
        <f>SUM(C77:C81)</f>
        <v>19377</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v>5595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5595</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v>1</v>
      </c>
      <c r="D95" s="551"/>
      <c r="E95" s="521"/>
      <c r="F95" s="521"/>
      <c r="G95" s="521"/>
      <c r="H95" s="521"/>
      <c r="I95" s="521"/>
      <c r="J95" s="521"/>
      <c r="K95" s="521"/>
    </row>
    <row r="96" spans="1:11" ht="12.75" customHeight="1" x14ac:dyDescent="0.2">
      <c r="A96" s="463" t="s">
        <v>409</v>
      </c>
      <c r="B96" s="470">
        <v>1920</v>
      </c>
      <c r="C96" s="551">
        <v>3724</v>
      </c>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38056</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v>11440</v>
      </c>
      <c r="D100" s="489">
        <v>9775</v>
      </c>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2754</v>
      </c>
      <c r="D107" s="466"/>
      <c r="E107" s="466"/>
      <c r="F107" s="466">
        <v>1294</v>
      </c>
      <c r="G107" s="466"/>
      <c r="H107" s="466"/>
      <c r="I107" s="466"/>
      <c r="J107" s="467"/>
      <c r="K107" s="466"/>
    </row>
    <row r="108" spans="1:12" ht="12.75" customHeight="1" thickBot="1" x14ac:dyDescent="0.25">
      <c r="A108" s="1729" t="s">
        <v>508</v>
      </c>
      <c r="B108" s="1733"/>
      <c r="C108" s="1728">
        <f>SUM(C95:C107)</f>
        <v>55975</v>
      </c>
      <c r="D108" s="1728">
        <f t="shared" ref="D108:K108" si="3">SUM(D95:D107)</f>
        <v>9775</v>
      </c>
      <c r="E108" s="1728">
        <f t="shared" si="3"/>
        <v>0</v>
      </c>
      <c r="F108" s="1728">
        <f t="shared" si="3"/>
        <v>1294</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561074</v>
      </c>
      <c r="D109" s="1736">
        <f t="shared" si="4"/>
        <v>96546</v>
      </c>
      <c r="E109" s="1736">
        <f t="shared" si="4"/>
        <v>205498</v>
      </c>
      <c r="F109" s="1736">
        <f t="shared" si="4"/>
        <v>42672</v>
      </c>
      <c r="G109" s="1736">
        <f t="shared" si="4"/>
        <v>186833</v>
      </c>
      <c r="H109" s="1736">
        <f t="shared" si="4"/>
        <v>0</v>
      </c>
      <c r="I109" s="1736">
        <f t="shared" si="4"/>
        <v>16976</v>
      </c>
      <c r="J109" s="1736">
        <f t="shared" si="4"/>
        <v>159237</v>
      </c>
      <c r="K109" s="1723">
        <f t="shared" si="4"/>
        <v>18050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v>9900</v>
      </c>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v>81756</v>
      </c>
      <c r="D113" s="466"/>
      <c r="E113" s="561"/>
      <c r="F113" s="466"/>
      <c r="G113" s="466"/>
      <c r="H113" s="561"/>
      <c r="I113" s="468"/>
      <c r="J113" s="468"/>
      <c r="K113" s="468"/>
    </row>
    <row r="114" spans="1:11" ht="13.5" thickBot="1" x14ac:dyDescent="0.25">
      <c r="A114" s="1737" t="s">
        <v>839</v>
      </c>
      <c r="B114" s="1738" t="s">
        <v>590</v>
      </c>
      <c r="C114" s="1739">
        <f>SUM(C111:C113)</f>
        <v>91656</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2001615</v>
      </c>
      <c r="D117" s="481"/>
      <c r="E117" s="466"/>
      <c r="F117" s="481">
        <v>30000</v>
      </c>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2001615</v>
      </c>
      <c r="D121" s="1728">
        <f t="shared" si="5"/>
        <v>0</v>
      </c>
      <c r="E121" s="1728">
        <f t="shared" si="5"/>
        <v>0</v>
      </c>
      <c r="F121" s="1728">
        <f t="shared" si="5"/>
        <v>30000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28097</v>
      </c>
      <c r="D125" s="561"/>
      <c r="E125" s="468"/>
      <c r="F125" s="466"/>
      <c r="G125" s="468"/>
      <c r="H125" s="468"/>
      <c r="I125" s="468"/>
      <c r="J125" s="468"/>
      <c r="K125" s="468"/>
    </row>
    <row r="126" spans="1:11" ht="12.75" customHeight="1" x14ac:dyDescent="0.2">
      <c r="A126" s="463" t="s">
        <v>922</v>
      </c>
      <c r="B126" s="562">
        <v>3110</v>
      </c>
      <c r="C126" s="551">
        <v>27650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55747</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v>4446</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4446</v>
      </c>
      <c r="D144" s="468"/>
      <c r="E144" s="509"/>
      <c r="F144" s="468"/>
      <c r="G144" s="1742">
        <f>SUM(G142:G143)</f>
        <v>0</v>
      </c>
      <c r="H144" s="468"/>
      <c r="I144" s="468"/>
      <c r="J144" s="468"/>
      <c r="K144" s="468"/>
    </row>
    <row r="145" spans="1:11" s="202" customFormat="1" ht="12.75" customHeight="1" thickTop="1" x14ac:dyDescent="0.2">
      <c r="A145" s="1519" t="s">
        <v>1116</v>
      </c>
      <c r="B145" s="568">
        <v>3360</v>
      </c>
      <c r="C145" s="569">
        <v>2556</v>
      </c>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v>126355</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126355</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v>134486</v>
      </c>
      <c r="D158" s="578"/>
      <c r="E158" s="561"/>
      <c r="F158" s="576"/>
      <c r="G158" s="576">
        <v>6800</v>
      </c>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750</v>
      </c>
      <c r="D171" s="580"/>
      <c r="E171" s="580"/>
      <c r="F171" s="580"/>
      <c r="G171" s="581"/>
      <c r="H171" s="582"/>
      <c r="I171" s="581"/>
      <c r="J171" s="581"/>
      <c r="K171" s="582"/>
    </row>
    <row r="172" spans="1:11" ht="12.75" customHeight="1" thickTop="1" thickBot="1" x14ac:dyDescent="0.25">
      <c r="A172" s="2161" t="s">
        <v>418</v>
      </c>
      <c r="B172" s="2162"/>
      <c r="C172" s="1743">
        <f t="shared" ref="C172:K172" si="6">SUM(C131,C140,C144,C145:C149,C154,C155:C170,C171)</f>
        <v>197985</v>
      </c>
      <c r="D172" s="1743">
        <f t="shared" si="6"/>
        <v>0</v>
      </c>
      <c r="E172" s="1743">
        <f t="shared" si="6"/>
        <v>0</v>
      </c>
      <c r="F172" s="1743">
        <f t="shared" si="6"/>
        <v>126355</v>
      </c>
      <c r="G172" s="1743">
        <f t="shared" si="6"/>
        <v>6800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2199600</v>
      </c>
      <c r="D173" s="1736">
        <f>SUM(D121,D172)</f>
        <v>0</v>
      </c>
      <c r="E173" s="1736">
        <f>SUM(E121,E172)</f>
        <v>0</v>
      </c>
      <c r="F173" s="1736">
        <f t="shared" ref="F173:K173" si="7">SUM(F121,F172)</f>
        <v>156355</v>
      </c>
      <c r="G173" s="1736">
        <f t="shared" si="7"/>
        <v>6800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29317</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29317</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118498</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46455</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164953</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v>96307</v>
      </c>
      <c r="D203" s="466"/>
      <c r="E203" s="468"/>
      <c r="F203" s="466"/>
      <c r="G203" s="466">
        <v>16624</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96307</v>
      </c>
      <c r="D211" s="1728">
        <f>SUM(D203:D210)</f>
        <v>0</v>
      </c>
      <c r="E211" s="468"/>
      <c r="F211" s="1728">
        <f>SUM(F203:F210)</f>
        <v>0</v>
      </c>
      <c r="G211" s="1728">
        <f>SUM(G203:G210)</f>
        <v>16624</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v>10000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10000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0</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14748</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10033</v>
      </c>
      <c r="D270" s="576"/>
      <c r="E270" s="468"/>
      <c r="F270" s="576"/>
      <c r="G270" s="576"/>
      <c r="H270" s="468"/>
      <c r="I270" s="468"/>
      <c r="J270" s="468"/>
      <c r="K270" s="468"/>
    </row>
    <row r="271" spans="1:11" ht="12.75" customHeight="1" thickTop="1" thickBot="1" x14ac:dyDescent="0.25">
      <c r="A271" s="463" t="s">
        <v>395</v>
      </c>
      <c r="B271" s="470">
        <v>4992</v>
      </c>
      <c r="C271" s="575">
        <v>29996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355354</v>
      </c>
      <c r="D273" s="1736">
        <f t="shared" si="10"/>
        <v>0</v>
      </c>
      <c r="E273" s="1736">
        <f t="shared" si="10"/>
        <v>0</v>
      </c>
      <c r="F273" s="1736">
        <f t="shared" si="10"/>
        <v>0</v>
      </c>
      <c r="G273" s="1736">
        <f t="shared" si="10"/>
        <v>16624</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355354</v>
      </c>
      <c r="D274" s="1736">
        <f>SUM(D178,D184,D273)</f>
        <v>0</v>
      </c>
      <c r="E274" s="1736">
        <f>SUM(E178,E273)</f>
        <v>0</v>
      </c>
      <c r="F274" s="1736">
        <f t="shared" ref="F274:K274" si="11">SUM(F178,F184,F273)</f>
        <v>0</v>
      </c>
      <c r="G274" s="1736">
        <f t="shared" si="11"/>
        <v>16624</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3207684</v>
      </c>
      <c r="D275" s="1736">
        <f t="shared" si="12"/>
        <v>96546</v>
      </c>
      <c r="E275" s="1736">
        <f t="shared" si="12"/>
        <v>205498</v>
      </c>
      <c r="F275" s="1736">
        <f t="shared" si="12"/>
        <v>199027</v>
      </c>
      <c r="G275" s="1736">
        <f t="shared" si="12"/>
        <v>210257</v>
      </c>
      <c r="H275" s="1736">
        <f t="shared" si="12"/>
        <v>0</v>
      </c>
      <c r="I275" s="1736">
        <f t="shared" si="12"/>
        <v>16976</v>
      </c>
      <c r="J275" s="1736">
        <f t="shared" si="12"/>
        <v>159237</v>
      </c>
      <c r="K275" s="1723">
        <f t="shared" si="12"/>
        <v>18050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4" activePane="bottomLeft" state="frozen"/>
      <selection activeCell="A47" sqref="A47"/>
      <selection pane="bottomLeft" activeCell="H170" sqref="H17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v>1147052</v>
      </c>
      <c r="D5" s="466">
        <v>242968</v>
      </c>
      <c r="E5" s="466">
        <v>17566</v>
      </c>
      <c r="F5" s="466">
        <v>20955</v>
      </c>
      <c r="G5" s="466"/>
      <c r="H5" s="466">
        <v>944</v>
      </c>
      <c r="I5" s="467"/>
      <c r="J5" s="467"/>
      <c r="K5" s="1692">
        <f>SUM(C5:J5)</f>
        <v>1429485</v>
      </c>
      <c r="L5" s="466">
        <v>1436358</v>
      </c>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c r="D7" s="467"/>
      <c r="E7" s="467"/>
      <c r="F7" s="467"/>
      <c r="G7" s="467"/>
      <c r="H7" s="467"/>
      <c r="I7" s="467"/>
      <c r="J7" s="467"/>
      <c r="K7" s="1692">
        <f t="shared" ref="K7:K32" si="0">SUM(C7:J7)</f>
        <v>0</v>
      </c>
      <c r="L7" s="466"/>
    </row>
    <row r="8" spans="1:14" x14ac:dyDescent="0.2">
      <c r="A8" s="1525" t="s">
        <v>166</v>
      </c>
      <c r="B8" s="615">
        <v>1200</v>
      </c>
      <c r="C8" s="466">
        <v>356408</v>
      </c>
      <c r="D8" s="466">
        <v>57003</v>
      </c>
      <c r="E8" s="466">
        <v>4753</v>
      </c>
      <c r="F8" s="466">
        <v>17561</v>
      </c>
      <c r="G8" s="466">
        <v>19171</v>
      </c>
      <c r="H8" s="466">
        <v>228</v>
      </c>
      <c r="I8" s="467"/>
      <c r="J8" s="467"/>
      <c r="K8" s="1692">
        <f t="shared" si="0"/>
        <v>455124</v>
      </c>
      <c r="L8" s="466">
        <v>443768</v>
      </c>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v>83643</v>
      </c>
      <c r="D10" s="466">
        <v>3725</v>
      </c>
      <c r="E10" s="466">
        <v>113</v>
      </c>
      <c r="F10" s="466">
        <v>6935</v>
      </c>
      <c r="G10" s="466"/>
      <c r="H10" s="466"/>
      <c r="I10" s="467"/>
      <c r="J10" s="467"/>
      <c r="K10" s="1692">
        <f t="shared" si="0"/>
        <v>94416</v>
      </c>
      <c r="L10" s="466">
        <v>104365</v>
      </c>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c r="D13" s="466"/>
      <c r="E13" s="466"/>
      <c r="F13" s="466"/>
      <c r="G13" s="466"/>
      <c r="H13" s="466"/>
      <c r="I13" s="467"/>
      <c r="J13" s="467"/>
      <c r="K13" s="1692">
        <f t="shared" si="0"/>
        <v>0</v>
      </c>
      <c r="L13" s="466"/>
    </row>
    <row r="14" spans="1:14" x14ac:dyDescent="0.2">
      <c r="A14" s="1525" t="s">
        <v>1020</v>
      </c>
      <c r="B14" s="615">
        <v>1500</v>
      </c>
      <c r="C14" s="466">
        <v>23733</v>
      </c>
      <c r="D14" s="466">
        <v>1636</v>
      </c>
      <c r="E14" s="466">
        <v>8347</v>
      </c>
      <c r="F14" s="466">
        <v>2562</v>
      </c>
      <c r="G14" s="466"/>
      <c r="H14" s="466">
        <v>1669</v>
      </c>
      <c r="I14" s="467"/>
      <c r="J14" s="467"/>
      <c r="K14" s="1692">
        <f t="shared" si="0"/>
        <v>37947</v>
      </c>
      <c r="L14" s="466">
        <v>37664</v>
      </c>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c r="D17" s="467"/>
      <c r="E17" s="467"/>
      <c r="F17" s="467"/>
      <c r="G17" s="467"/>
      <c r="H17" s="467"/>
      <c r="I17" s="467"/>
      <c r="J17" s="467"/>
      <c r="K17" s="1692">
        <f t="shared" si="0"/>
        <v>0</v>
      </c>
      <c r="L17" s="466"/>
    </row>
    <row r="18" spans="1:12" x14ac:dyDescent="0.2">
      <c r="A18" s="1525" t="s">
        <v>1148</v>
      </c>
      <c r="B18" s="615">
        <v>1800</v>
      </c>
      <c r="C18" s="466">
        <v>14154</v>
      </c>
      <c r="D18" s="466">
        <v>377</v>
      </c>
      <c r="E18" s="466">
        <v>52</v>
      </c>
      <c r="F18" s="466">
        <v>113</v>
      </c>
      <c r="G18" s="466"/>
      <c r="H18" s="466"/>
      <c r="I18" s="467"/>
      <c r="J18" s="467"/>
      <c r="K18" s="1692">
        <f t="shared" si="0"/>
        <v>14696</v>
      </c>
      <c r="L18" s="466">
        <v>14615</v>
      </c>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1624990</v>
      </c>
      <c r="D33" s="1691">
        <f t="shared" ref="D33:L33" si="1">SUM(D5:D32)</f>
        <v>305709</v>
      </c>
      <c r="E33" s="1691">
        <f t="shared" si="1"/>
        <v>30831</v>
      </c>
      <c r="F33" s="1691">
        <f t="shared" si="1"/>
        <v>48126</v>
      </c>
      <c r="G33" s="1691">
        <f t="shared" si="1"/>
        <v>19171</v>
      </c>
      <c r="H33" s="1691">
        <f t="shared" si="1"/>
        <v>2841</v>
      </c>
      <c r="I33" s="1691">
        <f t="shared" si="1"/>
        <v>0</v>
      </c>
      <c r="J33" s="1691">
        <f t="shared" si="1"/>
        <v>0</v>
      </c>
      <c r="K33" s="1691">
        <f t="shared" si="1"/>
        <v>2031668</v>
      </c>
      <c r="L33" s="1691">
        <f t="shared" si="1"/>
        <v>2036770</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48574</v>
      </c>
      <c r="D36" s="481">
        <v>6195</v>
      </c>
      <c r="E36" s="481"/>
      <c r="F36" s="481"/>
      <c r="G36" s="481"/>
      <c r="H36" s="481">
        <v>174</v>
      </c>
      <c r="I36" s="467"/>
      <c r="J36" s="467"/>
      <c r="K36" s="1692">
        <f t="shared" ref="K36:K41" si="2">SUM(C36:J36)</f>
        <v>54943</v>
      </c>
      <c r="L36" s="466">
        <v>55382</v>
      </c>
    </row>
    <row r="37" spans="1:14" x14ac:dyDescent="0.2">
      <c r="A37" s="1525" t="s">
        <v>1151</v>
      </c>
      <c r="B37" s="615">
        <v>2120</v>
      </c>
      <c r="C37" s="466"/>
      <c r="D37" s="466"/>
      <c r="E37" s="466"/>
      <c r="F37" s="466"/>
      <c r="G37" s="466"/>
      <c r="H37" s="466"/>
      <c r="I37" s="467"/>
      <c r="J37" s="467"/>
      <c r="K37" s="1692">
        <f t="shared" si="2"/>
        <v>0</v>
      </c>
      <c r="L37" s="466"/>
    </row>
    <row r="38" spans="1:14" x14ac:dyDescent="0.2">
      <c r="A38" s="1525" t="s">
        <v>207</v>
      </c>
      <c r="B38" s="615">
        <v>2130</v>
      </c>
      <c r="C38" s="466">
        <v>22876</v>
      </c>
      <c r="D38" s="466"/>
      <c r="E38" s="466">
        <v>155</v>
      </c>
      <c r="F38" s="466">
        <v>1116</v>
      </c>
      <c r="G38" s="466"/>
      <c r="H38" s="466"/>
      <c r="I38" s="467"/>
      <c r="J38" s="467"/>
      <c r="K38" s="1692">
        <f t="shared" si="2"/>
        <v>24147</v>
      </c>
      <c r="L38" s="466">
        <v>24210</v>
      </c>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v>36409</v>
      </c>
      <c r="D40" s="466">
        <v>9149</v>
      </c>
      <c r="E40" s="466"/>
      <c r="F40" s="466">
        <v>110</v>
      </c>
      <c r="G40" s="466"/>
      <c r="H40" s="466"/>
      <c r="I40" s="467"/>
      <c r="J40" s="467"/>
      <c r="K40" s="1692">
        <f t="shared" si="2"/>
        <v>45668</v>
      </c>
      <c r="L40" s="466">
        <v>51284</v>
      </c>
    </row>
    <row r="41" spans="1:14" x14ac:dyDescent="0.2">
      <c r="A41" s="1525" t="s">
        <v>1768</v>
      </c>
      <c r="B41" s="615">
        <v>2190</v>
      </c>
      <c r="C41" s="466">
        <v>31805</v>
      </c>
      <c r="D41" s="466"/>
      <c r="E41" s="466"/>
      <c r="F41" s="466">
        <v>6971</v>
      </c>
      <c r="G41" s="466"/>
      <c r="H41" s="466"/>
      <c r="I41" s="467"/>
      <c r="J41" s="467"/>
      <c r="K41" s="1692">
        <f t="shared" si="2"/>
        <v>38776</v>
      </c>
      <c r="L41" s="466">
        <v>35100</v>
      </c>
    </row>
    <row r="42" spans="1:14" ht="12.75" customHeight="1" thickBot="1" x14ac:dyDescent="0.25">
      <c r="A42" s="1689" t="s">
        <v>581</v>
      </c>
      <c r="B42" s="1690" t="s">
        <v>740</v>
      </c>
      <c r="C42" s="1691">
        <f>SUM(C36:C41)</f>
        <v>139664</v>
      </c>
      <c r="D42" s="1691">
        <f t="shared" ref="D42:L42" si="3">SUM(D36:D41)</f>
        <v>15344</v>
      </c>
      <c r="E42" s="1691">
        <f t="shared" si="3"/>
        <v>155</v>
      </c>
      <c r="F42" s="1691">
        <f t="shared" si="3"/>
        <v>8197</v>
      </c>
      <c r="G42" s="1691">
        <f t="shared" si="3"/>
        <v>0</v>
      </c>
      <c r="H42" s="1691">
        <f t="shared" si="3"/>
        <v>174</v>
      </c>
      <c r="I42" s="1691">
        <f t="shared" si="3"/>
        <v>0</v>
      </c>
      <c r="J42" s="1691">
        <f t="shared" si="3"/>
        <v>0</v>
      </c>
      <c r="K42" s="1691">
        <f t="shared" si="3"/>
        <v>163534</v>
      </c>
      <c r="L42" s="1691">
        <f t="shared" si="3"/>
        <v>165976</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v>17136</v>
      </c>
      <c r="D44" s="481">
        <v>2451</v>
      </c>
      <c r="E44" s="481">
        <v>10443</v>
      </c>
      <c r="F44" s="481">
        <v>29512</v>
      </c>
      <c r="G44" s="481"/>
      <c r="H44" s="481"/>
      <c r="I44" s="467"/>
      <c r="J44" s="467"/>
      <c r="K44" s="1693">
        <f>SUM(C44:J44)</f>
        <v>59542</v>
      </c>
      <c r="L44" s="481">
        <v>28154</v>
      </c>
    </row>
    <row r="45" spans="1:14" x14ac:dyDescent="0.2">
      <c r="A45" s="1525" t="s">
        <v>869</v>
      </c>
      <c r="B45" s="615">
        <v>2220</v>
      </c>
      <c r="C45" s="466">
        <v>10298</v>
      </c>
      <c r="D45" s="466">
        <v>2375</v>
      </c>
      <c r="E45" s="466"/>
      <c r="F45" s="466">
        <v>1622</v>
      </c>
      <c r="G45" s="466"/>
      <c r="H45" s="466"/>
      <c r="I45" s="467"/>
      <c r="J45" s="467"/>
      <c r="K45" s="1693">
        <f>SUM(C45:J45)</f>
        <v>14295</v>
      </c>
      <c r="L45" s="466">
        <v>15060</v>
      </c>
    </row>
    <row r="46" spans="1:14" x14ac:dyDescent="0.2">
      <c r="A46" s="1525"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27434</v>
      </c>
      <c r="D47" s="1691">
        <f t="shared" ref="D47:K47" si="4">SUM(D44:D46)</f>
        <v>4826</v>
      </c>
      <c r="E47" s="1691">
        <f t="shared" si="4"/>
        <v>10443</v>
      </c>
      <c r="F47" s="1691">
        <f t="shared" si="4"/>
        <v>31134</v>
      </c>
      <c r="G47" s="1691">
        <f t="shared" si="4"/>
        <v>0</v>
      </c>
      <c r="H47" s="1691">
        <f t="shared" si="4"/>
        <v>0</v>
      </c>
      <c r="I47" s="1691">
        <f t="shared" si="4"/>
        <v>0</v>
      </c>
      <c r="J47" s="1691">
        <f t="shared" si="4"/>
        <v>0</v>
      </c>
      <c r="K47" s="1691">
        <f t="shared" si="4"/>
        <v>73837</v>
      </c>
      <c r="L47" s="1691">
        <f>SUM(L44:L46)</f>
        <v>43214</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15312</v>
      </c>
      <c r="F49" s="481">
        <v>4791</v>
      </c>
      <c r="G49" s="481"/>
      <c r="H49" s="481">
        <v>5092</v>
      </c>
      <c r="I49" s="467"/>
      <c r="J49" s="467"/>
      <c r="K49" s="1693">
        <f>SUM(C49:J49)</f>
        <v>25195</v>
      </c>
      <c r="L49" s="481">
        <v>21990</v>
      </c>
    </row>
    <row r="50" spans="1:14" x14ac:dyDescent="0.2">
      <c r="A50" s="1525" t="s">
        <v>872</v>
      </c>
      <c r="B50" s="615">
        <v>2320</v>
      </c>
      <c r="C50" s="466">
        <v>106505</v>
      </c>
      <c r="D50" s="466">
        <v>16416</v>
      </c>
      <c r="E50" s="466">
        <v>2406</v>
      </c>
      <c r="F50" s="466">
        <v>617</v>
      </c>
      <c r="G50" s="466">
        <v>2331</v>
      </c>
      <c r="H50" s="466"/>
      <c r="I50" s="467"/>
      <c r="J50" s="467"/>
      <c r="K50" s="1693">
        <f>SUM(C50:J50)</f>
        <v>128275</v>
      </c>
      <c r="L50" s="466">
        <v>129383</v>
      </c>
    </row>
    <row r="51" spans="1:14" x14ac:dyDescent="0.2">
      <c r="A51" s="1525" t="s">
        <v>44</v>
      </c>
      <c r="B51" s="615">
        <v>2330</v>
      </c>
      <c r="C51" s="466"/>
      <c r="D51" s="466"/>
      <c r="E51" s="466"/>
      <c r="F51" s="466"/>
      <c r="G51" s="466"/>
      <c r="H51" s="466"/>
      <c r="I51" s="467"/>
      <c r="J51" s="467"/>
      <c r="K51" s="1693">
        <f>SUM(C51:J51)</f>
        <v>0</v>
      </c>
      <c r="L51" s="466"/>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106505</v>
      </c>
      <c r="D53" s="1691">
        <f t="shared" ref="D53:L53" si="5">SUM(D49:D52)</f>
        <v>16416</v>
      </c>
      <c r="E53" s="1691">
        <f t="shared" si="5"/>
        <v>17718</v>
      </c>
      <c r="F53" s="1691">
        <f t="shared" si="5"/>
        <v>5408</v>
      </c>
      <c r="G53" s="1691">
        <f t="shared" si="5"/>
        <v>2331</v>
      </c>
      <c r="H53" s="1691">
        <f t="shared" si="5"/>
        <v>5092</v>
      </c>
      <c r="I53" s="1691">
        <f t="shared" si="5"/>
        <v>0</v>
      </c>
      <c r="J53" s="1691">
        <f t="shared" si="5"/>
        <v>0</v>
      </c>
      <c r="K53" s="1691">
        <f t="shared" si="5"/>
        <v>153470</v>
      </c>
      <c r="L53" s="1691">
        <f t="shared" si="5"/>
        <v>151373</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v>25658</v>
      </c>
      <c r="D55" s="481">
        <v>257</v>
      </c>
      <c r="E55" s="481"/>
      <c r="F55" s="481">
        <v>680</v>
      </c>
      <c r="G55" s="481">
        <v>139</v>
      </c>
      <c r="H55" s="481"/>
      <c r="I55" s="467"/>
      <c r="J55" s="467"/>
      <c r="K55" s="1693">
        <f>SUM(C55:J55)</f>
        <v>26734</v>
      </c>
      <c r="L55" s="481">
        <v>30897</v>
      </c>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25658</v>
      </c>
      <c r="D57" s="1695">
        <f t="shared" ref="D57:K57" si="6">SUM(D55:D56)</f>
        <v>257</v>
      </c>
      <c r="E57" s="1695">
        <f t="shared" si="6"/>
        <v>0</v>
      </c>
      <c r="F57" s="1695">
        <f t="shared" si="6"/>
        <v>680</v>
      </c>
      <c r="G57" s="1695">
        <f t="shared" si="6"/>
        <v>139</v>
      </c>
      <c r="H57" s="1695">
        <f t="shared" si="6"/>
        <v>0</v>
      </c>
      <c r="I57" s="1695">
        <f t="shared" si="6"/>
        <v>0</v>
      </c>
      <c r="J57" s="1695">
        <f t="shared" si="6"/>
        <v>0</v>
      </c>
      <c r="K57" s="1695">
        <f t="shared" si="6"/>
        <v>26734</v>
      </c>
      <c r="L57" s="1691">
        <f>SUM(L55:L56)</f>
        <v>30897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v>49538</v>
      </c>
      <c r="D60" s="466">
        <v>5183</v>
      </c>
      <c r="E60" s="466">
        <v>6038</v>
      </c>
      <c r="F60" s="466">
        <v>851</v>
      </c>
      <c r="G60" s="466"/>
      <c r="H60" s="466">
        <v>20</v>
      </c>
      <c r="I60" s="467"/>
      <c r="J60" s="467"/>
      <c r="K60" s="1693">
        <f t="shared" si="7"/>
        <v>61630</v>
      </c>
      <c r="L60" s="466">
        <v>60748</v>
      </c>
      <c r="M60" s="610"/>
      <c r="N60" s="610"/>
    </row>
    <row r="61" spans="1:14" s="343" customFormat="1" x14ac:dyDescent="0.2">
      <c r="A61" s="1525" t="s">
        <v>206</v>
      </c>
      <c r="B61" s="615">
        <v>2540</v>
      </c>
      <c r="C61" s="466">
        <v>69774</v>
      </c>
      <c r="D61" s="466">
        <v>6199</v>
      </c>
      <c r="E61" s="466">
        <v>15816</v>
      </c>
      <c r="F61" s="466">
        <v>27282</v>
      </c>
      <c r="G61" s="466">
        <v>5646</v>
      </c>
      <c r="H61" s="466">
        <v>70</v>
      </c>
      <c r="I61" s="467"/>
      <c r="J61" s="467"/>
      <c r="K61" s="1693">
        <f t="shared" si="7"/>
        <v>124787</v>
      </c>
      <c r="L61" s="466">
        <v>123771</v>
      </c>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v>67327</v>
      </c>
      <c r="D63" s="466">
        <v>4166</v>
      </c>
      <c r="E63" s="466">
        <v>5098</v>
      </c>
      <c r="F63" s="466">
        <v>86297</v>
      </c>
      <c r="G63" s="466"/>
      <c r="H63" s="466">
        <v>1068</v>
      </c>
      <c r="I63" s="467"/>
      <c r="J63" s="467"/>
      <c r="K63" s="1693">
        <f t="shared" si="7"/>
        <v>163956</v>
      </c>
      <c r="L63" s="466">
        <v>171339</v>
      </c>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186639</v>
      </c>
      <c r="D65" s="1691">
        <f t="shared" ref="D65:L65" si="8">SUM(D59:D64)</f>
        <v>15548</v>
      </c>
      <c r="E65" s="1691">
        <f t="shared" si="8"/>
        <v>26952</v>
      </c>
      <c r="F65" s="1691">
        <f t="shared" si="8"/>
        <v>114430</v>
      </c>
      <c r="G65" s="1691">
        <f t="shared" si="8"/>
        <v>5646</v>
      </c>
      <c r="H65" s="1691">
        <f t="shared" si="8"/>
        <v>1158</v>
      </c>
      <c r="I65" s="1691">
        <f t="shared" si="8"/>
        <v>0</v>
      </c>
      <c r="J65" s="1691">
        <f t="shared" si="8"/>
        <v>0</v>
      </c>
      <c r="K65" s="1691">
        <f t="shared" si="8"/>
        <v>350373</v>
      </c>
      <c r="L65" s="1691">
        <f t="shared" si="8"/>
        <v>355858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485900</v>
      </c>
      <c r="D74" s="1698">
        <f t="shared" ref="D74:K74" si="10">SUM(D42,D47,D53,D57,D65,D72,D73)</f>
        <v>52391</v>
      </c>
      <c r="E74" s="1698">
        <f t="shared" si="10"/>
        <v>55268</v>
      </c>
      <c r="F74" s="1698">
        <f t="shared" si="10"/>
        <v>159849</v>
      </c>
      <c r="G74" s="1698">
        <f t="shared" si="10"/>
        <v>8116</v>
      </c>
      <c r="H74" s="1698">
        <f t="shared" si="10"/>
        <v>6424</v>
      </c>
      <c r="I74" s="1698">
        <f t="shared" si="10"/>
        <v>0</v>
      </c>
      <c r="J74" s="1698">
        <f t="shared" si="10"/>
        <v>0</v>
      </c>
      <c r="K74" s="1698">
        <f t="shared" si="10"/>
        <v>767948</v>
      </c>
      <c r="L74" s="1698">
        <f>SUM(L42,L47,L53,L57,L65,L72,L73)</f>
        <v>747318</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v>80278</v>
      </c>
      <c r="F79" s="617"/>
      <c r="G79" s="617"/>
      <c r="H79" s="466">
        <v>2500</v>
      </c>
      <c r="I79" s="477"/>
      <c r="J79" s="477"/>
      <c r="K79" s="1692">
        <f t="shared" si="11"/>
        <v>82778</v>
      </c>
      <c r="L79" s="466">
        <v>37000</v>
      </c>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c r="F81" s="617"/>
      <c r="G81" s="617"/>
      <c r="H81" s="466"/>
      <c r="I81" s="477"/>
      <c r="J81" s="477"/>
      <c r="K81" s="1692">
        <f t="shared" si="11"/>
        <v>0</v>
      </c>
      <c r="L81" s="466"/>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c r="I83" s="477"/>
      <c r="J83" s="477"/>
      <c r="K83" s="1692">
        <f t="shared" si="11"/>
        <v>0</v>
      </c>
      <c r="L83" s="466"/>
    </row>
    <row r="84" spans="1:12" ht="13.5" thickBot="1" x14ac:dyDescent="0.25">
      <c r="A84" s="1689" t="s">
        <v>1565</v>
      </c>
      <c r="B84" s="1699">
        <v>4100</v>
      </c>
      <c r="C84" s="617"/>
      <c r="D84" s="617"/>
      <c r="E84" s="1691">
        <f>SUM(E78:E83)</f>
        <v>80278</v>
      </c>
      <c r="F84" s="617"/>
      <c r="G84" s="617"/>
      <c r="H84" s="1691">
        <f>SUM(H78:H83)</f>
        <v>2500</v>
      </c>
      <c r="I84" s="477"/>
      <c r="J84" s="477"/>
      <c r="K84" s="1691">
        <f>SUM(K78:K83)</f>
        <v>82778</v>
      </c>
      <c r="L84" s="1691">
        <f>SUM(L78:L83)</f>
        <v>37000</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80278</v>
      </c>
      <c r="F102" s="617"/>
      <c r="G102" s="617"/>
      <c r="H102" s="1698">
        <f>SUM(H84,H92,H100,H101)</f>
        <v>2500</v>
      </c>
      <c r="I102" s="477"/>
      <c r="J102" s="477"/>
      <c r="K102" s="1698">
        <f>SUM(K84,K92,K100,K101)</f>
        <v>82778</v>
      </c>
      <c r="L102" s="1698">
        <f>SUM(L84,L92,L100,L101)</f>
        <v>37000</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2110890</v>
      </c>
      <c r="D114" s="1691">
        <f t="shared" ref="D114:K114" si="13">SUM(D33,D74,D75,D102,D112,D113)</f>
        <v>358100</v>
      </c>
      <c r="E114" s="1691">
        <f t="shared" si="13"/>
        <v>166377</v>
      </c>
      <c r="F114" s="1691">
        <f t="shared" si="13"/>
        <v>207975</v>
      </c>
      <c r="G114" s="1691">
        <f t="shared" si="13"/>
        <v>27287</v>
      </c>
      <c r="H114" s="1691">
        <f>SUM(H33,H74,H75,H102,H112,H113)</f>
        <v>11765</v>
      </c>
      <c r="I114" s="1691">
        <f t="shared" si="13"/>
        <v>0</v>
      </c>
      <c r="J114" s="1691">
        <f t="shared" si="13"/>
        <v>0</v>
      </c>
      <c r="K114" s="1691">
        <f t="shared" si="13"/>
        <v>2882394</v>
      </c>
      <c r="L114" s="1691">
        <f>SUM(L33,L74,L75,L102,L112,L113)</f>
        <v>2821088</v>
      </c>
    </row>
    <row r="115" spans="1:14" ht="13.5" thickTop="1" x14ac:dyDescent="0.2">
      <c r="A115" s="2198" t="s">
        <v>1053</v>
      </c>
      <c r="B115" s="2199"/>
      <c r="C115" s="619"/>
      <c r="D115" s="619"/>
      <c r="E115" s="619"/>
      <c r="F115" s="619"/>
      <c r="G115" s="619"/>
      <c r="H115" s="619"/>
      <c r="I115" s="619"/>
      <c r="J115" s="619"/>
      <c r="K115" s="1705">
        <f>'Revenues 9-14'!C275-'Expenditures 15-22'!K114</f>
        <v>325290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v>2340</v>
      </c>
      <c r="F123" s="466"/>
      <c r="G123" s="466">
        <v>5011</v>
      </c>
      <c r="H123" s="466"/>
      <c r="I123" s="467"/>
      <c r="J123" s="467"/>
      <c r="K123" s="1691">
        <f>SUM(C123:J123)</f>
        <v>7351</v>
      </c>
      <c r="L123" s="466">
        <v>7612</v>
      </c>
    </row>
    <row r="124" spans="1:14" ht="14.25" thickTop="1" thickBot="1" x14ac:dyDescent="0.25">
      <c r="A124" s="1525" t="s">
        <v>206</v>
      </c>
      <c r="B124" s="615">
        <v>2540</v>
      </c>
      <c r="C124" s="466"/>
      <c r="D124" s="466"/>
      <c r="E124" s="466">
        <v>36397</v>
      </c>
      <c r="F124" s="466">
        <v>60871</v>
      </c>
      <c r="G124" s="466">
        <v>1710</v>
      </c>
      <c r="H124" s="466">
        <v>75</v>
      </c>
      <c r="I124" s="467"/>
      <c r="J124" s="467"/>
      <c r="K124" s="1691">
        <f>SUM(C124:J124)</f>
        <v>99053</v>
      </c>
      <c r="L124" s="466">
        <v>101475</v>
      </c>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38737</v>
      </c>
      <c r="F127" s="1691">
        <f t="shared" si="14"/>
        <v>60871</v>
      </c>
      <c r="G127" s="1691">
        <f t="shared" si="14"/>
        <v>6721</v>
      </c>
      <c r="H127" s="1691">
        <f t="shared" si="14"/>
        <v>75</v>
      </c>
      <c r="I127" s="1691">
        <f t="shared" si="14"/>
        <v>0</v>
      </c>
      <c r="J127" s="1691">
        <f t="shared" si="14"/>
        <v>0</v>
      </c>
      <c r="K127" s="1691">
        <f t="shared" si="14"/>
        <v>106404</v>
      </c>
      <c r="L127" s="1691">
        <f t="shared" si="14"/>
        <v>109087</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38737</v>
      </c>
      <c r="F129" s="1698">
        <f t="shared" si="15"/>
        <v>60871</v>
      </c>
      <c r="G129" s="1698">
        <f t="shared" si="15"/>
        <v>6721</v>
      </c>
      <c r="H129" s="1698">
        <f t="shared" si="15"/>
        <v>75</v>
      </c>
      <c r="I129" s="1698">
        <f t="shared" si="15"/>
        <v>0</v>
      </c>
      <c r="J129" s="1698">
        <f t="shared" si="15"/>
        <v>0</v>
      </c>
      <c r="K129" s="1698">
        <f t="shared" si="15"/>
        <v>106404</v>
      </c>
      <c r="L129" s="1698">
        <f t="shared" si="15"/>
        <v>109087</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1956</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88" t="s">
        <v>641</v>
      </c>
      <c r="B151" s="2170"/>
      <c r="C151" s="1691">
        <f>SUM(C129,C130,C139,C149,C150)</f>
        <v>0</v>
      </c>
      <c r="D151" s="1691">
        <f t="shared" ref="D151:K151" si="16">SUM(D129,D130,D139,D149,D150)</f>
        <v>0</v>
      </c>
      <c r="E151" s="1691">
        <f t="shared" si="16"/>
        <v>38737</v>
      </c>
      <c r="F151" s="1691">
        <f t="shared" si="16"/>
        <v>60871</v>
      </c>
      <c r="G151" s="1691">
        <f t="shared" si="16"/>
        <v>6721</v>
      </c>
      <c r="H151" s="1691">
        <f t="shared" si="16"/>
        <v>75</v>
      </c>
      <c r="I151" s="1691">
        <f t="shared" si="16"/>
        <v>0</v>
      </c>
      <c r="J151" s="1691">
        <f t="shared" si="16"/>
        <v>0</v>
      </c>
      <c r="K151" s="1691">
        <f t="shared" si="16"/>
        <v>106404</v>
      </c>
      <c r="L151" s="1691">
        <f>SUM(L129,L130,L139,L149,L150)</f>
        <v>109087</v>
      </c>
    </row>
    <row r="152" spans="1:14" ht="12.75" customHeight="1" thickTop="1" x14ac:dyDescent="0.2">
      <c r="A152" s="2191" t="s">
        <v>1240</v>
      </c>
      <c r="B152" s="2192"/>
      <c r="C152" s="619"/>
      <c r="D152" s="619"/>
      <c r="E152" s="619"/>
      <c r="F152" s="619"/>
      <c r="G152" s="619"/>
      <c r="H152" s="619"/>
      <c r="I152" s="619"/>
      <c r="J152" s="617"/>
      <c r="K152" s="1705">
        <f>'Revenues 9-14'!D275-'Expenditures 15-22'!K151</f>
        <v>-9858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1957</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1956</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1958</v>
      </c>
      <c r="C158" s="617"/>
      <c r="D158" s="617"/>
      <c r="E158" s="617"/>
      <c r="F158" s="617"/>
      <c r="G158" s="617"/>
      <c r="H158" s="467"/>
      <c r="I158" s="617"/>
      <c r="J158" s="617"/>
      <c r="K158" s="1692">
        <f>H158</f>
        <v>0</v>
      </c>
      <c r="L158" s="467"/>
      <c r="M158" s="620"/>
      <c r="N158" s="620"/>
    </row>
    <row r="159" spans="1:14" s="621" customFormat="1" ht="12" x14ac:dyDescent="0.2">
      <c r="A159" s="1848" t="s">
        <v>1959</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1960</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v>111964</v>
      </c>
      <c r="I169" s="617"/>
      <c r="J169" s="617"/>
      <c r="K169" s="1692">
        <f>SUM(C169:H169)</f>
        <v>111964</v>
      </c>
      <c r="L169" s="657">
        <v>111964</v>
      </c>
    </row>
    <row r="170" spans="1:14" ht="33.75" customHeight="1" x14ac:dyDescent="0.2">
      <c r="A170" s="670" t="s">
        <v>1769</v>
      </c>
      <c r="B170" s="672" t="s">
        <v>31</v>
      </c>
      <c r="C170" s="617"/>
      <c r="D170" s="617"/>
      <c r="E170" s="617"/>
      <c r="F170" s="617"/>
      <c r="G170" s="617"/>
      <c r="H170" s="569">
        <v>85000</v>
      </c>
      <c r="I170" s="617"/>
      <c r="J170" s="617"/>
      <c r="K170" s="1692">
        <f>SUM(C170:J170)</f>
        <v>85000</v>
      </c>
      <c r="L170" s="569">
        <v>85000</v>
      </c>
    </row>
    <row r="171" spans="1:14" ht="15.75" customHeight="1" x14ac:dyDescent="0.2">
      <c r="A171" s="622" t="s">
        <v>790</v>
      </c>
      <c r="B171" s="673" t="s">
        <v>86</v>
      </c>
      <c r="C171" s="617"/>
      <c r="D171" s="617"/>
      <c r="E171" s="466"/>
      <c r="F171" s="617"/>
      <c r="G171" s="617"/>
      <c r="H171" s="569">
        <v>2302</v>
      </c>
      <c r="I171" s="477"/>
      <c r="J171" s="617"/>
      <c r="K171" s="1692">
        <f>SUM(C171:J171)</f>
        <v>2302</v>
      </c>
      <c r="L171" s="569">
        <v>2303</v>
      </c>
    </row>
    <row r="172" spans="1:14" ht="12.75" customHeight="1" thickBot="1" x14ac:dyDescent="0.25">
      <c r="A172" s="1689" t="s">
        <v>659</v>
      </c>
      <c r="B172" s="1690" t="s">
        <v>513</v>
      </c>
      <c r="C172" s="617"/>
      <c r="D172" s="617"/>
      <c r="E172" s="1698">
        <f>SUM(E168,E169,E170,E171)</f>
        <v>0</v>
      </c>
      <c r="F172" s="617"/>
      <c r="G172" s="617"/>
      <c r="H172" s="1698">
        <f>SUM(H168,H169,H170,H171)</f>
        <v>199266</v>
      </c>
      <c r="I172" s="639"/>
      <c r="J172" s="617"/>
      <c r="K172" s="1698">
        <f>SUM(K168,K169,K170,K171)</f>
        <v>199266</v>
      </c>
      <c r="L172" s="1698">
        <f>SUM(L168,L169,L170,L171)</f>
        <v>199267</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199266</v>
      </c>
      <c r="I174" s="639"/>
      <c r="J174" s="617"/>
      <c r="K174" s="1698">
        <f>SUM(K160,K172,K173)</f>
        <v>199266</v>
      </c>
      <c r="L174" s="1698">
        <f>SUM(L160,L172,L173)</f>
        <v>199267</v>
      </c>
    </row>
    <row r="175" spans="1:14" ht="13.5" thickTop="1" x14ac:dyDescent="0.2">
      <c r="A175" s="2198" t="s">
        <v>1053</v>
      </c>
      <c r="B175" s="2199"/>
      <c r="C175" s="617"/>
      <c r="D175" s="617"/>
      <c r="E175" s="617"/>
      <c r="F175" s="617"/>
      <c r="G175" s="617"/>
      <c r="H175" s="619"/>
      <c r="I175" s="617"/>
      <c r="J175" s="617"/>
      <c r="K175" s="1705">
        <f>'Revenues 9-14'!E275-'Expenditures 15-22'!K174</f>
        <v>6232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v>77069</v>
      </c>
      <c r="D182" s="466"/>
      <c r="E182" s="466">
        <v>23097</v>
      </c>
      <c r="F182" s="466">
        <v>27752</v>
      </c>
      <c r="G182" s="466"/>
      <c r="H182" s="466">
        <v>80</v>
      </c>
      <c r="I182" s="467"/>
      <c r="J182" s="467"/>
      <c r="K182" s="1692">
        <f>SUM(C182:J182)</f>
        <v>127998</v>
      </c>
      <c r="L182" s="466">
        <v>117656</v>
      </c>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77069</v>
      </c>
      <c r="D184" s="1698">
        <f t="shared" ref="D184:J184" si="17">SUM(D180,D182,D183)</f>
        <v>0</v>
      </c>
      <c r="E184" s="1698">
        <f t="shared" si="17"/>
        <v>23097</v>
      </c>
      <c r="F184" s="1698">
        <f t="shared" si="17"/>
        <v>27752</v>
      </c>
      <c r="G184" s="1698">
        <f t="shared" si="17"/>
        <v>0</v>
      </c>
      <c r="H184" s="1698">
        <f t="shared" si="17"/>
        <v>80</v>
      </c>
      <c r="I184" s="1698">
        <f t="shared" si="17"/>
        <v>0</v>
      </c>
      <c r="J184" s="1698">
        <f t="shared" si="17"/>
        <v>0</v>
      </c>
      <c r="K184" s="1698">
        <f>SUM(K180,K182,K183)</f>
        <v>127998</v>
      </c>
      <c r="L184" s="1698">
        <f>SUM(L180, L182:L183)</f>
        <v>117656</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v>1763</v>
      </c>
      <c r="I205" s="617"/>
      <c r="J205" s="617"/>
      <c r="K205" s="1706">
        <f>SUM(H205)</f>
        <v>1763</v>
      </c>
      <c r="L205" s="535">
        <v>1764</v>
      </c>
    </row>
    <row r="206" spans="1:14" ht="30" customHeight="1" x14ac:dyDescent="0.2">
      <c r="A206" s="682" t="s">
        <v>1770</v>
      </c>
      <c r="B206" s="673" t="s">
        <v>31</v>
      </c>
      <c r="C206" s="617"/>
      <c r="D206" s="617"/>
      <c r="E206" s="617"/>
      <c r="F206" s="617"/>
      <c r="G206" s="617"/>
      <c r="H206" s="466">
        <v>29369</v>
      </c>
      <c r="I206" s="617"/>
      <c r="J206" s="617"/>
      <c r="K206" s="1692">
        <f>SUM(H206)</f>
        <v>29369</v>
      </c>
      <c r="L206" s="466">
        <v>29369</v>
      </c>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31132</v>
      </c>
      <c r="I208" s="617"/>
      <c r="J208" s="617"/>
      <c r="K208" s="1698">
        <f>SUM(K204,K205,K206,K207)</f>
        <v>31132</v>
      </c>
      <c r="L208" s="1698">
        <f>SUM(L204,L205,L206,L207)</f>
        <v>31133</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77069</v>
      </c>
      <c r="D210" s="1691">
        <f>SUM(D184,D185)</f>
        <v>0</v>
      </c>
      <c r="E210" s="1691">
        <f>SUM(E184,E185,E196)</f>
        <v>23097</v>
      </c>
      <c r="F210" s="1691">
        <f>SUM(F184,F185)</f>
        <v>27752</v>
      </c>
      <c r="G210" s="1691">
        <f>SUM(G184,G185)</f>
        <v>0</v>
      </c>
      <c r="H210" s="1691">
        <f>SUM(H184,H185,H196,H208,H209)</f>
        <v>31212</v>
      </c>
      <c r="I210" s="1691">
        <f>SUM(I184,I185)</f>
        <v>0</v>
      </c>
      <c r="J210" s="1691">
        <f>SUM(J184,J185)</f>
        <v>0</v>
      </c>
      <c r="K210" s="1692">
        <f>SUM(K184,K185,K196,K208,K209)</f>
        <v>159130</v>
      </c>
      <c r="L210" s="1691">
        <f>SUM(L184,L185,L196,L208,L209)</f>
        <v>148789</v>
      </c>
    </row>
    <row r="211" spans="1:14" ht="13.5" thickTop="1" x14ac:dyDescent="0.2">
      <c r="A211" s="2198" t="s">
        <v>1053</v>
      </c>
      <c r="B211" s="2199"/>
      <c r="C211" s="619"/>
      <c r="D211" s="619"/>
      <c r="E211" s="619"/>
      <c r="F211" s="619"/>
      <c r="G211" s="619"/>
      <c r="H211" s="619"/>
      <c r="I211" s="617"/>
      <c r="J211" s="617"/>
      <c r="K211" s="1705">
        <f>'Revenues 9-14'!F275-'Expenditures 15-22'!K210</f>
        <v>39897</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v>18931</v>
      </c>
      <c r="E215" s="617"/>
      <c r="F215" s="617"/>
      <c r="G215" s="617"/>
      <c r="H215" s="617"/>
      <c r="I215" s="617"/>
      <c r="J215" s="617"/>
      <c r="K215" s="1692">
        <f>D215</f>
        <v>18931</v>
      </c>
      <c r="L215" s="466">
        <v>22490</v>
      </c>
    </row>
    <row r="216" spans="1:14" x14ac:dyDescent="0.2">
      <c r="A216" s="1525" t="s">
        <v>165</v>
      </c>
      <c r="B216" s="615" t="s">
        <v>1024</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v>33814</v>
      </c>
      <c r="E217" s="617"/>
      <c r="F217" s="617"/>
      <c r="G217" s="617"/>
      <c r="H217" s="617"/>
      <c r="I217" s="617"/>
      <c r="J217" s="617"/>
      <c r="K217" s="1692">
        <f t="shared" si="19"/>
        <v>33814</v>
      </c>
      <c r="L217" s="466">
        <v>26450</v>
      </c>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v>19172</v>
      </c>
      <c r="E219" s="617"/>
      <c r="F219" s="617"/>
      <c r="G219" s="617"/>
      <c r="H219" s="617"/>
      <c r="I219" s="617"/>
      <c r="J219" s="617"/>
      <c r="K219" s="1692">
        <f t="shared" si="19"/>
        <v>19172</v>
      </c>
      <c r="L219" s="466">
        <v>18500</v>
      </c>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c r="E222" s="617"/>
      <c r="F222" s="617"/>
      <c r="G222" s="617"/>
      <c r="H222" s="617"/>
      <c r="I222" s="617"/>
      <c r="J222" s="617"/>
      <c r="K222" s="1692">
        <f t="shared" si="19"/>
        <v>0</v>
      </c>
      <c r="L222" s="466"/>
    </row>
    <row r="223" spans="1:14" x14ac:dyDescent="0.2">
      <c r="A223" s="1525" t="s">
        <v>1020</v>
      </c>
      <c r="B223" s="615">
        <v>1500</v>
      </c>
      <c r="C223" s="617"/>
      <c r="D223" s="466">
        <v>1273</v>
      </c>
      <c r="E223" s="617"/>
      <c r="F223" s="617"/>
      <c r="G223" s="617"/>
      <c r="H223" s="617"/>
      <c r="I223" s="617"/>
      <c r="J223" s="617"/>
      <c r="K223" s="1692">
        <f t="shared" si="19"/>
        <v>1273</v>
      </c>
      <c r="L223" s="466">
        <v>1675</v>
      </c>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v>2519</v>
      </c>
      <c r="E227" s="617"/>
      <c r="F227" s="617"/>
      <c r="G227" s="617"/>
      <c r="H227" s="617"/>
      <c r="I227" s="617"/>
      <c r="J227" s="617"/>
      <c r="K227" s="1692">
        <f t="shared" si="19"/>
        <v>2519</v>
      </c>
      <c r="L227" s="466">
        <v>2700</v>
      </c>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75709</v>
      </c>
      <c r="E229" s="617"/>
      <c r="F229" s="617"/>
      <c r="G229" s="617"/>
      <c r="H229" s="617"/>
      <c r="I229" s="617"/>
      <c r="J229" s="617"/>
      <c r="K229" s="1691">
        <f>SUM(K215:K228)</f>
        <v>75709</v>
      </c>
      <c r="L229" s="1691">
        <f>SUM(L215:L228)</f>
        <v>71815</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v>773</v>
      </c>
      <c r="E232" s="617"/>
      <c r="F232" s="617"/>
      <c r="G232" s="617"/>
      <c r="H232" s="617"/>
      <c r="I232" s="617"/>
      <c r="J232" s="617"/>
      <c r="K232" s="1692">
        <f t="shared" ref="K232:K237" si="20">D232</f>
        <v>773</v>
      </c>
      <c r="L232" s="466">
        <v>875</v>
      </c>
    </row>
    <row r="233" spans="1:12" x14ac:dyDescent="0.2">
      <c r="A233" s="1525" t="s">
        <v>1151</v>
      </c>
      <c r="B233" s="615">
        <v>2120</v>
      </c>
      <c r="C233" s="617"/>
      <c r="D233" s="466"/>
      <c r="E233" s="617"/>
      <c r="F233" s="617"/>
      <c r="G233" s="617"/>
      <c r="H233" s="617"/>
      <c r="I233" s="617"/>
      <c r="J233" s="617"/>
      <c r="K233" s="1692">
        <f t="shared" si="20"/>
        <v>0</v>
      </c>
      <c r="L233" s="466"/>
    </row>
    <row r="234" spans="1:12" x14ac:dyDescent="0.2">
      <c r="A234" s="1525" t="s">
        <v>207</v>
      </c>
      <c r="B234" s="615">
        <v>2130</v>
      </c>
      <c r="C234" s="617"/>
      <c r="D234" s="466">
        <v>5110</v>
      </c>
      <c r="E234" s="617"/>
      <c r="F234" s="617"/>
      <c r="G234" s="617"/>
      <c r="H234" s="617"/>
      <c r="I234" s="617"/>
      <c r="J234" s="617"/>
      <c r="K234" s="1692">
        <f t="shared" si="20"/>
        <v>5110</v>
      </c>
      <c r="L234" s="466">
        <v>7560</v>
      </c>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v>572</v>
      </c>
      <c r="E236" s="617"/>
      <c r="F236" s="617"/>
      <c r="G236" s="617"/>
      <c r="H236" s="617"/>
      <c r="I236" s="617"/>
      <c r="J236" s="617"/>
      <c r="K236" s="1692">
        <f t="shared" si="20"/>
        <v>572</v>
      </c>
      <c r="L236" s="466">
        <v>650</v>
      </c>
    </row>
    <row r="237" spans="1:12" x14ac:dyDescent="0.2">
      <c r="A237" s="1525" t="s">
        <v>167</v>
      </c>
      <c r="B237" s="615">
        <v>2190</v>
      </c>
      <c r="C237" s="617"/>
      <c r="D237" s="466">
        <v>7298</v>
      </c>
      <c r="E237" s="617"/>
      <c r="F237" s="617"/>
      <c r="G237" s="617"/>
      <c r="H237" s="617"/>
      <c r="I237" s="617"/>
      <c r="J237" s="617"/>
      <c r="K237" s="1692">
        <f t="shared" si="20"/>
        <v>7298</v>
      </c>
      <c r="L237" s="466">
        <v>4200</v>
      </c>
    </row>
    <row r="238" spans="1:12" ht="12.75" customHeight="1" thickBot="1" x14ac:dyDescent="0.25">
      <c r="A238" s="1689" t="s">
        <v>581</v>
      </c>
      <c r="B238" s="1696" t="s">
        <v>740</v>
      </c>
      <c r="C238" s="617"/>
      <c r="D238" s="1691">
        <f>SUM(D232:D237)</f>
        <v>13753</v>
      </c>
      <c r="E238" s="617"/>
      <c r="F238" s="617"/>
      <c r="G238" s="617"/>
      <c r="H238" s="617"/>
      <c r="I238" s="617"/>
      <c r="J238" s="617"/>
      <c r="K238" s="1691">
        <f>SUM(K232:K237)</f>
        <v>13753</v>
      </c>
      <c r="L238" s="1691">
        <f>SUM(L232:L237)</f>
        <v>13285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v>1550</v>
      </c>
      <c r="E240" s="617"/>
      <c r="F240" s="617"/>
      <c r="G240" s="617"/>
      <c r="H240" s="617"/>
      <c r="I240" s="617"/>
      <c r="J240" s="617"/>
      <c r="K240" s="1693">
        <f>D240</f>
        <v>1550</v>
      </c>
      <c r="L240" s="481">
        <v>1800</v>
      </c>
    </row>
    <row r="241" spans="1:12" x14ac:dyDescent="0.2">
      <c r="A241" s="1525" t="s">
        <v>869</v>
      </c>
      <c r="B241" s="615">
        <v>2220</v>
      </c>
      <c r="C241" s="617"/>
      <c r="D241" s="466">
        <v>2361</v>
      </c>
      <c r="E241" s="617"/>
      <c r="F241" s="617"/>
      <c r="G241" s="617"/>
      <c r="H241" s="617"/>
      <c r="I241" s="617"/>
      <c r="J241" s="617"/>
      <c r="K241" s="1693">
        <f>D241</f>
        <v>2361</v>
      </c>
      <c r="L241" s="466">
        <v>2075</v>
      </c>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3911</v>
      </c>
      <c r="E243" s="617"/>
      <c r="F243" s="617"/>
      <c r="G243" s="617"/>
      <c r="H243" s="617"/>
      <c r="I243" s="617"/>
      <c r="J243" s="617"/>
      <c r="K243" s="1691">
        <f>SUM(K240:K242)</f>
        <v>3911</v>
      </c>
      <c r="L243" s="1691">
        <f>SUM(L240:L242)</f>
        <v>3875</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v>5695</v>
      </c>
      <c r="E246" s="617"/>
      <c r="F246" s="617"/>
      <c r="G246" s="617"/>
      <c r="H246" s="617"/>
      <c r="I246" s="617"/>
      <c r="J246" s="617"/>
      <c r="K246" s="1693">
        <f t="shared" ref="K246:K256" si="21">D246</f>
        <v>5695</v>
      </c>
      <c r="L246" s="466">
        <v>5825</v>
      </c>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v>16522</v>
      </c>
      <c r="E254" s="617"/>
      <c r="F254" s="617"/>
      <c r="G254" s="617"/>
      <c r="H254" s="617"/>
      <c r="I254" s="617"/>
      <c r="J254" s="617"/>
      <c r="K254" s="1693">
        <f t="shared" si="21"/>
        <v>16522</v>
      </c>
      <c r="L254" s="466">
        <v>10925</v>
      </c>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22217</v>
      </c>
      <c r="E257" s="617"/>
      <c r="F257" s="617"/>
      <c r="G257" s="617"/>
      <c r="H257" s="617"/>
      <c r="I257" s="617"/>
      <c r="J257" s="617"/>
      <c r="K257" s="1691">
        <f>SUM(K245:K256)</f>
        <v>22217</v>
      </c>
      <c r="L257" s="1691">
        <f>SUM(L245:L256)</f>
        <v>16750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v>3085</v>
      </c>
      <c r="E259" s="617"/>
      <c r="F259" s="617"/>
      <c r="G259" s="617"/>
      <c r="H259" s="617"/>
      <c r="I259" s="617"/>
      <c r="J259" s="617"/>
      <c r="K259" s="1693">
        <f>D259</f>
        <v>3085</v>
      </c>
      <c r="L259" s="481">
        <v>2770</v>
      </c>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3085</v>
      </c>
      <c r="E261" s="617"/>
      <c r="F261" s="617"/>
      <c r="G261" s="617"/>
      <c r="H261" s="617"/>
      <c r="I261" s="617"/>
      <c r="J261" s="617"/>
      <c r="K261" s="1691">
        <f>SUM(K259:K260)</f>
        <v>3085</v>
      </c>
      <c r="L261" s="1691">
        <f>SUM(L259:L260)</f>
        <v>2770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v>11359</v>
      </c>
      <c r="E264" s="617"/>
      <c r="F264" s="617"/>
      <c r="G264" s="617"/>
      <c r="H264" s="617"/>
      <c r="I264" s="617"/>
      <c r="J264" s="617"/>
      <c r="K264" s="1693">
        <f t="shared" ref="K264:K269" si="22">D264</f>
        <v>11359</v>
      </c>
      <c r="L264" s="466">
        <v>11800</v>
      </c>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v>14941</v>
      </c>
      <c r="E266" s="617"/>
      <c r="F266" s="617"/>
      <c r="G266" s="617"/>
      <c r="H266" s="617"/>
      <c r="I266" s="617"/>
      <c r="J266" s="617"/>
      <c r="K266" s="1693">
        <f t="shared" si="22"/>
        <v>14941</v>
      </c>
      <c r="L266" s="466">
        <v>16250</v>
      </c>
    </row>
    <row r="267" spans="1:14" x14ac:dyDescent="0.2">
      <c r="A267" s="1525" t="s">
        <v>1010</v>
      </c>
      <c r="B267" s="615">
        <v>2550</v>
      </c>
      <c r="C267" s="617"/>
      <c r="D267" s="466">
        <v>13549</v>
      </c>
      <c r="E267" s="617"/>
      <c r="F267" s="617"/>
      <c r="G267" s="617"/>
      <c r="H267" s="617"/>
      <c r="I267" s="617"/>
      <c r="J267" s="617"/>
      <c r="K267" s="1693">
        <f t="shared" si="22"/>
        <v>13549</v>
      </c>
      <c r="L267" s="466">
        <v>12825</v>
      </c>
    </row>
    <row r="268" spans="1:14" x14ac:dyDescent="0.2">
      <c r="A268" s="1525" t="s">
        <v>102</v>
      </c>
      <c r="B268" s="615">
        <v>2560</v>
      </c>
      <c r="C268" s="617"/>
      <c r="D268" s="466">
        <v>15263</v>
      </c>
      <c r="E268" s="617"/>
      <c r="F268" s="617"/>
      <c r="G268" s="617"/>
      <c r="H268" s="617"/>
      <c r="I268" s="617"/>
      <c r="J268" s="617"/>
      <c r="K268" s="1693">
        <f t="shared" si="22"/>
        <v>15263</v>
      </c>
      <c r="L268" s="466">
        <v>19225</v>
      </c>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55112</v>
      </c>
      <c r="E270" s="617"/>
      <c r="F270" s="617"/>
      <c r="G270" s="617"/>
      <c r="H270" s="617"/>
      <c r="I270" s="617"/>
      <c r="J270" s="617"/>
      <c r="K270" s="1691">
        <f>SUM(K263:K269)</f>
        <v>55112</v>
      </c>
      <c r="L270" s="1691">
        <f>SUM(L263:L269)</f>
        <v>60100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98078</v>
      </c>
      <c r="E279" s="617"/>
      <c r="F279" s="617"/>
      <c r="G279" s="617"/>
      <c r="H279" s="617"/>
      <c r="I279" s="617"/>
      <c r="J279" s="617"/>
      <c r="K279" s="1698">
        <f>SUM(K238,K243,K257,K261,K270,K277,K278)</f>
        <v>98078</v>
      </c>
      <c r="L279" s="1698">
        <f>SUM(L238,L243,L257,L261,L270,L277,L278)</f>
        <v>96780</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1956</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91">
        <f>SUM(D229,D279,D280,D285)</f>
        <v>173787</v>
      </c>
      <c r="E295" s="617"/>
      <c r="F295" s="617"/>
      <c r="G295" s="617"/>
      <c r="H295" s="1691">
        <f>H293</f>
        <v>0</v>
      </c>
      <c r="I295" s="617"/>
      <c r="J295" s="617"/>
      <c r="K295" s="1691">
        <f>SUM(K229,K279,K280,K285,K293,K294)</f>
        <v>173787</v>
      </c>
      <c r="L295" s="1691">
        <f>SUM(L229,L279,L280,L285,L293,L294)</f>
        <v>168595</v>
      </c>
    </row>
    <row r="296" spans="1:14" ht="13.5" thickTop="1" x14ac:dyDescent="0.2">
      <c r="A296" s="2198" t="s">
        <v>1053</v>
      </c>
      <c r="B296" s="2199"/>
      <c r="C296" s="617"/>
      <c r="D296" s="619"/>
      <c r="E296" s="617"/>
      <c r="F296" s="617"/>
      <c r="G296" s="617"/>
      <c r="H296" s="688"/>
      <c r="I296" s="617"/>
      <c r="J296" s="617"/>
      <c r="K296" s="1705">
        <f>'Revenues 9-14'!G275-'Expenditures 15-22'!K295</f>
        <v>36470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1961</v>
      </c>
      <c r="B306" s="691" t="s">
        <v>1956</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2" t="s">
        <v>1053</v>
      </c>
      <c r="B313" s="2183"/>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v>42475</v>
      </c>
      <c r="F322" s="467"/>
      <c r="G322" s="467"/>
      <c r="H322" s="467"/>
      <c r="I322" s="467"/>
      <c r="J322" s="467"/>
      <c r="K322" s="1692">
        <f t="shared" si="24"/>
        <v>42475</v>
      </c>
      <c r="L322" s="467">
        <v>42476</v>
      </c>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v>99051</v>
      </c>
      <c r="D325" s="467">
        <v>2533</v>
      </c>
      <c r="E325" s="467"/>
      <c r="F325" s="467"/>
      <c r="G325" s="467"/>
      <c r="H325" s="467"/>
      <c r="I325" s="467"/>
      <c r="J325" s="467"/>
      <c r="K325" s="1692">
        <f t="shared" si="24"/>
        <v>101584</v>
      </c>
      <c r="L325" s="467">
        <v>101566</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v>15178</v>
      </c>
      <c r="F327" s="467"/>
      <c r="G327" s="467"/>
      <c r="H327" s="467"/>
      <c r="I327" s="467"/>
      <c r="J327" s="467"/>
      <c r="K327" s="1692">
        <f t="shared" si="24"/>
        <v>15178</v>
      </c>
      <c r="L327" s="467">
        <v>15177</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99051</v>
      </c>
      <c r="D330" s="1691">
        <f t="shared" ref="D330:J330" si="25">SUM(D319:D329)</f>
        <v>2533</v>
      </c>
      <c r="E330" s="1691">
        <f t="shared" si="25"/>
        <v>57653</v>
      </c>
      <c r="F330" s="1691">
        <f t="shared" si="25"/>
        <v>0</v>
      </c>
      <c r="G330" s="1691">
        <f t="shared" si="25"/>
        <v>0</v>
      </c>
      <c r="H330" s="1691">
        <f t="shared" si="25"/>
        <v>0</v>
      </c>
      <c r="I330" s="1691">
        <f t="shared" si="25"/>
        <v>0</v>
      </c>
      <c r="J330" s="1691">
        <f t="shared" si="25"/>
        <v>0</v>
      </c>
      <c r="K330" s="1691">
        <f>SUM(K319:K329)</f>
        <v>159237</v>
      </c>
      <c r="L330" s="1691">
        <f>SUM(L319:L329)</f>
        <v>159219</v>
      </c>
      <c r="M330" s="666"/>
      <c r="N330" s="666"/>
    </row>
    <row r="331" spans="1:14" s="675" customFormat="1" ht="12.75" customHeight="1" thickTop="1" x14ac:dyDescent="0.2">
      <c r="A331" s="1853" t="s">
        <v>1962</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1956</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1958</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1963</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99051</v>
      </c>
      <c r="D342" s="1691">
        <f>SUM(D330)</f>
        <v>2533</v>
      </c>
      <c r="E342" s="1691">
        <f>SUM(E330)</f>
        <v>57653</v>
      </c>
      <c r="F342" s="1691">
        <f>SUM(F330)</f>
        <v>0</v>
      </c>
      <c r="G342" s="1691">
        <f>SUM(G330)</f>
        <v>0</v>
      </c>
      <c r="H342" s="1691">
        <f>SUM(H330,H334,H340)</f>
        <v>0</v>
      </c>
      <c r="I342" s="1691">
        <f>SUM(I330)</f>
        <v>0</v>
      </c>
      <c r="J342" s="1691">
        <f>SUM(J330)</f>
        <v>0</v>
      </c>
      <c r="K342" s="1691">
        <f>SUM(K330,K334,K340)</f>
        <v>159237</v>
      </c>
      <c r="L342" s="1698">
        <f>SUM(L330,L340,L341)</f>
        <v>159219</v>
      </c>
    </row>
    <row r="343" spans="1:14" ht="12.75" customHeight="1" thickTop="1" x14ac:dyDescent="0.2">
      <c r="A343" s="2184" t="s">
        <v>1053</v>
      </c>
      <c r="B343" s="2185"/>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v>1021</v>
      </c>
      <c r="G348" s="466">
        <v>1938</v>
      </c>
      <c r="H348" s="466"/>
      <c r="I348" s="467"/>
      <c r="J348" s="467"/>
      <c r="K348" s="1692">
        <f>SUM(C348:J348)</f>
        <v>2959</v>
      </c>
      <c r="L348" s="466">
        <v>7500</v>
      </c>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1021</v>
      </c>
      <c r="G350" s="1691">
        <f t="shared" si="26"/>
        <v>1938</v>
      </c>
      <c r="H350" s="1691">
        <f t="shared" si="26"/>
        <v>0</v>
      </c>
      <c r="I350" s="1691">
        <f t="shared" si="26"/>
        <v>0</v>
      </c>
      <c r="J350" s="1691">
        <f t="shared" si="26"/>
        <v>0</v>
      </c>
      <c r="K350" s="1691">
        <f t="shared" si="26"/>
        <v>2959</v>
      </c>
      <c r="L350" s="1691">
        <f t="shared" si="26"/>
        <v>7500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1021</v>
      </c>
      <c r="G352" s="1691">
        <f t="shared" si="27"/>
        <v>1938</v>
      </c>
      <c r="H352" s="1691">
        <f t="shared" si="27"/>
        <v>0</v>
      </c>
      <c r="I352" s="1691">
        <f t="shared" si="27"/>
        <v>0</v>
      </c>
      <c r="J352" s="1691">
        <f t="shared" si="27"/>
        <v>0</v>
      </c>
      <c r="K352" s="1691">
        <f t="shared" si="27"/>
        <v>2959</v>
      </c>
      <c r="L352" s="1691">
        <f t="shared" si="27"/>
        <v>7500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1964</v>
      </c>
      <c r="B354" s="684" t="s">
        <v>1956</v>
      </c>
      <c r="C354" s="617"/>
      <c r="D354" s="617"/>
      <c r="E354" s="617"/>
      <c r="F354" s="617"/>
      <c r="G354" s="617"/>
      <c r="H354" s="474"/>
      <c r="I354" s="702"/>
      <c r="J354" s="617"/>
      <c r="K354" s="1720">
        <f>H354</f>
        <v>0</v>
      </c>
      <c r="L354" s="471"/>
    </row>
    <row r="355" spans="1:14" ht="12.75" customHeight="1" x14ac:dyDescent="0.2">
      <c r="A355" s="1534" t="s">
        <v>1965</v>
      </c>
      <c r="B355" s="691" t="s">
        <v>1958</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1021</v>
      </c>
      <c r="G367" s="1691">
        <f t="shared" si="28"/>
        <v>1938</v>
      </c>
      <c r="H367" s="1691">
        <f t="shared" si="28"/>
        <v>0</v>
      </c>
      <c r="I367" s="1691">
        <f t="shared" si="28"/>
        <v>0</v>
      </c>
      <c r="J367" s="1691">
        <f t="shared" si="28"/>
        <v>0</v>
      </c>
      <c r="K367" s="1691">
        <f t="shared" si="28"/>
        <v>2959</v>
      </c>
      <c r="L367" s="1691">
        <f t="shared" si="28"/>
        <v>7500</v>
      </c>
    </row>
    <row r="368" spans="1:14" ht="13.5" thickTop="1" x14ac:dyDescent="0.2">
      <c r="A368" s="2198" t="s">
        <v>1053</v>
      </c>
      <c r="B368" s="2199"/>
      <c r="C368" s="655"/>
      <c r="D368" s="655"/>
      <c r="E368" s="627"/>
      <c r="F368" s="627"/>
      <c r="G368" s="627"/>
      <c r="H368" s="627"/>
      <c r="I368" s="627"/>
      <c r="J368" s="624"/>
      <c r="K368" s="1692">
        <f>'Revenues 9-14'!K275-'Expenditures 15-22'!K367</f>
        <v>15091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purl.org/dc/elements/1.1/"/>
    <ds:schemaRef ds:uri="http://schemas.microsoft.com/office/2006/documentManagement/types"/>
    <ds:schemaRef ds:uri="http://purl.org/dc/dcmitype/"/>
    <ds:schemaRef ds:uri="6ce3111e-7420-4802-b50a-75d4e9a0b980"/>
    <ds:schemaRef ds:uri="http://www.w3.org/XML/1998/namespace"/>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2018-08-31T15:34:07Z</cp:lastPrinted>
  <dcterms:created xsi:type="dcterms:W3CDTF">2003-10-29T19:06:34Z</dcterms:created>
  <dcterms:modified xsi:type="dcterms:W3CDTF">2018-10-11T19:08:52Z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