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424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M19" i="3" l="1"/>
  <c r="E349" i="29"/>
  <c r="F182" i="29"/>
  <c r="E182" i="29"/>
  <c r="F124" i="29"/>
  <c r="E124" i="29"/>
  <c r="E5" i="29"/>
  <c r="E49" i="29"/>
  <c r="D5" i="29"/>
  <c r="C5" i="29"/>
  <c r="C4" i="3"/>
  <c r="L10" i="37" l="1"/>
  <c r="H10" i="37"/>
  <c r="F10" i="37"/>
  <c r="D10" i="3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B7727" i="106" s="1"/>
  <c r="D7727" i="106" s="1"/>
  <c r="B7729" i="106"/>
  <c r="B7734" i="106"/>
  <c r="D7734" i="106" s="1"/>
  <c r="B7726" i="106"/>
  <c r="D76" i="36"/>
  <c r="F162" i="34"/>
  <c r="B30" i="36"/>
  <c r="B33" i="36" s="1"/>
  <c r="B43" i="36" s="1"/>
  <c r="B56" i="36" s="1"/>
  <c r="B66" i="36" s="1"/>
  <c r="B70" i="36" s="1"/>
  <c r="B74" i="36" s="1"/>
  <c r="D73" i="36"/>
  <c r="C191" i="5"/>
  <c r="C201" i="5"/>
  <c r="B5246" i="106" s="1"/>
  <c r="D5246" i="106" s="1"/>
  <c r="C211" i="5"/>
  <c r="B5260" i="106" s="1"/>
  <c r="D5260" i="106" s="1"/>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D26" i="108"/>
  <c r="E26" i="108"/>
  <c r="F26" i="108"/>
  <c r="G26" i="108"/>
  <c r="D27" i="108"/>
  <c r="E27" i="108"/>
  <c r="F27" i="108"/>
  <c r="G27"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c r="D5112" i="106" s="1"/>
  <c r="C108" i="5"/>
  <c r="B5120" i="106"/>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F128" i="34" s="1"/>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33" i="118"/>
  <c r="J22" i="37"/>
  <c r="D24" i="37"/>
  <c r="B4270" i="106" s="1"/>
  <c r="D4270" i="106" s="1"/>
  <c r="D4" i="7"/>
  <c r="B1760" i="106" s="1"/>
  <c r="D1760" i="106" s="1"/>
  <c r="D13" i="7"/>
  <c r="B3726" i="106" s="1"/>
  <c r="D3726" i="106" s="1"/>
  <c r="D9" i="7"/>
  <c r="B1767" i="106" s="1"/>
  <c r="D1767" i="106" s="1"/>
  <c r="B5770" i="106"/>
  <c r="D5770" i="106" s="1"/>
  <c r="F131" i="34"/>
  <c r="F127" i="34"/>
  <c r="B5752" i="106"/>
  <c r="D5752" i="106" s="1"/>
  <c r="K274" i="5"/>
  <c r="H173" i="5"/>
  <c r="B5906" i="106" s="1"/>
  <c r="D5906" i="106" s="1"/>
  <c r="H109" i="5"/>
  <c r="B6025" i="106" s="1"/>
  <c r="D6025" i="106" s="1"/>
  <c r="F106" i="34"/>
  <c r="D7" i="7"/>
  <c r="B1763" i="106" s="1"/>
  <c r="D1763" i="106" s="1"/>
  <c r="H6" i="4"/>
  <c r="B2656" i="106" s="1"/>
  <c r="D2656" i="106" s="1"/>
  <c r="B1746" i="106"/>
  <c r="D1746" i="106" s="1"/>
  <c r="D17" i="7"/>
  <c r="B4104" i="106" s="1"/>
  <c r="D4104" i="106" s="1"/>
  <c r="D12" i="7"/>
  <c r="B1769" i="106" s="1"/>
  <c r="D1769" i="106" s="1"/>
  <c r="D15" i="7"/>
  <c r="B1772" i="106" s="1"/>
  <c r="D1772" i="106" s="1"/>
  <c r="B5847" i="106" l="1"/>
  <c r="D5847" i="106" s="1"/>
  <c r="D5" i="4"/>
  <c r="B3406" i="106" s="1"/>
  <c r="D3406" i="106" s="1"/>
  <c r="I173" i="5"/>
  <c r="B4216" i="106" s="1"/>
  <c r="D4216" i="106" s="1"/>
  <c r="L312" i="29"/>
  <c r="D7245" i="106"/>
  <c r="I342" i="29"/>
  <c r="B7222" i="106" s="1"/>
  <c r="D7222" i="106" s="1"/>
  <c r="B6191" i="106"/>
  <c r="D6191" i="106" s="1"/>
  <c r="J41" i="3"/>
  <c r="D6103" i="106"/>
  <c r="G352" i="29"/>
  <c r="C352" i="29"/>
  <c r="K41" i="3"/>
  <c r="L15" i="11"/>
  <c r="B3459" i="106" s="1"/>
  <c r="D3459" i="106" s="1"/>
  <c r="H44" i="4"/>
  <c r="I24" i="12"/>
  <c r="I26" i="12" s="1"/>
  <c r="B7741" i="106" s="1"/>
  <c r="D7741" i="106" s="1"/>
  <c r="H28" i="118"/>
  <c r="K285" i="29"/>
  <c r="E174" i="29"/>
  <c r="B1309" i="106" s="1"/>
  <c r="D1309" i="106" s="1"/>
  <c r="C129" i="29"/>
  <c r="B1329" i="106"/>
  <c r="D1329" i="106" s="1"/>
  <c r="F61" i="34"/>
  <c r="D54" i="36"/>
  <c r="B3649" i="106"/>
  <c r="D3649" i="106" s="1"/>
  <c r="G367" i="29"/>
  <c r="K350" i="29"/>
  <c r="D11" i="7"/>
  <c r="B1768" i="106" s="1"/>
  <c r="D1768" i="106" s="1"/>
  <c r="H4" i="4"/>
  <c r="B2655" i="106" s="1"/>
  <c r="D2655" i="106" s="1"/>
  <c r="B1410" i="106"/>
  <c r="D1410" i="106" s="1"/>
  <c r="G4" i="4"/>
  <c r="B2603" i="106" s="1"/>
  <c r="D2603" i="106" s="1"/>
  <c r="G29" i="108"/>
  <c r="E29" i="108"/>
  <c r="K184" i="29"/>
  <c r="F13" i="4" s="1"/>
  <c r="B2596" i="106" s="1"/>
  <c r="D2596" i="106" s="1"/>
  <c r="F111" i="34"/>
  <c r="E109" i="5"/>
  <c r="E4" i="4" s="1"/>
  <c r="B2630" i="106" s="1"/>
  <c r="D2630" i="106" s="1"/>
  <c r="D109" i="5"/>
  <c r="D5" i="7"/>
  <c r="B1761" i="106" s="1"/>
  <c r="D1761" i="106" s="1"/>
  <c r="F28" i="108"/>
  <c r="E28" i="108"/>
  <c r="F130" i="34"/>
  <c r="C172" i="5"/>
  <c r="F94" i="34"/>
  <c r="C109" i="5"/>
  <c r="B5121" i="106" s="1"/>
  <c r="D5121" i="106" s="1"/>
  <c r="B5066" i="106"/>
  <c r="D5066" i="106" s="1"/>
  <c r="L342" i="29"/>
  <c r="D11" i="37"/>
  <c r="D31" i="36"/>
  <c r="H29" i="118"/>
  <c r="K28" i="118" s="1"/>
  <c r="O27" i="118" s="1"/>
  <c r="O29" i="118" s="1"/>
  <c r="L5" i="11"/>
  <c r="B2056" i="106" s="1"/>
  <c r="D2056" i="106" s="1"/>
  <c r="D68" i="36"/>
  <c r="L13" i="11"/>
  <c r="B2060" i="106" s="1"/>
  <c r="D2060" i="106" s="1"/>
  <c r="K24" i="12"/>
  <c r="B1990" i="106"/>
  <c r="D1990" i="106" s="1"/>
  <c r="B1996" i="106"/>
  <c r="D1996" i="106" s="1"/>
  <c r="J23" i="12"/>
  <c r="B7730" i="106" s="1"/>
  <c r="D7730" i="106" s="1"/>
  <c r="H76" i="4"/>
  <c r="B3298" i="106" s="1"/>
  <c r="D3298" i="106" s="1"/>
  <c r="K76" i="4"/>
  <c r="B3586" i="106" s="1"/>
  <c r="D3586" i="106" s="1"/>
  <c r="J77" i="4"/>
  <c r="B6262" i="106" s="1"/>
  <c r="D6262" i="106" s="1"/>
  <c r="F21" i="8"/>
  <c r="B1870" i="106"/>
  <c r="D1870" i="106" s="1"/>
  <c r="D22" i="37"/>
  <c r="F19" i="7"/>
  <c r="B1807" i="106" s="1"/>
  <c r="D1807"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L114" i="29" s="1"/>
  <c r="K33" i="29"/>
  <c r="B720" i="106"/>
  <c r="D720" i="106" s="1"/>
  <c r="C114" i="29"/>
  <c r="B757" i="106" s="1"/>
  <c r="D757"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H275" i="5"/>
  <c r="B5914" i="106"/>
  <c r="D5914" i="106" s="1"/>
  <c r="J7" i="4"/>
  <c r="B2657" i="106"/>
  <c r="D2657" i="106" s="1"/>
  <c r="H8" i="4"/>
  <c r="D274" i="5"/>
  <c r="B7270" i="106"/>
  <c r="H367" i="29" l="1"/>
  <c r="B3660" i="106" s="1"/>
  <c r="D3660" i="106" s="1"/>
  <c r="B3568" i="106"/>
  <c r="D3568" i="106" s="1"/>
  <c r="D52" i="36"/>
  <c r="D7255" i="106"/>
  <c r="D7253" i="106"/>
  <c r="D7252" i="106"/>
  <c r="F274" i="5"/>
  <c r="F275" i="5" s="1"/>
  <c r="F73" i="34"/>
  <c r="G15" i="4"/>
  <c r="B6032" i="106" s="1"/>
  <c r="D6032" i="106" s="1"/>
  <c r="B3621" i="106"/>
  <c r="D3621" i="106" s="1"/>
  <c r="C367" i="29"/>
  <c r="B3622" i="106" s="1"/>
  <c r="D3622" i="106" s="1"/>
  <c r="K342" i="29"/>
  <c r="F13" i="34" s="1"/>
  <c r="B3670" i="106"/>
  <c r="D3670" i="106" s="1"/>
  <c r="K352" i="29"/>
  <c r="F6" i="4"/>
  <c r="B2593" i="106" s="1"/>
  <c r="D2593" i="106" s="1"/>
  <c r="B5356" i="106"/>
  <c r="D5356" i="106" s="1"/>
  <c r="D4" i="4"/>
  <c r="B2564" i="106" s="1"/>
  <c r="D2564" i="106" s="1"/>
  <c r="B5214" i="106"/>
  <c r="D5214" i="106" s="1"/>
  <c r="C173" i="5"/>
  <c r="L16" i="11"/>
  <c r="B2061" i="106" s="1"/>
  <c r="D2061" i="106" s="1"/>
  <c r="B7733" i="106"/>
  <c r="D7733" i="106" s="1"/>
  <c r="K26" i="12"/>
  <c r="B7743" i="106" s="1"/>
  <c r="D7743" i="106" s="1"/>
  <c r="J24" i="12"/>
  <c r="B7732" i="106" s="1"/>
  <c r="D7732" i="106" s="1"/>
  <c r="H77" i="4"/>
  <c r="B3299" i="106" s="1"/>
  <c r="D3299" i="106" s="1"/>
  <c r="B2031" i="106"/>
  <c r="D2031" i="106" s="1"/>
  <c r="B1879" i="106"/>
  <c r="D1879" i="106" s="1"/>
  <c r="H22" i="37"/>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2658" i="106"/>
  <c r="D2658" i="106" s="1"/>
  <c r="H10" i="4"/>
  <c r="B4127" i="106" s="1"/>
  <c r="D4127" i="106" s="1"/>
  <c r="D7" i="4"/>
  <c r="D275" i="5"/>
  <c r="B5507" i="106"/>
  <c r="D5507" i="106" s="1"/>
  <c r="B7298" i="106"/>
  <c r="B7299" i="106"/>
  <c r="K13" i="4" l="1"/>
  <c r="B3572" i="106" s="1"/>
  <c r="D3572" i="106" s="1"/>
  <c r="B3672" i="106"/>
  <c r="D3672" i="106" s="1"/>
  <c r="K367" i="29"/>
  <c r="K368" i="29" s="1"/>
  <c r="B3681" i="106" s="1"/>
  <c r="D3681" i="106" s="1"/>
  <c r="J8" i="4"/>
  <c r="F8" i="4"/>
  <c r="B1145" i="106"/>
  <c r="D1145" i="106" s="1"/>
  <c r="E41" i="108"/>
  <c r="E44" i="108" s="1"/>
  <c r="E45" i="108" s="1"/>
  <c r="G41" i="108"/>
  <c r="G44" i="108" s="1"/>
  <c r="G45" i="108" s="1"/>
  <c r="B5223" i="106"/>
  <c r="D5223" i="106" s="1"/>
  <c r="C6" i="4"/>
  <c r="B2553" i="106" s="1"/>
  <c r="D2553" i="106" s="1"/>
  <c r="J26" i="12"/>
  <c r="B7742" i="106" s="1"/>
  <c r="D7742" i="106" s="1"/>
  <c r="F24" i="37"/>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3678" i="106" l="1"/>
  <c r="D3678"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<sst xmlns="http://schemas.openxmlformats.org/spreadsheetml/2006/main" count="5031" uniqueCount="2100">
  <si>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</si>
  <si>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</si>
  <si>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</si>
  <si>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</si>
  <si>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</si>
  <si>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</si>
  <si>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</si>
  <si>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</si>
  <si>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</si>
  <si>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</si>
  <si>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</si>
  <si>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</si>
  <si>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</si>
  <si>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</si>
  <si>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</si>
  <si>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</si>
  <si>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</si>
  <si>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</si>
  <si>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</si>
  <si>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</si>
  <si>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</si>
  <si>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</si>
  <si>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</si>
  <si>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</si>
  <si>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</si>
  <si>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</si>
  <si>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</si>
  <si>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</si>
  <si>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</si>
  <si>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</si>
  <si>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</si>
  <si>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</si>
  <si>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</si>
  <si>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</si>
  <si>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</si>
  <si>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</si>
  <si>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</si>
  <si>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</si>
  <si>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</si>
  <si>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</si>
  <si>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</si>
  <si>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</si>
  <si>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</si>
  <si>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</si>
  <si>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</si>
  <si>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</si>
  <si>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</si>
  <si>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</si>
  <si>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</si>
  <si>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</si>
  <si>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</si>
  <si>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</si>
  <si>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</si>
  <si>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</si>
  <si>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</si>
  <si>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</si>
  <si>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</si>
  <si>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</si>
  <si>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</si>
  <si>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</si>
  <si>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</si>
  <si>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</si>
  <si>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</si>
  <si>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</si>
  <si>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</si>
  <si>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</si>
  <si>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</si>
  <si>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</si>
  <si>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</si>
  <si>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</si>
  <si>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</si>
  <si>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</si>
  <si>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</si>
  <si>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</si>
  <si>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</si>
  <si>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</si>
  <si>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</si>
  <si>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</si>
  <si>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</si>
  <si>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</si>
  <si>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</si>
  <si>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</si>
  <si>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</si>
  <si>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</si>
  <si>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</si>
  <si>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</si>
  <si>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</si>
  <si>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</si>
  <si>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</si>
  <si>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</si>
  <si>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</si>
  <si>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</si>
  <si>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</si>
  <si>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</si>
  <si>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</si>
  <si>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</si>
  <si>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</si>
  <si>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</si>
  <si>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</si>
  <si>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</si>
  <si>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</si>
  <si>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</si>
  <si>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</si>
  <si>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</si>
  <si>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</si>
  <si>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</si>
  <si>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</si>
  <si>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</si>
  <si>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</si>
  <si>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</si>
  <si>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</si>
  <si>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</si>
  <si>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</si>
  <si>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</si>
  <si>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</si>
  <si>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</si>
  <si>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</si>
  <si>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</si>
  <si>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</si>
  <si>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</si>
  <si>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</si>
  <si>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</si>
  <si>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</si>
  <si>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</si>
  <si>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</si>
  <si>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</si>
  <si>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</si>
  <si>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</si>
  <si>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</si>
  <si>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</si>
  <si>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</si>
  <si>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</si>
  <si>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</si>
  <si>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</si>
  <si>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</si>
  <si>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</si>
  <si>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</si>
  <si>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</si>
  <si>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</si>
  <si>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</si>
  <si>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</si>
  <si>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</si>
  <si>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</si>
  <si>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</si>
  <si>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</si>
  <si>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</si>
  <si>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</si>
  <si>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</si>
  <si>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</si>
  <si>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</si>
  <si>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</si>
  <si>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</si>
  <si>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</si>
  <si>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</si>
  <si>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</si>
  <si>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</si>
  <si>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</si>
  <si>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</si>
  <si>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</si>
  <si>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</si>
  <si>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</si>
  <si>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</si>
  <si>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</si>
  <si>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</si>
  <si>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</si>
  <si>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</si>
  <si>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</si>
  <si>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</si>
  <si>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</si>
  <si>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</si>
  <si>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</si>
  <si>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</si>
  <si>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</si>
  <si>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</si>
  <si>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</si>
  <si>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</si>
  <si>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</si>
  <si>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</si>
  <si>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</si>
  <si>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</si>
  <si>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</si>
  <si>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</si>
  <si>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</si>
  <si>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</si>
  <si>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</si>
  <si>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</si>
  <si>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</si>
  <si>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</si>
  <si>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</si>
  <si>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</si>
  <si>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</si>
  <si>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</si>
  <si>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</si>
  <si>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</si>
  <si>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</si>
  <si>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</si>
  <si>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</si>
  <si>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</si>
  <si>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</si>
  <si>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</si>
  <si>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</si>
  <si>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</si>
  <si>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</si>
  <si>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</si>
  <si>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</si>
  <si>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</si>
  <si>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</si>
  <si>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</si>
  <si>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</si>
  <si>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</si>
  <si>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</si>
  <si>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</si>
  <si>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</si>
  <si>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</si>
  <si>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</si>
  <si>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</si>
  <si>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</si>
  <si>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</si>
  <si>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</si>
  <si>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</si>
  <si>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</si>
  <si>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</si>
  <si>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</si>
  <si>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</si>
  <si>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</si>
  <si>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</si>
  <si>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</si>
  <si>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</si>
  <si>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</si>
  <si>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</si>
  <si>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</si>
  <si>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</si>
  <si>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</si>
  <si>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</si>
  <si>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</si>
  <si>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</si>
  <si>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</si>
  <si>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</si>
  <si>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</si>
  <si>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</si>
  <si>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</si>
  <si>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</si>
  <si>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</si>
  <si>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</si>
  <si>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</si>
  <si>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</si>
  <si>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</si>
  <si>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</si>
  <si>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</si>
  <si>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</si>
  <si>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</si>
  <si>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</si>
  <si>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</si>
  <si>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</si>
  <si>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</si>
  <si>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</si>
  <si>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</si>
  <si>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</si>
  <si>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</si>
  <si>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</si>
  <si>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</si>
  <si>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</si>
  <si>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</si>
  <si>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</si>
  <si>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</si>
  <si>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</si>
  <si>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</si>
  <si>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</si>
  <si>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</si>
  <si>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</si>
  <si>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</si>
  <si>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</si>
  <si>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</si>
  <si>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</si>
  <si>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</si>
  <si>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</si>
  <si>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</si>
  <si>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</si>
  <si>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</si>
  <si>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</si>
  <si>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</si>
  <si>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</si>
  <si>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</si>
  <si>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</si>
  <si>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</si>
  <si>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</si>
  <si>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</si>
  <si>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</si>
  <si>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</si>
  <si>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</si>
  <si>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</si>
  <si>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</si>
  <si>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</si>
  <si>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</si>
  <si>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</si>
  <si>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</si>
  <si>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</si>
  <si>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</si>
  <si>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</si>
  <si>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</si>
  <si>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</si>
  <si>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</si>
  <si>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</si>
  <si>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</si>
  <si>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</si>
  <si>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</si>
  <si>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</si>
  <si>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</si>
  <si>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</si>
  <si>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</si>
  <si>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</si>
  <si>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</si>
  <si>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</si>
  <si>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</si>
  <si>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</si>
  <si>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</si>
  <si>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</si>
  <si>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</si>
  <si>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</si>
  <si>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</si>
  <si>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</si>
  <si>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</si>
  <si>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</si>
  <si>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</si>
  <si>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</si>
  <si>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</si>
  <si>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</si>
  <si>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</si>
  <si>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</si>
  <si>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</si>
  <si>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</si>
  <si>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</si>
  <si>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</si>
  <si>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</si>
  <si>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</si>
  <si>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</si>
  <si>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</si>
  <si>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</si>
  <si>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</si>
  <si>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</si>
  <si>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</si>
  <si>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</si>
  <si>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</si>
  <si>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</si>
  <si>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</si>
  <si>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</si>
  <si>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</si>
  <si>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</si>
  <si>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</si>
  <si>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</si>
  <si>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</si>
  <si>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</si>
  <si>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</si>
  <si>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</si>
  <si>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</si>
  <si>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</si>
  <si>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</si>
  <si>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</si>
  <si>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</si>
  <si>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</si>
  <si>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</si>
  <si>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</si>
  <si>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</si>
  <si>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</si>
  <si>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</si>
  <si>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</si>
  <si>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</si>
  <si>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</si>
  <si>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</si>
  <si>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</si>
  <si>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</si>
  <si>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</si>
  <si>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</si>
  <si>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</si>
  <si>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</si>
  <si>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</si>
  <si>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</si>
  <si>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</si>
  <si>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</si>
  <si>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</si>
  <si>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</si>
  <si>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</si>
  <si>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</si>
  <si>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</si>
  <si>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</si>
  <si>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</si>
  <si>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</si>
  <si>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</si>
  <si>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</si>
  <si>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</si>
  <si>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</si>
  <si>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</si>
  <si>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</si>
  <si>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</si>
  <si>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</si>
  <si>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</si>
  <si>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</si>
  <si>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</si>
  <si>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</si>
  <si>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</si>
  <si>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</si>
  <si>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</si>
  <si>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</si>
  <si>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</si>
  <si>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</si>
  <si>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</si>
  <si>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</si>
  <si>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</si>
  <si>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</si>
  <si>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</si>
  <si>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</si>
  <si>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</si>
  <si>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</si>
  <si>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</si>
  <si>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</si>
  <si>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</si>
  <si>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</si>
  <si>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</si>
  <si>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</si>
  <si>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</si>
  <si>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</si>
  <si>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</si>
  <si>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</si>
  <si>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</si>
  <si>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</si>
  <si>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</si>
  <si>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</si>
  <si>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</si>
  <si>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</si>
  <si>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</si>
  <si>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</si>
  <si>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</si>
  <si>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</si>
  <si>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</si>
  <si>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</si>
  <si>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</si>
  <si>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</si>
  <si>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</si>
  <si>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</si>
  <si>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</si>
  <si>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</si>
  <si>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</si>
  <si>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</si>
  <si>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</si>
  <si>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</si>
  <si>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</si>
  <si>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</si>
  <si>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</si>
  <si>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</si>
  <si>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</si>
  <si>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</si>
  <si>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</si>
  <si>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</si>
  <si>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</si>
  <si>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</si>
  <si>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</si>
  <si>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</si>
  <si>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</si>
  <si>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</si>
  <si>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</si>
  <si>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</si>
  <si>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</si>
  <si>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</si>
  <si>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</si>
  <si>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</si>
  <si>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</si>
  <si>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</si>
  <si>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</si>
  <si>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</si>
  <si>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</si>
  <si>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</si>
  <si>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</si>
  <si>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</si>
  <si>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</si>
  <si>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</si>
  <si>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</si>
  <si>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</si>
  <si>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</si>
  <si>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</si>
  <si>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</si>
  <si>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</si>
  <si>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</si>
  <si>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</si>
  <si>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</si>
  <si>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</si>
  <si>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</si>
  <si>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</si>
  <si>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</si>
  <si>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</si>
  <si>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</si>
  <si>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</si>
  <si>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</si>
  <si>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</si>
  <si>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</si>
  <si>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</si>
  <si>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</si>
  <si>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</si>
  <si>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</si>
  <si>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</si>
  <si>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</si>
  <si>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</si>
  <si>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</si>
  <si>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</si>
  <si>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</si>
  <si>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</si>
  <si>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</si>
  <si>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</si>
  <si>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</si>
  <si>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</si>
  <si>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</si>
  <si>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</si>
  <si>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</si>
  <si>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</si>
  <si>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</si>
  <si>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</si>
  <si>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</si>
  <si>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</si>
  <si>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</si>
  <si>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</si>
  <si>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</si>
  <si>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</si>
  <si>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</si>
  <si>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</si>
  <si>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</si>
  <si>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</si>
  <si>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</si>
  <si>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</si>
  <si>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</si>
  <si>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</si>
  <si>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</si>
  <si>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</si>
  <si>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</si>
  <si>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</si>
  <si>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</si>
  <si>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</si>
  <si>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</si>
  <si>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</si>
  <si>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</si>
  <si>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</si>
  <si>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</si>
  <si>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</si>
  <si>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</si>
  <si>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</si>
  <si>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</si>
  <si>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</si>
  <si>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</si>
  <si>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</si>
  <si>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</si>
  <si>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</si>
  <si>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</si>
  <si>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</si>
  <si>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</si>
  <si>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</si>
  <si>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</si>
  <si>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</si>
  <si>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</si>
  <si>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</si>
  <si>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</si>
  <si>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</si>
  <si>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</si>
  <si>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</si>
  <si>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</si>
  <si>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</si>
  <si>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</si>
  <si>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</si>
  <si>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</si>
  <si>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</si>
  <si>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</si>
  <si>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</si>
  <si>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</si>
  <si>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</si>
  <si>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</si>
  <si>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</si>
  <si>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</si>
  <si>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</si>
  <si>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</si>
  <si>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</si>
  <si>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</si>
  <si>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</si>
  <si>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</si>
  <si>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</si>
  <si>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</si>
  <si>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</si>
  <si>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</si>
  <si>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</si>
  <si>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</si>
  <si>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</si>
  <si>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</si>
  <si>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</si>
  <si>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</si>
  <si>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</si>
  <si>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</si>
  <si>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</si>
  <si>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</si>
  <si>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</si>
  <si>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</si>
  <si>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</si>
  <si>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</si>
  <si>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</si>
  <si>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</si>
  <si>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</si>
  <si>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</si>
  <si>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</si>
  <si>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</si>
  <si>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</si>
  <si>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</si>
  <si>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</si>
  <si>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</si>
  <si>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</si>
  <si>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</si>
  <si>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</si>
  <si>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</si>
  <si>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</si>
  <si>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</si>
  <si>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</si>
  <si>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</si>
  <si>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</si>
  <si>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</si>
  <si>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</si>
  <si>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</si>
  <si>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</si>
  <si>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</si>
  <si>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</si>
  <si>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</si>
  <si>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</si>
  <si>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</si>
  <si>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</si>
  <si>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</si>
  <si>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</si>
  <si>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</si>
  <si>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</si>
  <si>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</si>
  <si>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</si>
  <si>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</si>
  <si>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</si>
  <si>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</si>
  <si>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</si>
  <si>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</si>
  <si>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</si>
  <si>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</si>
  <si>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</si>
  <si>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</si>
  <si>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</si>
  <si>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</si>
  <si>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</si>
  <si>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</si>
  <si>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</si>
  <si>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</si>
  <si>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</si>
  <si>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</si>
  <si>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</si>
  <si>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</si>
  <si>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</si>
  <si>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</si>
  <si>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</si>
  <si>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</si>
  <si>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</si>
  <si>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</si>
  <si>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</si>
  <si>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</si>
  <si>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</si>
  <si>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</si>
  <si>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</si>
  <si>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</si>
  <si>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</si>
  <si>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</si>
  <si>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</si>
  <si>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</si>
  <si>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</si>
  <si>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</si>
  <si>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</si>
  <si>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</si>
  <si>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</si>
  <si>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</si>
  <si>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</si>
  <si>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</si>
  <si>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</si>
  <si>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</si>
  <si>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</si>
  <si>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</si>
  <si>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</si>
  <si>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</si>
  <si>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</si>
  <si>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</si>
  <si>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</si>
  <si>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</si>
  <si>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</si>
  <si>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</si>
  <si>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</si>
  <si>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</si>
  <si>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</si>
  <si>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</si>
  <si>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</si>
  <si>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</si>
  <si>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</si>
  <si>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</si>
  <si>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</si>
  <si>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</si>
  <si>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</si>
  <si>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</si>
  <si>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</si>
  <si>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</si>
  <si>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</si>
  <si>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</si>
  <si>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</si>
  <si>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</si>
  <si>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</si>
  <si>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</si>
  <si>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</si>
  <si>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</si>
  <si>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</si>
  <si>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</si>
  <si>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</si>
  <si>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</si>
  <si>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</si>
  <si>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</si>
  <si>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</si>
  <si>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</si>
  <si>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</si>
  <si>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</si>
  <si>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</si>
  <si>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</si>
  <si>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</si>
  <si>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</si>
  <si>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</si>
  <si>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</si>
  <si>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</si>
  <si>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</si>
  <si>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</si>
  <si>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</si>
  <si>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</si>
  <si>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</si>
  <si>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</si>
  <si>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</si>
  <si>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</si>
  <si>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</si>
  <si>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</si>
  <si>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</si>
  <si>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</si>
  <si>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</si>
  <si>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</si>
  <si>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</si>
  <si>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</si>
  <si>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</si>
  <si>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</si>
  <si>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</si>
  <si>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</si>
  <si>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</si>
  <si>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</si>
  <si>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</si>
  <si>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</si>
  <si>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</si>
  <si>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</si>
  <si>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</si>
  <si>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</si>
  <si>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</si>
  <si>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</si>
  <si>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</si>
  <si>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</si>
  <si>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</si>
  <si>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</si>
  <si>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</si>
  <si>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</si>
  <si>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</si>
  <si>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</si>
  <si>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</si>
  <si>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</si>
  <si>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</si>
  <si>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</si>
  <si>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</si>
  <si>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</si>
  <si>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</si>
  <si>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</si>
  <si>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</si>
  <si>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</si>
  <si>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</si>
  <si>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</si>
  <si>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</si>
  <si>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</si>
  <si>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</si>
  <si>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</si>
  <si>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</si>
  <si>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</si>
  <si>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</si>
  <si>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</si>
  <si>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</si>
  <si>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</si>
  <si>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</si>
  <si>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</si>
  <si>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</si>
  <si>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</si>
  <si>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</si>
  <si>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</si>
  <si>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</si>
  <si>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</si>
  <si>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</si>
  <si>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</si>
  <si>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</si>
  <si>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</si>
  <si>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</si>
  <si>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</si>
  <si>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</si>
  <si>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</si>
  <si>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</si>
  <si>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</si>
  <si>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</si>
  <si>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</si>
  <si>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</si>
  <si>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</si>
  <si>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</si>
  <si>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</si>
  <si>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</si>
  <si>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</si>
  <si>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</si>
  <si>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</si>
  <si>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</si>
  <si>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</si>
  <si>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</si>
  <si>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</si>
  <si>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</si>
  <si>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</si>
  <si>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</si>
  <si>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</si>
  <si>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</si>
  <si>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</si>
  <si>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</si>
  <si>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</si>
  <si>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</si>
  <si>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</si>
  <si>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</si>
  <si>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</si>
  <si>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</si>
  <si>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</si>
  <si>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</si>
  <si>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</si>
  <si>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</si>
  <si>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</si>
  <si>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</si>
  <si>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</si>
  <si>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</si>
  <si>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</si>
  <si>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</si>
  <si>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</si>
  <si>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</si>
  <si>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</si>
  <si>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</si>
  <si>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</si>
  <si>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</si>
  <si>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</si>
  <si>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</si>
  <si>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</si>
  <si>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</si>
  <si>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</si>
  <si>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</si>
  <si>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</si>
  <si>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</si>
  <si>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</si>
  <si>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</si>
  <si>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</si>
  <si>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</si>
  <si>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</si>
  <si>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</si>
  <si>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</si>
  <si>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</si>
  <si>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</si>
  <si>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</si>
  <si>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</si>
  <si>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</si>
  <si>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</si>
  <si>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</si>
  <si>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</si>
  <si>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</si>
  <si>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</si>
  <si>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</si>
  <si>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</si>
  <si>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</si>
  <si>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</si>
  <si>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</si>
  <si>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</si>
  <si>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</si>
  <si>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</si>
  <si>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</si>
  <si>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</si>
  <si>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</si>
  <si>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</si>
  <si>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</si>
  <si>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</si>
  <si>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</si>
  <si>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</si>
  <si>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</si>
  <si>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</si>
  <si>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</si>
  <si>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</si>
  <si>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</si>
  <si>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</si>
  <si>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</si>
  <si>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</si>
  <si>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</si>
  <si>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</si>
  <si>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</si>
  <si>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</si>
  <si>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</si>
  <si>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</si>
  <si>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</si>
  <si>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</si>
  <si>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</si>
  <si>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</si>
  <si>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</si>
  <si>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</si>
  <si>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</si>
  <si>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</si>
  <si>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</si>
  <si>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</si>
  <si>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</si>
  <si>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</si>
  <si>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</si>
  <si>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</si>
  <si>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</si>
  <si>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</si>
  <si>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</si>
  <si>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</si>
  <si>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</si>
  <si>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</si>
  <si>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</si>
  <si>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</si>
  <si>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</si>
  <si>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</si>
  <si>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</si>
  <si>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</si>
  <si>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</si>
  <si>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</si>
  <si>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</si>
  <si>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</si>
  <si>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</si>
  <si>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</si>
  <si>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</si>
  <si>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</si>
  <si>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</si>
  <si>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</si>
  <si>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</si>
  <si>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</si>
  <si>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</si>
  <si>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</si>
  <si>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</si>
  <si>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</si>
  <si>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</si>
  <si>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</si>
  <si>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</si>
  <si>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</si>
  <si>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</si>
  <si>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</si>
  <si>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</si>
  <si>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</si>
  <si>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</si>
  <si>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</si>
  <si>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</si>
  <si>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</si>
  <si>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</si>
  <si>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</si>
  <si>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</si>
  <si>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</si>
  <si>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</si>
  <si>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</si>
  <si>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</si>
  <si>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</si>
  <si>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</si>
  <si>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</si>
  <si>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</si>
  <si>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</si>
  <si>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</si>
  <si>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</si>
  <si>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</si>
  <si>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</si>
  <si>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</si>
  <si>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</si>
  <si>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</si>
  <si>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</si>
  <si>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</si>
  <si>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</si>
  <si>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</si>
  <si>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</si>
  <si>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</si>
  <si>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</si>
  <si>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</si>
  <si>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</si>
  <si>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</si>
  <si>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</si>
  <si>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</si>
  <si>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</si>
  <si>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</si>
  <si>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</si>
  <si>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</si>
  <si>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</si>
  <si>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</si>
  <si>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</si>
  <si>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</si>
  <si>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</si>
  <si>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</si>
  <si>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</si>
  <si>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</si>
  <si>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</si>
  <si>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</si>
  <si>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</si>
  <si>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</si>
  <si>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</si>
  <si>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</si>
  <si>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</si>
  <si>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</si>
  <si>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</si>
  <si>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</si>
  <si>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</si>
  <si>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</si>
  <si>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</si>
  <si>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</si>
  <si>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</si>
  <si>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</si>
  <si>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</si>
  <si>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</si>
  <si>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</si>
  <si>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</si>
  <si>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</si>
  <si>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</si>
  <si>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</si>
  <si>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</si>
  <si>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</si>
  <si>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</si>
  <si>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</si>
  <si>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</si>
  <si>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</si>
  <si>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</si>
  <si>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</si>
  <si>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</si>
  <si>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</si>
  <si>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</si>
  <si>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</si>
  <si>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</si>
  <si>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</si>
  <si>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</si>
  <si>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</si>
  <si>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</si>
  <si>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</si>
  <si>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</si>
  <si>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</si>
  <si>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</si>
  <si>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</si>
  <si>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</si>
  <si>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</si>
  <si>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</si>
  <si>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</si>
  <si>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</si>
  <si>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</si>
  <si>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</si>
  <si>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</si>
  <si>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</si>
  <si>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</si>
  <si>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</si>
  <si>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</si>
  <si>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</si>
  <si>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</si>
  <si>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</si>
  <si>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</si>
  <si>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</si>
  <si>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</si>
  <si>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</si>
  <si>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</si>
  <si>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</si>
  <si>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</si>
  <si>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</si>
  <si>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</si>
  <si>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</si>
  <si>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</si>
  <si>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</si>
  <si>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</si>
  <si>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</si>
  <si>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</si>
  <si>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</si>
  <si>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</si>
  <si>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</si>
  <si>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</si>
  <si>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</si>
  <si>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</si>
  <si>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</si>
  <si>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</si>
  <si>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</si>
  <si>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</si>
  <si>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</si>
  <si>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</si>
  <si>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</si>
  <si>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</si>
  <si>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</si>
  <si>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</si>
  <si>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</si>
  <si>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</si>
  <si>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</si>
  <si>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</si>
  <si>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</si>
  <si>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</si>
  <si>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</si>
  <si>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</si>
  <si>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</si>
  <si>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</si>
  <si>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</si>
  <si>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</si>
  <si>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</si>
  <si>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</si>
  <si>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</si>
  <si>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</si>
  <si>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</si>
  <si>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</si>
  <si>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</si>
  <si>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</si>
  <si>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</si>
  <si>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</si>
  <si>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</si>
  <si>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</si>
  <si>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</si>
  <si>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</si>
  <si>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</si>
  <si>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</si>
  <si>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</si>
  <si>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</si>
  <si>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</si>
  <si>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</si>
  <si>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</si>
  <si>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</si>
  <si>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</si>
  <si>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</si>
  <si>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</si>
  <si>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</si>
  <si>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</si>
  <si>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</si>
  <si>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</si>
  <si>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</si>
  <si>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</si>
  <si>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</si>
  <si>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</si>
  <si>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</si>
  <si>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</si>
  <si>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</si>
  <si>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</si>
  <si>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</si>
  <si>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</si>
  <si>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</si>
  <si>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</si>
  <si>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</si>
  <si>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</si>
  <si>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</si>
  <si>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</si>
  <si>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</si>
  <si>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</si>
  <si>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</si>
  <si>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</si>
  <si>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</si>
  <si>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</si>
  <si>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</si>
  <si>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</si>
  <si>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</si>
  <si>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</si>
  <si>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</si>
  <si>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</si>
  <si>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</si>
  <si>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</si>
  <si>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</si>
  <si>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</si>
  <si>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</si>
  <si>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</si>
  <si>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</si>
  <si>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</si>
  <si>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</si>
  <si>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</si>
  <si>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</si>
  <si>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</si>
  <si>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</si>
  <si>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</si>
  <si>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</si>
  <si>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</si>
  <si>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</si>
  <si>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</si>
  <si>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</si>
  <si>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</si>
  <si>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</si>
  <si>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</si>
  <si>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</si>
  <si>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</si>
  <si>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</si>
  <si>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</si>
  <si>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</si>
  <si>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</si>
  <si>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</si>
  <si>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</si>
  <si>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</si>
  <si>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</si>
  <si>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</si>
  <si>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</si>
  <si>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</si>
  <si>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</si>
  <si>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</si>
  <si>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</si>
  <si>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</si>
  <si>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</si>
  <si>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</si>
  <si>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</si>
  <si>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</si>
  <si>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</si>
  <si>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</si>
  <si>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</si>
  <si>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</si>
  <si>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</si>
  <si>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</si>
  <si>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</si>
  <si>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</si>
  <si>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</si>
  <si>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</si>
  <si>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</si>
  <si>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</si>
  <si>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</si>
  <si>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</si>
  <si>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</si>
  <si>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</si>
  <si>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</si>
  <si>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</si>
  <si>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</si>
  <si>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</si>
  <si>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</si>
  <si>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</si>
  <si>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</si>
  <si>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</si>
  <si>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</si>
  <si>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</si>
  <si>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</si>
  <si>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</si>
  <si>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</si>
  <si>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</si>
  <si>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</si>
  <si>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</si>
  <si>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</si>
  <si>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</si>
  <si>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</si>
  <si>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</si>
  <si>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</si>
  <si>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</si>
  <si>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</si>
  <si>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</si>
  <si>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</si>
  <si>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</si>
  <si>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</si>
  <si>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</si>
  <si>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</si>
  <si>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</si>
  <si>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</si>
  <si>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</si>
  <si>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</si>
  <si>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</si>
  <si>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</si>
  <si>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</si>
  <si>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</si>
  <si>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</si>
  <si>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</si>
  <si>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</si>
  <si>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</si>
  <si>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</si>
  <si>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</si>
  <si>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</si>
  <si>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</si>
  <si>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</si>
  <si>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</si>
  <si>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</si>
  <si>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</si>
  <si>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</si>
  <si>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</si>
  <si>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</si>
  <si>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</si>
  <si>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</si>
  <si>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</si>
  <si>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</si>
  <si>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</si>
  <si>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</si>
  <si>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</si>
  <si>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</si>
  <si>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</si>
  <si>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</si>
  <si>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</si>
  <si>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</si>
  <si>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</si>
  <si>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</si>
  <si>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</si>
  <si>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</si>
  <si>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</si>
  <si>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</si>
  <si>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</si>
  <si>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</si>
  <si>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</si>
  <si>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</si>
  <si>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</si>
  <si>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</si>
  <si>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</si>
  <si>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</si>
  <si>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</si>
  <si>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</si>
  <si>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</si>
  <si>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</si>
  <si>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</si>
  <si>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</si>
  <si>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</si>
  <si>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</si>
  <si>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</si>
  <si>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</si>
  <si>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</si>
  <si>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</si>
  <si>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</si>
  <si>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</si>
  <si>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</si>
  <si>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</si>
  <si>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</si>
  <si>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</si>
  <si>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</si>
  <si>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</si>
  <si>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</si>
  <si>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</si>
  <si>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</si>
  <si>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</si>
  <si>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</si>
  <si>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</si>
  <si>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</si>
  <si>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</si>
  <si>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</si>
  <si>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</si>
  <si>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</si>
  <si>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</si>
  <si>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</si>
  <si>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</si>
  <si>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</si>
  <si>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</si>
  <si>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</si>
  <si>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</si>
  <si>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</si>
  <si>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</si>
  <si>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</si>
  <si>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</si>
  <si>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</si>
  <si>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</si>
  <si>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</si>
  <si>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</si>
  <si>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</si>
  <si>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</si>
  <si>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</si>
  <si>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</si>
  <si>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</si>
  <si>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</si>
  <si>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</si>
  <si>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</si>
  <si>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</si>
  <si>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</si>
  <si>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</si>
  <si>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</si>
  <si>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</si>
  <si>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</si>
  <si>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</si>
  <si>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</si>
  <si>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</si>
  <si>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</si>
  <si>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</si>
  <si>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</si>
  <si>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</si>
  <si>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</si>
  <si>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</si>
  <si>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</si>
  <si>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</si>
  <si>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</si>
  <si>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</si>
  <si>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</si>
  <si>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</si>
  <si>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</si>
  <si>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</si>
  <si>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</si>
  <si>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</si>
  <si>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</si>
  <si>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</si>
  <si>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</si>
  <si>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</si>
  <si>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</si>
  <si>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</si>
  <si>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</si>
  <si>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</si>
  <si>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</si>
  <si>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</si>
  <si>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</si>
  <si>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</si>
  <si>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</si>
  <si>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</si>
  <si>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</si>
  <si>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</si>
  <si>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</si>
  <si>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</si>
  <si>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</si>
  <si>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</si>
  <si>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</si>
  <si>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</si>
  <si>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</si>
  <si>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</si>
  <si>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</si>
  <si>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</si>
  <si>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</si>
  <si>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</si>
  <si>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</si>
  <si>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</si>
  <si>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</si>
  <si>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</si>
  <si>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</si>
  <si>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</si>
  <si>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</si>
  <si>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</si>
  <si>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</si>
  <si>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</si>
  <si>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</si>
  <si>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</si>
  <si>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</si>
  <si>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</si>
  <si>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</si>
  <si>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</si>
  <si>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</si>
  <si>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</si>
  <si>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</si>
  <si>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</si>
  <si>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</si>
  <si>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</si>
  <si>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</si>
  <si>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</si>
  <si>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</si>
  <si>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</si>
  <si>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</si>
  <si>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</si>
  <si>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</si>
  <si>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</si>
  <si>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</si>
  <si>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</si>
  <si>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</si>
  <si>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</si>
  <si>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</si>
  <si>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</si>
  <si>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</si>
  <si>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</si>
  <si>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</si>
  <si>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</si>
  <si>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</si>
  <si>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</si>
  <si>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</si>
  <si>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</si>
  <si>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</si>
  <si>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</si>
  <si>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</si>
  <si>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</si>
  <si>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</si>
  <si>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</si>
  <si>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</si>
  <si>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</si>
  <si>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</si>
  <si>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</si>
  <si>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</si>
  <si>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</si>
  <si>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</si>
  <si>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</si>
  <si>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</si>
  <si>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</si>
  <si>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</si>
  <si>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</si>
  <si>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</si>
  <si>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</si>
  <si>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</si>
  <si>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</si>
  <si>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</si>
  <si>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</si>
  <si>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</si>
  <si>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</si>
  <si>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</si>
  <si>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</si>
  <si>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</si>
  <si>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</si>
  <si>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</si>
  <si>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</si>
  <si>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</si>
  <si>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</si>
  <si>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</si>
  <si>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</si>
  <si>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</si>
  <si>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</si>
  <si>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</si>
  <si>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</si>
  <si>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</si>
  <si>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</si>
  <si>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</si>
  <si>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</si>
  <si>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</si>
  <si>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</si>
  <si>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</si>
  <si>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</si>
  <si>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</si>
  <si>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</si>
  <si>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</si>
  <si>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</si>
  <si>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</si>
  <si>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</si>
  <si>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</si>
  <si>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</si>
  <si>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</si>
  <si>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</si>
  <si>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</si>
  <si>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</si>
  <si>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</si>
  <si>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</si>
  <si>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</si>
  <si>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</si>
  <si>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</si>
  <si>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</si>
  <si>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</si>
  <si>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</si>
  <si>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</si>
  <si>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</si>
  <si>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</si>
  <si>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</si>
  <si>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</si>
  <si>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</si>
  <si>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</si>
  <si>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</si>
  <si>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</si>
  <si>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</si>
  <si>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</si>
  <si>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</si>
  <si>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</si>
  <si>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</si>
  <si>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</si>
  <si>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</si>
  <si>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</si>
  <si>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</si>
  <si>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</si>
  <si>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</si>
  <si>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</si>
  <si>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</si>
  <si>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</si>
  <si>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</si>
  <si>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</si>
  <si>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</si>
  <si>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</si>
  <si>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</si>
  <si>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</si>
  <si>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</si>
  <si>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</si>
  <si>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</si>
  <si>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</si>
  <si>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</si>
  <si>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</si>
  <si>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</si>
  <si>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</si>
  <si>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</si>
  <si>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</si>
  <si>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</si>
  <si>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</si>
  <si>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</si>
  <si>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</si>
  <si>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</si>
  <si>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</si>
  <si>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</si>
  <si>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</si>
  <si>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</si>
  <si>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</si>
  <si>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</si>
  <si>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</si>
  <si>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</si>
  <si>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</si>
  <si>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</si>
  <si>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</si>
  <si>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</si>
  <si>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</si>
  <si>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</si>
  <si>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</si>
  <si>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</si>
  <si>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</si>
  <si>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</si>
  <si>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</si>
  <si>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</si>
  <si>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</si>
  <si>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</si>
  <si>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</si>
  <si>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</si>
  <si>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</si>
  <si>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</si>
  <si>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</si>
  <si>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</si>
  <si>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</si>
  <si>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</si>
  <si>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</si>
  <si>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</si>
  <si>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</si>
  <si>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</si>
  <si>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</si>
  <si>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</si>
  <si>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</si>
  <si>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</si>
  <si>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</si>
  <si>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</si>
  <si>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</si>
  <si>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</si>
  <si>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</si>
  <si>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</si>
  <si>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</si>
  <si>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</si>
  <si>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</si>
  <si>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</si>
  <si>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</si>
  <si>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</si>
  <si>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</si>
  <si>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</si>
  <si>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</si>
  <si>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</si>
  <si>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</si>
  <si>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</si>
  <si>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</si>
  <si>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</si>
  <si>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</si>
  <si>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</si>
  <si>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</si>
  <si>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</si>
  <si>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</si>
  <si>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</si>
  <si>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</si>
  <si>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</si>
  <si>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</si>
  <si>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</si>
  <si>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</si>
  <si>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</si>
  <si>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</si>
  <si>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</si>
  <si>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</si>
  <si>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</si>
  <si>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</si>
  <si>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</si>
  <si>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</si>
  <si>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</si>
  <si>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</si>
  <si>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</si>
  <si>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</si>
  <si>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</si>
  <si>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</si>
  <si>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</si>
  <si>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</si>
  <si>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</si>
  <si>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</si>
  <si>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</si>
  <si>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</si>
  <si>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</si>
  <si>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</si>
  <si>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</si>
  <si>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</si>
  <si>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</si>
  <si>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</si>
  <si>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</si>
  <si>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</si>
  <si>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</si>
  <si>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</si>
  <si>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</si>
  <si>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</si>
  <si>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</si>
  <si>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</si>
  <si>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</si>
  <si>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</si>
  <si>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</si>
  <si>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</si>
  <si>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</si>
  <si>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</si>
  <si>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</si>
  <si>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</si>
  <si>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</si>
  <si>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</si>
  <si>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</si>
  <si>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</si>
  <si>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</si>
  <si>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</si>
  <si>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</si>
  <si>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</si>
  <si>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</si>
  <si>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</si>
  <si>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</si>
  <si>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</si>
  <si>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</si>
  <si>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</si>
  <si>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</si>
  <si>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</si>
  <si>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</si>
  <si>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</si>
  <si>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</si>
  <si>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</si>
  <si>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</si>
  <si>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</si>
  <si>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</si>
  <si>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</si>
  <si>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</si>
  <si>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</si>
  <si>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</si>
  <si>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</si>
  <si>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</si>
  <si>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</si>
  <si>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</si>
  <si>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</si>
  <si>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</si>
  <si>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</si>
  <si>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</si>
  <si>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</si>
  <si>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</si>
  <si>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</si>
  <si>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</si>
  <si>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</si>
  <si>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</si>
  <si>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</si>
  <si>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</si>
  <si>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</si>
  <si>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</si>
  <si>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</si>
  <si>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</si>
  <si>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</si>
  <si>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</si>
  <si>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</si>
  <si>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</si>
  <si>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</si>
  <si>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</si>
  <si>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</si>
  <si>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</si>
  <si>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</si>
  <si>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</si>
  <si>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</si>
  <si>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</si>
  <si>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</si>
  <si>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</si>
  <si>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</si>
  <si>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</si>
  <si>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</si>
  <si>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</si>
  <si>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</si>
  <si>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</si>
  <si>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</si>
  <si>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</si>
  <si>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</si>
  <si>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</si>
  <si>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</si>
  <si>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</si>
  <si>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</si>
  <si>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</si>
  <si>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</si>
  <si>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</si>
  <si>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</si>
  <si>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</si>
  <si>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</si>
  <si>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</si>
  <si>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</si>
  <si>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</si>
  <si>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</si>
  <si>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</si>
  <si>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</si>
  <si>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</si>
  <si>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</si>
  <si>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</si>
  <si>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</si>
  <si>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</si>
  <si>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</si>
  <si>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</si>
  <si>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</si>
  <si>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</si>
  <si>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</si>
  <si>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</si>
  <si>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</si>
  <si>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</si>
  <si>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</si>
  <si>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</si>
  <si>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</si>
  <si>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</si>
  <si>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</si>
  <si>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</si>
  <si>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</si>
  <si>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</si>
  <si>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</si>
  <si>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</si>
  <si>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</si>
  <si>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</si>
  <si>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</si>
  <si>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</si>
  <si>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</si>
  <si>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</si>
  <si>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</si>
  <si>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</si>
  <si>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</si>
  <si>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</si>
  <si>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</si>
  <si>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</si>
  <si>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</si>
  <si>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</si>
  <si>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</si>
  <si>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</si>
  <si>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</si>
  <si>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</si>
  <si>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</si>
  <si>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</si>
  <si>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</si>
  <si>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</si>
  <si>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</si>
  <si>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</si>
  <si>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</si>
  <si>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</si>
  <si>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</si>
  <si>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</si>
  <si>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</si>
  <si>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</si>
  <si>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</si>
  <si>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</si>
  <si>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</si>
  <si>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</si>
  <si>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</si>
  <si>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</si>
  <si>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</si>
  <si>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</si>
  <si>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</si>
  <si>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</si>
  <si>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</si>
  <si>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</si>
  <si>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</si>
  <si>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</si>
  <si>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</si>
  <si>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</si>
  <si>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</si>
  <si>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</si>
  <si>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</si>
  <si>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</si>
  <si>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</si>
  <si>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</si>
  <si>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</si>
  <si>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</si>
  <si>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</si>
  <si>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</si>
  <si>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</si>
  <si>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</si>
  <si>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</si>
  <si>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</si>
  <si>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</si>
  <si>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</si>
  <si>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</si>
  <si>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</si>
  <si>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</si>
  <si>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</si>
  <si>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</si>
  <si>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</si>
  <si>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</si>
  <si>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</si>
  <si>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</si>
  <si>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</si>
  <si>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</si>
  <si>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</si>
  <si>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</si>
  <si>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</si>
  <si>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</si>
  <si>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</si>
  <si>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</si>
  <si>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</si>
  <si>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</si>
  <si>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</si>
  <si>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</si>
  <si>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</si>
  <si>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</si>
  <si>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</si>
  <si>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</si>
  <si>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</si>
  <si>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</si>
  <si>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</si>
  <si>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</si>
  <si>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</si>
  <si>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</si>
  <si>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</si>
  <si>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</si>
  <si>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</si>
  <si>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</si>
  <si>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</si>
  <si>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</si>
  <si>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</si>
  <si>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</si>
  <si>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</si>
  <si>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</si>
  <si>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</si>
  <si>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</si>
  <si>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</si>
  <si>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</si>
  <si>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</si>
  <si>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</si>
  <si>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</si>
  <si>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</si>
  <si>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</si>
  <si>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</si>
  <si>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</si>
  <si>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</si>
  <si>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</si>
  <si>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</si>
  <si>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</si>
  <si>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</si>
  <si>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</si>
  <si>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</si>
  <si>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</si>
  <si>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</si>
  <si>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</si>
  <si>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</si>
  <si>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</si>
  <si>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</si>
  <si>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</si>
  <si>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</si>
  <si>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</si>
  <si>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</si>
  <si>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</si>
  <si>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</si>
  <si>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</si>
  <si>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</si>
  <si>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</si>
  <si>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</si>
  <si>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</si>
  <si>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</si>
  <si>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</si>
  <si>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</si>
  <si>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</si>
  <si>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</si>
  <si>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</si>
  <si>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</si>
  <si>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</si>
  <si>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</si>
  <si>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</si>
  <si>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</si>
  <si>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</si>
  <si>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</si>
  <si>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</si>
  <si>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</si>
  <si>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</si>
  <si>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</si>
  <si>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</si>
  <si>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</si>
  <si>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</si>
  <si>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</si>
  <si>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</si>
  <si>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</si>
  <si>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</si>
  <si>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</si>
  <si>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</si>
  <si>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</si>
  <si>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</si>
  <si>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</si>
  <si>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</si>
  <si>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</si>
  <si>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</si>
  <si>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</si>
  <si>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</si>
  <si>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</si>
  <si>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</si>
  <si>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</si>
  <si>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</si>
  <si>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</si>
  <si>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</si>
  <si>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</si>
  <si>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</si>
  <si>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</si>
  <si>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</si>
  <si>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</si>
  <si>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</si>
  <si>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</si>
  <si>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</si>
  <si>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</si>
  <si>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</si>
  <si>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</si>
  <si>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</si>
  <si>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</si>
  <si>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</si>
  <si>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</si>
  <si>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</si>
  <si>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</si>
  <si>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</si>
  <si>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</si>
  <si>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</si>
  <si>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</si>
  <si>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</si>
  <si>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</si>
  <si>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</si>
  <si>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</si>
  <si>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</si>
  <si>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</si>
  <si>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</si>
  <si>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</si>
  <si>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</si>
  <si>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</si>
  <si>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</si>
  <si>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</si>
  <si>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</si>
  <si>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</si>
  <si>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</si>
  <si>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</si>
  <si>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</si>
  <si>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</si>
  <si>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</si>
  <si>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</si>
  <si>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</si>
  <si>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</si>
  <si>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</si>
  <si>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</si>
  <si>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</si>
  <si>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</si>
  <si>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</si>
  <si>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</si>
  <si>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</si>
  <si>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</si>
  <si>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</si>
  <si>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</si>
  <si>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</si>
  <si>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</si>
  <si>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</si>
  <si>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</si>
  <si>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</si>
  <si>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</si>
  <si>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</si>
  <si>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</si>
  <si>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</si>
  <si>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</si>
  <si>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</si>
  <si>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</si>
  <si>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</si>
  <si>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</si>
  <si>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</si>
  <si>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</si>
  <si>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</si>
  <si>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</si>
  <si>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</si>
  <si>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</si>
  <si>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</si>
  <si>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</si>
  <si>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</si>
  <si>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</si>
  <si>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</si>
  <si>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</si>
  <si>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</si>
  <si>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</si>
  <si>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</si>
  <si>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</si>
  <si>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</si>
  <si>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</si>
  <si>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</si>
  <si>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</si>
  <si>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</si>
  <si>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</si>
  <si>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</si>
  <si>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</si>
  <si>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</si>
  <si>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</si>
  <si>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</si>
  <si>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</si>
  <si>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</si>
  <si>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</si>
  <si>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</si>
  <si>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</si>
  <si>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</si>
  <si>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</si>
  <si>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</si>
  <si>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</si>
  <si>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</si>
  <si>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</si>
  <si>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</si>
  <si>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</si>
  <si>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</si>
  <si>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</si>
  <si>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</si>
  <si>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</si>
  <si>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</si>
  <si>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</si>
  <si>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</si>
  <si>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</si>
  <si>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</si>
  <si>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</si>
  <si>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</si>
  <si>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</si>
  <si>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</si>
  <si>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BEUSSINK &amp; HICKAM PC</t>
  </si>
  <si>
    <t>SCOTT A HICKAM</t>
  </si>
  <si>
    <t>139 W VIENNA ST - PO BOX 556</t>
  </si>
  <si>
    <t>ANNA</t>
  </si>
  <si>
    <t>IL</t>
  </si>
  <si>
    <t>618-833-2721</t>
  </si>
  <si>
    <t>618-833-7077</t>
  </si>
  <si>
    <t>shickam@frontier.com</t>
  </si>
  <si>
    <t>JOHNSON</t>
  </si>
  <si>
    <t>164 MAIN ST</t>
  </si>
  <si>
    <t>BUNCOMBE</t>
  </si>
  <si>
    <t>VICKI TRIPP</t>
  </si>
  <si>
    <t>vickitripp@yahoo.com</t>
  </si>
  <si>
    <t>618-658-8830</t>
  </si>
  <si>
    <t>2017 WORKING CASH BONDS</t>
  </si>
  <si>
    <t>JAMP SPECIAL EDUCATION COOP</t>
  </si>
  <si>
    <t>SPORTS COOP - CYPRESS SCHOOL DISTRICT</t>
  </si>
  <si>
    <t>None</t>
  </si>
  <si>
    <t>00-0000-000</t>
  </si>
  <si>
    <t>Fund 10, Account 4999: REAP $6,804</t>
  </si>
  <si>
    <t>066-005023</t>
  </si>
  <si>
    <t>Buncombe Cons SD 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</si>
</sst>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2077</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2077</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21044043003</v>
      </c>
      <c r="B13" s="2037"/>
      <c r="C13" s="2037"/>
      <c r="D13" s="2037"/>
      <c r="E13" s="2037"/>
      <c r="F13" s="2037"/>
      <c r="G13" s="2037"/>
      <c r="H13" s="2038"/>
      <c r="I13" s="31"/>
      <c r="J13" s="30"/>
      <c r="K13" s="28"/>
      <c r="L13" s="30"/>
      <c r="M13" s="30"/>
      <c r="N13" s="30"/>
      <c r="O13" s="30"/>
      <c r="P13" s="30"/>
      <c r="Q13" s="30"/>
      <c r="R13" s="30"/>
      <c r="S13" s="30"/>
      <c r="T13" s="2041" t="s">
        <v>2078</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2086</v>
      </c>
      <c r="B15" s="2039"/>
      <c r="C15" s="2039"/>
      <c r="D15" s="2039"/>
      <c r="E15" s="2039"/>
      <c r="F15" s="2039"/>
      <c r="G15" s="2039"/>
      <c r="H15" s="2040"/>
      <c r="T15" s="2045" t="s">
        <v>2079</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2099</v>
      </c>
      <c r="B17" s="1996"/>
      <c r="C17" s="1996"/>
      <c r="D17" s="1996"/>
      <c r="E17" s="1996"/>
      <c r="F17" s="1996"/>
      <c r="G17" s="1996"/>
      <c r="H17" s="2021"/>
      <c r="T17" s="2052" t="s">
        <v>2080</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2087</v>
      </c>
      <c r="B19" s="1981"/>
      <c r="C19" s="1981"/>
      <c r="D19" s="1981"/>
      <c r="E19" s="1981"/>
      <c r="F19" s="1981"/>
      <c r="G19" s="1981"/>
      <c r="H19" s="1961"/>
      <c r="I19" s="30"/>
      <c r="J19" s="99"/>
      <c r="K19" s="40"/>
      <c r="L19" s="38"/>
      <c r="M19" s="112" t="s">
        <v>333</v>
      </c>
      <c r="P19" s="27"/>
      <c r="Q19" s="27"/>
      <c r="R19" s="27"/>
      <c r="S19" s="31"/>
      <c r="T19" s="2035" t="s">
        <v>2081</v>
      </c>
      <c r="U19" s="1960"/>
      <c r="V19" s="1960"/>
      <c r="W19" s="1961"/>
      <c r="X19" s="2050" t="s">
        <v>2082</v>
      </c>
      <c r="Y19" s="2051"/>
      <c r="Z19" s="2048">
        <v>62906</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2088</v>
      </c>
      <c r="B21" s="1960"/>
      <c r="C21" s="1960"/>
      <c r="D21" s="1960"/>
      <c r="E21" s="1960"/>
      <c r="F21" s="1960"/>
      <c r="G21" s="1960"/>
      <c r="H21" s="1961"/>
      <c r="I21" s="2015" t="s">
        <v>699</v>
      </c>
      <c r="J21" s="2010"/>
      <c r="K21" s="2010"/>
      <c r="L21" s="2010"/>
      <c r="M21" s="2010"/>
      <c r="N21" s="2010"/>
      <c r="O21" s="2010"/>
      <c r="P21" s="2010"/>
      <c r="Q21" s="2010"/>
      <c r="R21" s="2010"/>
      <c r="S21" s="2016"/>
      <c r="T21" s="2059" t="s">
        <v>2083</v>
      </c>
      <c r="U21" s="2060"/>
      <c r="V21" s="2060"/>
      <c r="W21" s="2060"/>
      <c r="X21" s="2065" t="s">
        <v>2084</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c r="B23" s="2013"/>
      <c r="C23" s="2013"/>
      <c r="D23" s="2013"/>
      <c r="E23" s="2013"/>
      <c r="F23" s="2013"/>
      <c r="G23" s="2013"/>
      <c r="H23" s="2014"/>
      <c r="T23" s="1995" t="s">
        <v>2098</v>
      </c>
      <c r="U23" s="2058"/>
      <c r="V23" s="2058"/>
      <c r="W23" s="2058"/>
      <c r="X23" s="2062">
        <v>43434</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62912</v>
      </c>
      <c r="B25" s="1960"/>
      <c r="C25" s="1960"/>
      <c r="D25" s="1960"/>
      <c r="E25" s="1960"/>
      <c r="F25" s="1960"/>
      <c r="G25" s="1960"/>
      <c r="H25" s="1961"/>
      <c r="I25" s="113"/>
      <c r="J25" s="1984"/>
      <c r="K25" s="1984"/>
      <c r="L25" s="1984"/>
      <c r="M25" s="1984"/>
      <c r="N25" s="1984"/>
      <c r="O25" s="1984"/>
      <c r="P25" s="1984"/>
      <c r="Q25" s="1984"/>
      <c r="R25" s="1984"/>
      <c r="S25" s="1985"/>
      <c r="T25" s="2055" t="s">
        <v>2085</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2089</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2090</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2091</v>
      </c>
      <c r="B42" s="1979"/>
      <c r="C42" s="1980"/>
      <c r="D42" s="1978" t="s">
        <v>2091</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2" sqref="E12"/>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97373</v>
      </c>
      <c r="C4" s="1546">
        <v>0</v>
      </c>
      <c r="D4" s="1774">
        <f>B4-C4</f>
        <v>97373</v>
      </c>
      <c r="E4" s="1546">
        <v>97946</v>
      </c>
      <c r="F4" s="1774">
        <f>E4-C4</f>
        <v>97946</v>
      </c>
    </row>
    <row r="5" spans="1:6" ht="13.7" customHeight="1" x14ac:dyDescent="0.2">
      <c r="A5" s="716" t="s">
        <v>925</v>
      </c>
      <c r="B5" s="1772">
        <f>'Revenues 9-14'!D5</f>
        <v>27697</v>
      </c>
      <c r="C5" s="585">
        <v>0</v>
      </c>
      <c r="D5" s="1775">
        <f t="shared" ref="D5:D18" si="0">B5-C5</f>
        <v>27697</v>
      </c>
      <c r="E5" s="585">
        <v>27985</v>
      </c>
      <c r="F5" s="1775">
        <f>E5-C5</f>
        <v>27985</v>
      </c>
    </row>
    <row r="6" spans="1:6" ht="13.7" customHeight="1" x14ac:dyDescent="0.2">
      <c r="A6" s="716" t="s">
        <v>431</v>
      </c>
      <c r="B6" s="1772">
        <f>'Revenues 9-14'!E5</f>
        <v>0</v>
      </c>
      <c r="C6" s="585">
        <v>0</v>
      </c>
      <c r="D6" s="1775">
        <f t="shared" si="0"/>
        <v>0</v>
      </c>
      <c r="E6" s="585">
        <v>12870</v>
      </c>
      <c r="F6" s="1775">
        <f t="shared" ref="F6:F18" si="1">E6-C6</f>
        <v>12870</v>
      </c>
    </row>
    <row r="7" spans="1:6" ht="13.7" customHeight="1" x14ac:dyDescent="0.2">
      <c r="A7" s="716" t="s">
        <v>157</v>
      </c>
      <c r="B7" s="1772">
        <f>'Revenues 9-14'!F5</f>
        <v>11079</v>
      </c>
      <c r="C7" s="585">
        <v>0</v>
      </c>
      <c r="D7" s="1775">
        <f t="shared" si="0"/>
        <v>11079</v>
      </c>
      <c r="E7" s="585">
        <v>11194</v>
      </c>
      <c r="F7" s="1775">
        <f t="shared" si="1"/>
        <v>11194</v>
      </c>
    </row>
    <row r="8" spans="1:6" ht="13.7" customHeight="1" x14ac:dyDescent="0.2">
      <c r="A8" s="716" t="s">
        <v>1241</v>
      </c>
      <c r="B8" s="1772">
        <f>'Revenues 9-14'!G5</f>
        <v>5939</v>
      </c>
      <c r="C8" s="585">
        <v>0</v>
      </c>
      <c r="D8" s="1775">
        <f t="shared" si="0"/>
        <v>5939</v>
      </c>
      <c r="E8" s="585">
        <v>2020</v>
      </c>
      <c r="F8" s="1775">
        <f t="shared" si="1"/>
        <v>2020</v>
      </c>
    </row>
    <row r="9" spans="1:6" ht="13.7" customHeight="1" x14ac:dyDescent="0.2">
      <c r="A9" s="716" t="s">
        <v>428</v>
      </c>
      <c r="B9" s="1772">
        <f>'Revenues 9-14'!H5</f>
        <v>0</v>
      </c>
      <c r="C9" s="585">
        <v>0</v>
      </c>
      <c r="D9" s="1775">
        <f t="shared" si="0"/>
        <v>0</v>
      </c>
      <c r="E9" s="585">
        <v>0</v>
      </c>
      <c r="F9" s="1775">
        <f t="shared" si="1"/>
        <v>0</v>
      </c>
    </row>
    <row r="10" spans="1:6" ht="13.7" customHeight="1" x14ac:dyDescent="0.2">
      <c r="A10" s="716" t="s">
        <v>427</v>
      </c>
      <c r="B10" s="1772">
        <f>'Revenues 9-14'!I5</f>
        <v>2770</v>
      </c>
      <c r="C10" s="585">
        <v>0</v>
      </c>
      <c r="D10" s="1775">
        <f t="shared" si="0"/>
        <v>2770</v>
      </c>
      <c r="E10" s="585">
        <v>2798</v>
      </c>
      <c r="F10" s="1775">
        <f t="shared" si="1"/>
        <v>2798</v>
      </c>
    </row>
    <row r="11" spans="1:6" x14ac:dyDescent="0.2">
      <c r="A11" s="716" t="s">
        <v>429</v>
      </c>
      <c r="B11" s="1772">
        <f>'Revenues 9-14'!J5</f>
        <v>29694</v>
      </c>
      <c r="C11" s="585">
        <v>0</v>
      </c>
      <c r="D11" s="1775">
        <f t="shared" si="0"/>
        <v>29694</v>
      </c>
      <c r="E11" s="585">
        <v>45775</v>
      </c>
      <c r="F11" s="1775">
        <f t="shared" si="1"/>
        <v>45775</v>
      </c>
    </row>
    <row r="12" spans="1:6" ht="13.7" customHeight="1" x14ac:dyDescent="0.2">
      <c r="A12" s="716" t="s">
        <v>159</v>
      </c>
      <c r="B12" s="1772">
        <f>'Revenues 9-14'!K5</f>
        <v>2769</v>
      </c>
      <c r="C12" s="585">
        <v>0</v>
      </c>
      <c r="D12" s="1775">
        <f t="shared" si="0"/>
        <v>2769</v>
      </c>
      <c r="E12" s="585">
        <v>2798</v>
      </c>
      <c r="F12" s="1775">
        <f t="shared" si="1"/>
        <v>2798</v>
      </c>
    </row>
    <row r="13" spans="1:6" ht="13.7" customHeight="1" x14ac:dyDescent="0.2">
      <c r="A13" s="716" t="s">
        <v>993</v>
      </c>
      <c r="B13" s="1772">
        <f>SUM('Revenues 9-14'!C6:D6)</f>
        <v>0</v>
      </c>
      <c r="C13" s="585">
        <v>0</v>
      </c>
      <c r="D13" s="1775">
        <f t="shared" si="0"/>
        <v>0</v>
      </c>
      <c r="E13" s="585">
        <v>0</v>
      </c>
      <c r="F13" s="1775">
        <f t="shared" si="1"/>
        <v>0</v>
      </c>
    </row>
    <row r="14" spans="1:6" ht="13.7" customHeight="1" x14ac:dyDescent="0.2">
      <c r="A14" s="716" t="s">
        <v>430</v>
      </c>
      <c r="B14" s="1772">
        <f>SUM('Revenues 9-14'!C7:D7,'Revenues 9-14'!F7:H7)</f>
        <v>1108</v>
      </c>
      <c r="C14" s="585">
        <v>0</v>
      </c>
      <c r="D14" s="1775">
        <f t="shared" si="0"/>
        <v>1108</v>
      </c>
      <c r="E14" s="585">
        <v>1120</v>
      </c>
      <c r="F14" s="1775">
        <f t="shared" si="1"/>
        <v>1120</v>
      </c>
    </row>
    <row r="15" spans="1:6" ht="13.7" customHeight="1" x14ac:dyDescent="0.2">
      <c r="A15" s="716" t="s">
        <v>1220</v>
      </c>
      <c r="B15" s="1772">
        <f>'Revenues 9-14'!E9</f>
        <v>0</v>
      </c>
      <c r="C15" s="585">
        <v>0</v>
      </c>
      <c r="D15" s="1775">
        <f t="shared" si="0"/>
        <v>0</v>
      </c>
      <c r="E15" s="585">
        <v>0</v>
      </c>
      <c r="F15" s="1775">
        <f t="shared" si="1"/>
        <v>0</v>
      </c>
    </row>
    <row r="16" spans="1:6" ht="13.7" customHeight="1" x14ac:dyDescent="0.2">
      <c r="A16" s="716" t="s">
        <v>1221</v>
      </c>
      <c r="B16" s="1772">
        <f>'Revenues 9-14'!G8</f>
        <v>5939</v>
      </c>
      <c r="C16" s="585">
        <v>0</v>
      </c>
      <c r="D16" s="1775">
        <f t="shared" si="0"/>
        <v>5939</v>
      </c>
      <c r="E16" s="585">
        <v>2022</v>
      </c>
      <c r="F16" s="1775">
        <f t="shared" si="1"/>
        <v>2022</v>
      </c>
    </row>
    <row r="17" spans="1:6" ht="13.7" customHeight="1" x14ac:dyDescent="0.2">
      <c r="A17" s="716" t="s">
        <v>1222</v>
      </c>
      <c r="B17" s="1772">
        <f>'Revenues 9-14'!C10</f>
        <v>0</v>
      </c>
      <c r="C17" s="585">
        <v>0</v>
      </c>
      <c r="D17" s="1775">
        <f t="shared" si="0"/>
        <v>0</v>
      </c>
      <c r="E17" s="585">
        <v>0</v>
      </c>
      <c r="F17" s="1775">
        <f t="shared" si="1"/>
        <v>0</v>
      </c>
    </row>
    <row r="18" spans="1:6" ht="13.7" customHeight="1" x14ac:dyDescent="0.2">
      <c r="A18" s="716" t="s">
        <v>786</v>
      </c>
      <c r="B18" s="1772">
        <f>SUM('Revenues 9-14'!C11:K11)</f>
        <v>0</v>
      </c>
      <c r="C18" s="585">
        <v>0</v>
      </c>
      <c r="D18" s="1775">
        <f t="shared" si="0"/>
        <v>0</v>
      </c>
      <c r="E18" s="585">
        <v>0</v>
      </c>
      <c r="F18" s="1775">
        <f t="shared" si="1"/>
        <v>0</v>
      </c>
    </row>
    <row r="19" spans="1:6" ht="13.7" customHeight="1" thickBot="1" x14ac:dyDescent="0.25">
      <c r="A19" s="1776" t="s">
        <v>1223</v>
      </c>
      <c r="B19" s="1773">
        <f>SUM(B4:B18)</f>
        <v>184368</v>
      </c>
      <c r="C19" s="1773">
        <f>SUM(C4:C18)</f>
        <v>0</v>
      </c>
      <c r="D19" s="1773">
        <f>SUM(D4:D18)</f>
        <v>184368</v>
      </c>
      <c r="E19" s="1773">
        <f>SUM(E4:E18)</f>
        <v>206528</v>
      </c>
      <c r="F19" s="1773">
        <f>SUM(F4:F18)</f>
        <v>206528</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H31" sqref="H3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9" t="s">
        <v>2036</v>
      </c>
      <c r="D2" s="724" t="s">
        <v>2043</v>
      </c>
      <c r="E2" s="724" t="s">
        <v>2044</v>
      </c>
      <c r="F2" s="1909" t="s">
        <v>2037</v>
      </c>
    </row>
    <row r="3" spans="1:7" ht="15.75" customHeight="1" x14ac:dyDescent="0.2">
      <c r="A3" s="2230" t="s">
        <v>1176</v>
      </c>
      <c r="B3" s="2231"/>
      <c r="C3" s="2224"/>
      <c r="D3" s="2225"/>
      <c r="E3" s="2225"/>
      <c r="F3" s="2226"/>
    </row>
    <row r="4" spans="1:7" ht="12.75" customHeight="1" thickBot="1" x14ac:dyDescent="0.25">
      <c r="A4" s="2218" t="s">
        <v>651</v>
      </c>
      <c r="B4" s="2219"/>
      <c r="C4" s="581">
        <v>0</v>
      </c>
      <c r="D4" s="581">
        <v>0</v>
      </c>
      <c r="E4" s="581">
        <v>0</v>
      </c>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v>0</v>
      </c>
      <c r="D6" s="585">
        <v>0</v>
      </c>
      <c r="E6" s="727">
        <v>0</v>
      </c>
      <c r="F6" s="1777">
        <f t="shared" ref="F6:F14" si="0">SUM(C6+D6)-E6</f>
        <v>0</v>
      </c>
    </row>
    <row r="7" spans="1:7" ht="12.75" customHeight="1" thickTop="1" thickBot="1" x14ac:dyDescent="0.25">
      <c r="A7" s="725" t="s">
        <v>6</v>
      </c>
      <c r="B7" s="726"/>
      <c r="C7" s="727">
        <v>0</v>
      </c>
      <c r="D7" s="585">
        <v>0</v>
      </c>
      <c r="E7" s="727">
        <v>0</v>
      </c>
      <c r="F7" s="1777">
        <f t="shared" si="0"/>
        <v>0</v>
      </c>
    </row>
    <row r="8" spans="1:7" ht="12.75" customHeight="1" thickTop="1" thickBot="1" x14ac:dyDescent="0.25">
      <c r="A8" s="725" t="s">
        <v>529</v>
      </c>
      <c r="B8" s="726"/>
      <c r="C8" s="727">
        <v>0</v>
      </c>
      <c r="D8" s="585">
        <v>0</v>
      </c>
      <c r="E8" s="727">
        <v>0</v>
      </c>
      <c r="F8" s="1777">
        <f t="shared" si="0"/>
        <v>0</v>
      </c>
    </row>
    <row r="9" spans="1:7" ht="12.75" customHeight="1" thickTop="1" thickBot="1" x14ac:dyDescent="0.25">
      <c r="A9" s="725" t="s">
        <v>530</v>
      </c>
      <c r="B9" s="726"/>
      <c r="C9" s="727">
        <v>0</v>
      </c>
      <c r="D9" s="585">
        <v>0</v>
      </c>
      <c r="E9" s="727">
        <v>0</v>
      </c>
      <c r="F9" s="1777">
        <f t="shared" si="0"/>
        <v>0</v>
      </c>
    </row>
    <row r="10" spans="1:7" ht="12.75" customHeight="1" thickTop="1" thickBot="1" x14ac:dyDescent="0.25">
      <c r="A10" s="725" t="s">
        <v>531</v>
      </c>
      <c r="B10" s="726"/>
      <c r="C10" s="727">
        <v>0</v>
      </c>
      <c r="D10" s="585">
        <v>0</v>
      </c>
      <c r="E10" s="727">
        <v>0</v>
      </c>
      <c r="F10" s="1777">
        <f t="shared" si="0"/>
        <v>0</v>
      </c>
    </row>
    <row r="11" spans="1:7" ht="12.75" customHeight="1" thickTop="1" thickBot="1" x14ac:dyDescent="0.25">
      <c r="A11" s="725" t="s">
        <v>359</v>
      </c>
      <c r="B11" s="726"/>
      <c r="C11" s="727">
        <v>0</v>
      </c>
      <c r="D11" s="585">
        <v>0</v>
      </c>
      <c r="E11" s="727">
        <v>0</v>
      </c>
      <c r="F11" s="1777">
        <f t="shared" si="0"/>
        <v>0</v>
      </c>
    </row>
    <row r="12" spans="1:7" ht="12.75" customHeight="1" thickTop="1" thickBot="1" x14ac:dyDescent="0.25">
      <c r="A12" s="725" t="s">
        <v>1219</v>
      </c>
      <c r="B12" s="726"/>
      <c r="C12" s="727">
        <v>0</v>
      </c>
      <c r="D12" s="585">
        <v>0</v>
      </c>
      <c r="E12" s="727">
        <v>0</v>
      </c>
      <c r="F12" s="1777">
        <f t="shared" si="0"/>
        <v>0</v>
      </c>
    </row>
    <row r="13" spans="1:7" ht="12.75" customHeight="1" thickTop="1" thickBot="1" x14ac:dyDescent="0.25">
      <c r="A13" s="725" t="s">
        <v>406</v>
      </c>
      <c r="B13" s="726"/>
      <c r="C13" s="727">
        <v>0</v>
      </c>
      <c r="D13" s="585">
        <v>0</v>
      </c>
      <c r="E13" s="727">
        <v>0</v>
      </c>
      <c r="F13" s="1777">
        <f t="shared" si="0"/>
        <v>0</v>
      </c>
    </row>
    <row r="14" spans="1:7" ht="12.75" customHeight="1" thickTop="1" thickBot="1" x14ac:dyDescent="0.25">
      <c r="A14" s="725" t="s">
        <v>468</v>
      </c>
      <c r="B14" s="726"/>
      <c r="C14" s="727">
        <v>0</v>
      </c>
      <c r="D14" s="585">
        <v>0</v>
      </c>
      <c r="E14" s="727">
        <v>0</v>
      </c>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v>0</v>
      </c>
      <c r="D17" s="585">
        <v>0</v>
      </c>
      <c r="E17" s="727">
        <v>0</v>
      </c>
      <c r="F17" s="1777">
        <f>SUM(C17+D17)-E17</f>
        <v>0</v>
      </c>
    </row>
    <row r="18" spans="1:11" ht="12.75" customHeight="1" thickTop="1" thickBot="1" x14ac:dyDescent="0.25">
      <c r="A18" s="2209" t="s">
        <v>6</v>
      </c>
      <c r="B18" s="2210"/>
      <c r="C18" s="727">
        <v>0</v>
      </c>
      <c r="D18" s="585">
        <v>0</v>
      </c>
      <c r="E18" s="727">
        <v>0</v>
      </c>
      <c r="F18" s="1777">
        <f>SUM(C18+D18)-E18</f>
        <v>0</v>
      </c>
    </row>
    <row r="19" spans="1:11" ht="12.75" customHeight="1" thickTop="1" thickBot="1" x14ac:dyDescent="0.25">
      <c r="A19" s="2209" t="s">
        <v>406</v>
      </c>
      <c r="B19" s="2210"/>
      <c r="C19" s="727">
        <v>0</v>
      </c>
      <c r="D19" s="585">
        <v>0</v>
      </c>
      <c r="E19" s="727">
        <v>0</v>
      </c>
      <c r="F19" s="1777">
        <f>SUM(C19+D19)-E19</f>
        <v>0</v>
      </c>
    </row>
    <row r="20" spans="1:11" ht="12.75" customHeight="1" thickTop="1" thickBot="1" x14ac:dyDescent="0.25">
      <c r="A20" s="2209" t="s">
        <v>468</v>
      </c>
      <c r="B20" s="2210"/>
      <c r="C20" s="727">
        <v>0</v>
      </c>
      <c r="D20" s="585">
        <v>0</v>
      </c>
      <c r="E20" s="727">
        <v>0</v>
      </c>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v>0</v>
      </c>
      <c r="D23" s="581">
        <v>0</v>
      </c>
      <c r="E23" s="581">
        <v>0</v>
      </c>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v>0</v>
      </c>
      <c r="D25" s="581">
        <v>0</v>
      </c>
      <c r="E25" s="581">
        <v>0</v>
      </c>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v>0</v>
      </c>
      <c r="D27" s="585">
        <v>0</v>
      </c>
      <c r="E27" s="585">
        <v>0</v>
      </c>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2092</v>
      </c>
      <c r="B31" s="734">
        <v>42935</v>
      </c>
      <c r="C31" s="735">
        <v>85000</v>
      </c>
      <c r="D31" s="736">
        <v>1</v>
      </c>
      <c r="E31" s="735"/>
      <c r="F31" s="735">
        <v>85000</v>
      </c>
      <c r="G31" s="735">
        <v>0</v>
      </c>
      <c r="H31" s="735"/>
      <c r="I31" s="1778">
        <f>((E31+F31)-H31)+G31</f>
        <v>85000</v>
      </c>
      <c r="J31" s="735">
        <v>85000</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85000</v>
      </c>
      <c r="D49" s="746"/>
      <c r="E49" s="1778">
        <f t="shared" ref="E49:J49" si="2">SUM(E31:E48)</f>
        <v>0</v>
      </c>
      <c r="F49" s="1778">
        <f t="shared" si="2"/>
        <v>85000</v>
      </c>
      <c r="G49" s="1778">
        <f t="shared" si="2"/>
        <v>0</v>
      </c>
      <c r="H49" s="1778">
        <f t="shared" si="2"/>
        <v>0</v>
      </c>
      <c r="I49" s="1778">
        <f t="shared" si="2"/>
        <v>85000</v>
      </c>
      <c r="J49" s="1778">
        <f t="shared" si="2"/>
        <v>85000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orientation="landscape" useFirstPageNumber="1" r:id="rId1"/>
  <headerFooter alignWithMargins="0">
    <oddHeader>&amp;L&amp;8Page &amp;P&amp;R&amp;8Page &amp;P</oddHeader>
    <oddFooter>&amp;L&amp;8&amp;F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v>0</v>
      </c>
      <c r="H3" s="765">
        <v>0</v>
      </c>
      <c r="I3" s="765">
        <v>0</v>
      </c>
      <c r="J3" s="766">
        <v>0</v>
      </c>
      <c r="K3" s="766">
        <v>0</v>
      </c>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v>1108</v>
      </c>
      <c r="I5" s="773">
        <v>0</v>
      </c>
      <c r="J5" s="774"/>
      <c r="K5" s="774"/>
    </row>
    <row r="6" spans="1:11" x14ac:dyDescent="0.2">
      <c r="A6" s="775" t="s">
        <v>744</v>
      </c>
      <c r="B6" s="776"/>
      <c r="C6" s="776"/>
      <c r="D6" s="776"/>
      <c r="E6" s="777"/>
      <c r="F6" s="778" t="s">
        <v>904</v>
      </c>
      <c r="G6" s="765">
        <v>0</v>
      </c>
      <c r="H6" s="765">
        <v>0</v>
      </c>
      <c r="I6" s="765">
        <v>0</v>
      </c>
      <c r="J6" s="766">
        <v>0</v>
      </c>
      <c r="K6" s="766">
        <v>0</v>
      </c>
    </row>
    <row r="7" spans="1:11" x14ac:dyDescent="0.2">
      <c r="A7" s="779" t="s">
        <v>264</v>
      </c>
      <c r="B7" s="780"/>
      <c r="C7" s="780"/>
      <c r="D7" s="780"/>
      <c r="E7" s="781"/>
      <c r="F7" s="771" t="s">
        <v>905</v>
      </c>
      <c r="G7" s="768"/>
      <c r="H7" s="768"/>
      <c r="I7" s="768"/>
      <c r="J7" s="782"/>
      <c r="K7" s="766">
        <v>0</v>
      </c>
    </row>
    <row r="8" spans="1:11" x14ac:dyDescent="0.2">
      <c r="A8" s="779" t="s">
        <v>363</v>
      </c>
      <c r="B8" s="780"/>
      <c r="C8" s="780"/>
      <c r="D8" s="780"/>
      <c r="E8" s="781"/>
      <c r="F8" s="771" t="s">
        <v>906</v>
      </c>
      <c r="G8" s="783"/>
      <c r="H8" s="783"/>
      <c r="I8" s="783"/>
      <c r="J8" s="766">
        <v>0</v>
      </c>
      <c r="K8" s="770"/>
    </row>
    <row r="9" spans="1:11" x14ac:dyDescent="0.2">
      <c r="A9" s="779" t="s">
        <v>140</v>
      </c>
      <c r="B9" s="780"/>
      <c r="C9" s="780"/>
      <c r="D9" s="780"/>
      <c r="E9" s="781"/>
      <c r="F9" s="778" t="s">
        <v>908</v>
      </c>
      <c r="G9" s="783"/>
      <c r="H9" s="772"/>
      <c r="I9" s="772"/>
      <c r="J9" s="782"/>
      <c r="K9" s="766">
        <v>0</v>
      </c>
    </row>
    <row r="10" spans="1:11" x14ac:dyDescent="0.2">
      <c r="A10" s="2235" t="s">
        <v>1920</v>
      </c>
      <c r="B10" s="2236"/>
      <c r="C10" s="2236"/>
      <c r="D10" s="2236"/>
      <c r="E10" s="2238"/>
      <c r="F10" s="784" t="s">
        <v>917</v>
      </c>
      <c r="G10" s="783"/>
      <c r="H10" s="785">
        <v>0</v>
      </c>
      <c r="I10" s="765">
        <v>0</v>
      </c>
      <c r="J10" s="766">
        <v>0</v>
      </c>
      <c r="K10" s="766">
        <v>0</v>
      </c>
    </row>
    <row r="11" spans="1:11" x14ac:dyDescent="0.2">
      <c r="A11" s="2235" t="s">
        <v>162</v>
      </c>
      <c r="B11" s="2236"/>
      <c r="C11" s="2236"/>
      <c r="D11" s="2236"/>
      <c r="E11" s="2237"/>
      <c r="F11" s="771" t="s">
        <v>907</v>
      </c>
      <c r="G11" s="772"/>
      <c r="H11" s="765">
        <v>0</v>
      </c>
      <c r="I11" s="765">
        <v>0</v>
      </c>
      <c r="J11" s="766">
        <v>0</v>
      </c>
      <c r="K11" s="774"/>
    </row>
    <row r="12" spans="1:11" ht="13.5" thickBot="1" x14ac:dyDescent="0.25">
      <c r="A12" s="2262" t="s">
        <v>961</v>
      </c>
      <c r="B12" s="2263"/>
      <c r="C12" s="2263"/>
      <c r="D12" s="2263"/>
      <c r="E12" s="2264"/>
      <c r="F12" s="1779"/>
      <c r="G12" s="1780">
        <f>SUM(G5:G11)</f>
        <v>0</v>
      </c>
      <c r="H12" s="1780">
        <f>SUM(H5:H11)</f>
        <v>1108</v>
      </c>
      <c r="I12" s="1780">
        <f>SUM(I5:I11)</f>
        <v>0</v>
      </c>
      <c r="J12" s="1780">
        <f>SUM(J5:J11)</f>
        <v>0</v>
      </c>
      <c r="K12" s="1780">
        <f>SUM(K5:K11)</f>
        <v>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v>1108</v>
      </c>
      <c r="I14" s="772"/>
      <c r="J14" s="774"/>
      <c r="K14" s="766">
        <v>0</v>
      </c>
    </row>
    <row r="15" spans="1:11" x14ac:dyDescent="0.2">
      <c r="A15" s="2236" t="s">
        <v>4</v>
      </c>
      <c r="B15" s="2236"/>
      <c r="C15" s="2236"/>
      <c r="D15" s="2236"/>
      <c r="E15" s="2237"/>
      <c r="F15" s="790" t="s">
        <v>910</v>
      </c>
      <c r="G15" s="772"/>
      <c r="H15" s="765">
        <v>0</v>
      </c>
      <c r="I15" s="765">
        <v>0</v>
      </c>
      <c r="J15" s="766">
        <v>0</v>
      </c>
      <c r="K15" s="766">
        <v>0</v>
      </c>
    </row>
    <row r="16" spans="1:11" x14ac:dyDescent="0.2">
      <c r="A16" s="2236" t="s">
        <v>316</v>
      </c>
      <c r="B16" s="2236"/>
      <c r="C16" s="2236"/>
      <c r="D16" s="2236"/>
      <c r="E16" s="2237"/>
      <c r="F16" s="790" t="s">
        <v>980</v>
      </c>
      <c r="G16" s="773">
        <v>0</v>
      </c>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v>0</v>
      </c>
      <c r="K18" s="796"/>
    </row>
    <row r="19" spans="1:11" ht="21.75" customHeight="1" x14ac:dyDescent="0.2">
      <c r="A19" s="2244" t="s">
        <v>1916</v>
      </c>
      <c r="B19" s="2244"/>
      <c r="C19" s="2244"/>
      <c r="D19" s="2244"/>
      <c r="E19" s="2245"/>
      <c r="F19" s="790" t="s">
        <v>990</v>
      </c>
      <c r="G19" s="783"/>
      <c r="H19" s="783"/>
      <c r="I19" s="783"/>
      <c r="J19" s="766">
        <v>0</v>
      </c>
      <c r="K19" s="796"/>
    </row>
    <row r="20" spans="1:11" x14ac:dyDescent="0.2">
      <c r="A20" s="2246" t="s">
        <v>1921</v>
      </c>
      <c r="B20" s="2247"/>
      <c r="C20" s="2247"/>
      <c r="D20" s="2247"/>
      <c r="E20" s="2248"/>
      <c r="F20" s="790" t="s">
        <v>991</v>
      </c>
      <c r="G20" s="783"/>
      <c r="H20" s="783"/>
      <c r="I20" s="783"/>
      <c r="J20" s="766">
        <v>0</v>
      </c>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1922</v>
      </c>
      <c r="B22" s="2236"/>
      <c r="C22" s="2236"/>
      <c r="D22" s="2236"/>
      <c r="E22" s="2237"/>
      <c r="F22" s="790" t="s">
        <v>917</v>
      </c>
      <c r="G22" s="783"/>
      <c r="H22" s="765">
        <v>0</v>
      </c>
      <c r="I22" s="765">
        <v>0</v>
      </c>
      <c r="J22" s="798">
        <v>0</v>
      </c>
      <c r="K22" s="766">
        <v>0</v>
      </c>
    </row>
    <row r="23" spans="1:11" ht="13.5" thickBot="1" x14ac:dyDescent="0.25">
      <c r="A23" s="2266" t="s">
        <v>962</v>
      </c>
      <c r="B23" s="2265"/>
      <c r="C23" s="2265"/>
      <c r="D23" s="2265"/>
      <c r="E23" s="2265"/>
      <c r="F23" s="1783"/>
      <c r="G23" s="1780">
        <f>SUM(G14:G16,G21,G22)</f>
        <v>0</v>
      </c>
      <c r="H23" s="1780">
        <f>SUM(H14:H16,H21,H22)</f>
        <v>1108</v>
      </c>
      <c r="I23" s="1780">
        <f>SUM(I14:I16,I21,I22)</f>
        <v>0</v>
      </c>
      <c r="J23" s="1780">
        <f>SUM(J14:J16,J21,J22)</f>
        <v>0</v>
      </c>
      <c r="K23" s="1780">
        <f>SUM(K14:K16,K21,K22)</f>
        <v>0</v>
      </c>
    </row>
    <row r="24" spans="1:11" ht="14.25" thickTop="1" thickBot="1" x14ac:dyDescent="0.25">
      <c r="A24" s="2266" t="s">
        <v>2024</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v>0</v>
      </c>
      <c r="H25" s="803">
        <v>0</v>
      </c>
      <c r="I25" s="803">
        <v>0</v>
      </c>
      <c r="J25" s="798">
        <v>0</v>
      </c>
      <c r="K25" s="798">
        <v>0</v>
      </c>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5" sqref="I1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v>0</v>
      </c>
      <c r="D3" s="836">
        <v>0</v>
      </c>
      <c r="E3" s="836">
        <v>0</v>
      </c>
      <c r="F3" s="1782">
        <f>(C3+D3)-E3</f>
        <v>0</v>
      </c>
      <c r="G3" s="837"/>
      <c r="H3" s="836">
        <v>0</v>
      </c>
      <c r="I3" s="836">
        <v>0</v>
      </c>
      <c r="J3" s="836">
        <v>0</v>
      </c>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3000</v>
      </c>
      <c r="D5" s="842">
        <v>0</v>
      </c>
      <c r="E5" s="842">
        <v>0</v>
      </c>
      <c r="F5" s="1782">
        <f>(C5+D5)-E5</f>
        <v>3000</v>
      </c>
      <c r="G5" s="838"/>
      <c r="H5" s="843"/>
      <c r="I5" s="843"/>
      <c r="J5" s="843"/>
      <c r="K5" s="794"/>
      <c r="L5" s="1791">
        <f>F5-K5</f>
        <v>3000</v>
      </c>
    </row>
    <row r="6" spans="1:14" ht="14.25" thickTop="1" thickBot="1" x14ac:dyDescent="0.25">
      <c r="A6" s="779" t="s">
        <v>1179</v>
      </c>
      <c r="B6" s="841">
        <v>222</v>
      </c>
      <c r="C6" s="766">
        <v>0</v>
      </c>
      <c r="D6" s="766">
        <v>0</v>
      </c>
      <c r="E6" s="766">
        <v>0</v>
      </c>
      <c r="F6" s="1782">
        <f>(C6+D6)-E6</f>
        <v>0</v>
      </c>
      <c r="G6" s="838">
        <v>50</v>
      </c>
      <c r="H6" s="766">
        <v>0</v>
      </c>
      <c r="I6" s="766">
        <v>0</v>
      </c>
      <c r="J6" s="766">
        <v>0</v>
      </c>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662418</v>
      </c>
      <c r="D8" s="845">
        <v>0</v>
      </c>
      <c r="E8" s="845">
        <v>0</v>
      </c>
      <c r="F8" s="1782">
        <f>(C8+D8)-E8</f>
        <v>662418</v>
      </c>
      <c r="G8" s="844">
        <v>50</v>
      </c>
      <c r="H8" s="766">
        <v>308387</v>
      </c>
      <c r="I8" s="766">
        <v>13248</v>
      </c>
      <c r="J8" s="766">
        <v>0</v>
      </c>
      <c r="K8" s="1791">
        <f>(H8+I8)-J8</f>
        <v>321635</v>
      </c>
      <c r="L8" s="1791">
        <f>F8-K8</f>
        <v>340783</v>
      </c>
    </row>
    <row r="9" spans="1:14" ht="14.25" thickTop="1" thickBot="1" x14ac:dyDescent="0.25">
      <c r="A9" s="779" t="s">
        <v>1181</v>
      </c>
      <c r="B9" s="841">
        <v>232</v>
      </c>
      <c r="C9" s="766">
        <v>0</v>
      </c>
      <c r="D9" s="766">
        <v>0</v>
      </c>
      <c r="E9" s="766">
        <v>0</v>
      </c>
      <c r="F9" s="1782">
        <f>(C9+D9)-E9</f>
        <v>0</v>
      </c>
      <c r="G9" s="844">
        <v>20</v>
      </c>
      <c r="H9" s="766">
        <v>0</v>
      </c>
      <c r="I9" s="766">
        <v>0</v>
      </c>
      <c r="J9" s="766">
        <v>0</v>
      </c>
      <c r="K9" s="1791">
        <f>(H9+I9)-J9</f>
        <v>0</v>
      </c>
      <c r="L9" s="1791">
        <f>F9-K9</f>
        <v>0</v>
      </c>
    </row>
    <row r="10" spans="1:14" ht="24" thickTop="1" thickBot="1" x14ac:dyDescent="0.25">
      <c r="A10" s="846" t="s">
        <v>1182</v>
      </c>
      <c r="B10" s="841">
        <v>240</v>
      </c>
      <c r="C10" s="847">
        <v>35259</v>
      </c>
      <c r="D10" s="847">
        <v>0</v>
      </c>
      <c r="E10" s="847">
        <v>0</v>
      </c>
      <c r="F10" s="1786">
        <f>(C10+D10)-E10</f>
        <v>35259</v>
      </c>
      <c r="G10" s="844">
        <v>20</v>
      </c>
      <c r="H10" s="848">
        <v>12064</v>
      </c>
      <c r="I10" s="848">
        <v>1450</v>
      </c>
      <c r="J10" s="848">
        <v>0</v>
      </c>
      <c r="K10" s="1791">
        <f>(H10+I10)-J10</f>
        <v>13514</v>
      </c>
      <c r="L10" s="1791">
        <f>F10-K10</f>
        <v>21745</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204533</v>
      </c>
      <c r="D12" s="845">
        <v>789</v>
      </c>
      <c r="E12" s="845">
        <v>0</v>
      </c>
      <c r="F12" s="1782">
        <f>(C12+D12)-E12</f>
        <v>205322</v>
      </c>
      <c r="G12" s="844">
        <v>10</v>
      </c>
      <c r="H12" s="766">
        <v>166437</v>
      </c>
      <c r="I12" s="766">
        <v>7383</v>
      </c>
      <c r="J12" s="766">
        <v>0</v>
      </c>
      <c r="K12" s="1791">
        <f>(H12+I12)-J12</f>
        <v>173820</v>
      </c>
      <c r="L12" s="1791">
        <f>F12-K12</f>
        <v>31502</v>
      </c>
    </row>
    <row r="13" spans="1:14" ht="14.25" thickTop="1" thickBot="1" x14ac:dyDescent="0.25">
      <c r="A13" s="849" t="s">
        <v>1184</v>
      </c>
      <c r="B13" s="841">
        <v>252</v>
      </c>
      <c r="C13" s="845">
        <v>79887</v>
      </c>
      <c r="D13" s="845">
        <v>0</v>
      </c>
      <c r="E13" s="845">
        <v>0</v>
      </c>
      <c r="F13" s="1782">
        <f>(C13+D13)-E13</f>
        <v>79887</v>
      </c>
      <c r="G13" s="844">
        <v>5</v>
      </c>
      <c r="H13" s="766">
        <v>73487</v>
      </c>
      <c r="I13" s="766">
        <v>3200</v>
      </c>
      <c r="J13" s="766">
        <v>0</v>
      </c>
      <c r="K13" s="1791">
        <f>(H13+I13)-J13</f>
        <v>76687</v>
      </c>
      <c r="L13" s="1791">
        <f>F13-K13</f>
        <v>3200</v>
      </c>
    </row>
    <row r="14" spans="1:14" ht="14.25" thickTop="1" thickBot="1" x14ac:dyDescent="0.25">
      <c r="A14" s="849" t="s">
        <v>1185</v>
      </c>
      <c r="B14" s="841">
        <v>253</v>
      </c>
      <c r="C14" s="766">
        <v>35153</v>
      </c>
      <c r="D14" s="766">
        <v>4365</v>
      </c>
      <c r="E14" s="766">
        <v>0</v>
      </c>
      <c r="F14" s="1782">
        <f>(C14+D14)-E14</f>
        <v>39518</v>
      </c>
      <c r="G14" s="844">
        <v>3</v>
      </c>
      <c r="H14" s="766">
        <v>30536</v>
      </c>
      <c r="I14" s="766">
        <v>6072</v>
      </c>
      <c r="J14" s="766">
        <v>0</v>
      </c>
      <c r="K14" s="1791">
        <f>(H14+I14)-J14</f>
        <v>36608</v>
      </c>
      <c r="L14" s="1791">
        <f>F14-K14</f>
        <v>2910</v>
      </c>
    </row>
    <row r="15" spans="1:14" ht="15" customHeight="1" thickTop="1" thickBot="1" x14ac:dyDescent="0.25">
      <c r="A15" s="1653" t="s">
        <v>549</v>
      </c>
      <c r="B15" s="1652">
        <v>260</v>
      </c>
      <c r="C15" s="845">
        <v>0</v>
      </c>
      <c r="D15" s="845">
        <v>0</v>
      </c>
      <c r="E15" s="845">
        <v>0</v>
      </c>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1020250</v>
      </c>
      <c r="D16" s="1782">
        <f>SUM(D3,D5:D6,D8:D10,D12:D15)</f>
        <v>5154</v>
      </c>
      <c r="E16" s="1782">
        <f>SUM(E3,E5:E6,E8:E10,E12:E15)</f>
        <v>0</v>
      </c>
      <c r="F16" s="1782">
        <f>SUM(F3,F5:F6,F8:F10,F12:F15)</f>
        <v>1025404</v>
      </c>
      <c r="G16" s="844"/>
      <c r="H16" s="1782">
        <f>SUM(H3,H6,H8:H10,H12:H14,)</f>
        <v>590911</v>
      </c>
      <c r="I16" s="1782">
        <f>SUM(I3,I6,I8:I10,I12:I14,)</f>
        <v>31353</v>
      </c>
      <c r="J16" s="1782">
        <f>SUM(J3,J6,J8:J10,J12:J14,)</f>
        <v>0</v>
      </c>
      <c r="K16" s="1782">
        <f>(H16+I16)-J16</f>
        <v>622264</v>
      </c>
      <c r="L16" s="1782">
        <f>F16-K16</f>
        <v>403140</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31353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F176" sqref="F17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541780</v>
      </c>
      <c r="G8" s="866"/>
    </row>
    <row r="9" spans="1:7" x14ac:dyDescent="0.2">
      <c r="A9" s="870" t="s">
        <v>480</v>
      </c>
      <c r="B9" s="871" t="s">
        <v>1988</v>
      </c>
      <c r="C9" s="872"/>
      <c r="D9" s="870" t="s">
        <v>522</v>
      </c>
      <c r="E9" s="869"/>
      <c r="F9" s="1935">
        <f>'Expenditures 15-22'!K151</f>
        <v>25617</v>
      </c>
      <c r="G9" s="873"/>
    </row>
    <row r="10" spans="1:7" x14ac:dyDescent="0.2">
      <c r="A10" s="870" t="s">
        <v>520</v>
      </c>
      <c r="B10" s="871" t="s">
        <v>1989</v>
      </c>
      <c r="C10" s="872"/>
      <c r="D10" s="870" t="s">
        <v>522</v>
      </c>
      <c r="E10" s="869"/>
      <c r="F10" s="1935">
        <f>'Expenditures 15-22'!K174</f>
        <v>0</v>
      </c>
      <c r="G10" s="873"/>
    </row>
    <row r="11" spans="1:7" x14ac:dyDescent="0.2">
      <c r="A11" s="870" t="s">
        <v>481</v>
      </c>
      <c r="B11" s="871" t="s">
        <v>1990</v>
      </c>
      <c r="C11" s="872"/>
      <c r="D11" s="870" t="s">
        <v>522</v>
      </c>
      <c r="E11" s="869"/>
      <c r="F11" s="1935">
        <f>'Expenditures 15-22'!K210</f>
        <v>19623</v>
      </c>
      <c r="G11" s="873"/>
    </row>
    <row r="12" spans="1:7" x14ac:dyDescent="0.2">
      <c r="A12" s="870" t="s">
        <v>482</v>
      </c>
      <c r="B12" s="871" t="s">
        <v>1991</v>
      </c>
      <c r="C12" s="872"/>
      <c r="D12" s="870" t="s">
        <v>522</v>
      </c>
      <c r="E12" s="869"/>
      <c r="F12" s="1935">
        <f>'Expenditures 15-22'!K295</f>
        <v>13699</v>
      </c>
      <c r="G12" s="873"/>
    </row>
    <row r="13" spans="1:7" x14ac:dyDescent="0.2">
      <c r="A13" s="870" t="s">
        <v>108</v>
      </c>
      <c r="B13" s="871" t="s">
        <v>1992</v>
      </c>
      <c r="C13" s="872"/>
      <c r="D13" s="870" t="s">
        <v>522</v>
      </c>
      <c r="E13" s="869"/>
      <c r="F13" s="1935">
        <f>'Expenditures 15-22'!K342</f>
        <v>26728</v>
      </c>
      <c r="G13" s="874"/>
    </row>
    <row r="14" spans="1:7" ht="12" customHeight="1" thickBot="1" x14ac:dyDescent="0.25">
      <c r="A14" s="1792"/>
      <c r="B14" s="1793"/>
      <c r="C14" s="1794"/>
      <c r="D14" s="1795" t="s">
        <v>522</v>
      </c>
      <c r="E14" s="1796" t="s">
        <v>1015</v>
      </c>
      <c r="F14" s="1797">
        <f>SUM(F8:F13)</f>
        <v>627447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31478</v>
      </c>
      <c r="G53" s="866"/>
    </row>
    <row r="54" spans="1:7" x14ac:dyDescent="0.2">
      <c r="A54" s="870" t="s">
        <v>479</v>
      </c>
      <c r="B54" s="870" t="s">
        <v>1552</v>
      </c>
      <c r="C54" s="890" t="s">
        <v>1039</v>
      </c>
      <c r="D54" s="886" t="s">
        <v>1157</v>
      </c>
      <c r="E54" s="869"/>
      <c r="F54" s="1939">
        <f>'Expenditures 15-22'!G114</f>
        <v>5494</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0</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36972</v>
      </c>
      <c r="G76" s="866"/>
    </row>
    <row r="77" spans="1:8" s="894" customFormat="1" ht="12" customHeight="1" thickTop="1" thickBot="1" x14ac:dyDescent="0.25">
      <c r="A77" s="1801"/>
      <c r="B77" s="1798"/>
      <c r="C77" s="1794"/>
      <c r="D77" s="1799" t="s">
        <v>2011</v>
      </c>
      <c r="E77" s="1796"/>
      <c r="F77" s="1802">
        <f>(F14-F76)</f>
        <v>590475</v>
      </c>
      <c r="G77" s="870"/>
    </row>
    <row r="78" spans="1:8" s="894" customFormat="1" ht="12" customHeight="1" thickTop="1" x14ac:dyDescent="0.2">
      <c r="A78" s="1803"/>
      <c r="B78" s="1798"/>
      <c r="C78" s="1794"/>
      <c r="D78" s="1799" t="s">
        <v>2057</v>
      </c>
      <c r="E78" s="1796"/>
      <c r="F78" s="899">
        <v>58.18</v>
      </c>
      <c r="G78" s="900"/>
      <c r="H78" s="870"/>
    </row>
    <row r="79" spans="1:8" s="894" customFormat="1" ht="12" customHeight="1" thickBot="1" x14ac:dyDescent="0.25">
      <c r="A79" s="1804"/>
      <c r="B79" s="1798"/>
      <c r="C79" s="1794"/>
      <c r="D79" s="1799" t="s">
        <v>2012</v>
      </c>
      <c r="E79" s="1796" t="s">
        <v>1015</v>
      </c>
      <c r="F79" s="1805">
        <f>IF(F78&gt;0,F77/F78," Complete Line 78")</f>
        <v>10149.10622206944</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6733</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10707</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486</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33692</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29652</v>
      </c>
      <c r="G129" s="931"/>
    </row>
    <row r="130" spans="1:7" x14ac:dyDescent="0.2">
      <c r="A130" s="928" t="s">
        <v>689</v>
      </c>
      <c r="B130" s="928" t="s">
        <v>804</v>
      </c>
      <c r="C130" s="933">
        <v>4300</v>
      </c>
      <c r="D130" s="934" t="str">
        <f>'Revenues 9-14'!A211</f>
        <v>Total Title I</v>
      </c>
      <c r="E130" s="907"/>
      <c r="F130" s="1811">
        <f>SUM('Revenues 9-14'!C211,'Revenues 9-14'!D211,'Revenues 9-14'!F211,'Revenues 9-14'!G211)</f>
        <v>39553</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739</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553</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3639</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6804</v>
      </c>
      <c r="G174" s="928"/>
    </row>
    <row r="175" spans="1:7" x14ac:dyDescent="0.2">
      <c r="A175" s="1944" t="s">
        <v>5</v>
      </c>
      <c r="B175" s="1945" t="s">
        <v>2056</v>
      </c>
      <c r="C175" s="1946">
        <v>3100</v>
      </c>
      <c r="D175" s="1947" t="s">
        <v>2059</v>
      </c>
      <c r="E175" s="907"/>
      <c r="F175" s="1931">
        <v>21917</v>
      </c>
      <c r="G175" s="928"/>
    </row>
    <row r="176" spans="1:7" x14ac:dyDescent="0.2">
      <c r="A176" s="1944" t="s">
        <v>685</v>
      </c>
      <c r="B176" s="1945" t="s">
        <v>2056</v>
      </c>
      <c r="C176" s="1946">
        <v>3300</v>
      </c>
      <c r="D176" s="1947" t="s">
        <v>2060</v>
      </c>
      <c r="E176" s="907"/>
      <c r="F176" s="1931">
        <v>0</v>
      </c>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154475</v>
      </c>
    </row>
    <row r="179" spans="1:7" ht="12" customHeight="1" x14ac:dyDescent="0.2">
      <c r="A179" s="1792"/>
      <c r="B179" s="1806"/>
      <c r="C179" s="1807"/>
      <c r="D179" s="1808" t="s">
        <v>2014</v>
      </c>
      <c r="E179" s="1809"/>
      <c r="F179" s="1811">
        <f>'PCTC-OEPP 27-28'!F77-F178</f>
        <v>436000</v>
      </c>
    </row>
    <row r="180" spans="1:7" ht="12" customHeight="1" x14ac:dyDescent="0.2">
      <c r="A180" s="1792"/>
      <c r="B180" s="1806"/>
      <c r="C180" s="1807"/>
      <c r="D180" s="1808" t="s">
        <v>1924</v>
      </c>
      <c r="E180" s="1809"/>
      <c r="F180" s="1811">
        <f>'Cap Outlay Deprec 26'!I18</f>
        <v>31353</v>
      </c>
    </row>
    <row r="181" spans="1:7" ht="12" customHeight="1" x14ac:dyDescent="0.2">
      <c r="A181" s="1792"/>
      <c r="B181" s="1806"/>
      <c r="C181" s="1807"/>
      <c r="D181" s="1808" t="s">
        <v>2015</v>
      </c>
      <c r="E181" s="1809"/>
      <c r="F181" s="1811">
        <f>F179+F180</f>
        <v>467353</v>
      </c>
    </row>
    <row r="182" spans="1:7" ht="12" customHeight="1" x14ac:dyDescent="0.2">
      <c r="A182" s="1792"/>
      <c r="B182" s="1812"/>
      <c r="C182" s="1807"/>
      <c r="D182" s="1808" t="str">
        <f>D78</f>
        <v>9 Month ADA from District Average Daily Attendance/Prior General State Aid Inquiry 2017-2018</v>
      </c>
      <c r="E182" s="1809"/>
      <c r="F182" s="1813">
        <f>'PCTC-OEPP 27-28'!F78</f>
        <v>58.18</v>
      </c>
      <c r="G182" s="931"/>
    </row>
    <row r="183" spans="1:7" ht="12" customHeight="1" thickBot="1" x14ac:dyDescent="0.25">
      <c r="A183" s="1792"/>
      <c r="B183" s="1812"/>
      <c r="C183" s="1807"/>
      <c r="D183" s="1808" t="s">
        <v>2016</v>
      </c>
      <c r="E183" s="1809" t="s">
        <v>1626</v>
      </c>
      <c r="F183" s="1814">
        <f>F181/F182</f>
        <v>8032.8807150223447</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2095</v>
      </c>
      <c r="B17" s="1957" t="s">
        <v>2096</v>
      </c>
      <c r="C17" s="1958" t="s">
        <v>2095</v>
      </c>
      <c r="D17" s="1867">
        <v>0</v>
      </c>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2074</v>
      </c>
      <c r="B10" s="972"/>
      <c r="C10" s="977"/>
      <c r="D10" s="973"/>
      <c r="E10" s="974">
        <v>42820</v>
      </c>
      <c r="F10" s="975"/>
      <c r="G10" s="976"/>
      <c r="H10" s="162"/>
      <c r="I10" s="162"/>
    </row>
    <row r="11" spans="1:9" s="669" customFormat="1" ht="22.5" customHeight="1" x14ac:dyDescent="0.2">
      <c r="A11" s="2305" t="s">
        <v>1944</v>
      </c>
      <c r="B11" s="2306"/>
      <c r="C11" s="2306"/>
      <c r="D11" s="2307"/>
      <c r="E11" s="978">
        <v>3609</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322871</v>
      </c>
      <c r="F19" s="1822"/>
      <c r="G19" s="1824">
        <f>'Expenditures 15-22'!K33-SUM('Expenditures 15-22'!G33,'Expenditures 15-22'!I33)+'Expenditures 15-22'!D229</f>
        <v>322871</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2488</v>
      </c>
      <c r="F21" s="1825"/>
      <c r="G21" s="1828">
        <f>'Expenditures 15-22'!K42-SUM('Expenditures 15-22'!G42,'Expenditures 15-22'!I42)+'Expenditures 15-22'!K120-SUM('Expenditures 15-22'!G120,'Expenditures 15-22'!I120)+'Expenditures 15-22'!K180-SUM('Expenditures 15-22'!G180,'Expenditures 15-22'!I180)+'Expenditures 15-22'!D238</f>
        <v>2488</v>
      </c>
      <c r="H21" s="988"/>
      <c r="I21" s="162"/>
    </row>
    <row r="22" spans="1:9" s="669" customFormat="1" ht="12" customHeight="1" x14ac:dyDescent="0.2">
      <c r="A22" s="995" t="s">
        <v>585</v>
      </c>
      <c r="B22" s="996"/>
      <c r="C22" s="994">
        <v>2200</v>
      </c>
      <c r="D22" s="1825"/>
      <c r="E22" s="1827">
        <f>'Expenditures 15-22'!K47-SUM('Expenditures 15-22'!G47,'Expenditures 15-22'!I47)+'Expenditures 15-22'!D243</f>
        <v>0</v>
      </c>
      <c r="F22" s="1825"/>
      <c r="G22" s="1828">
        <f>'Expenditures 15-22'!K47-SUM('Expenditures 15-22'!G47,'Expenditures 15-22'!I47)+'Expenditures 15-22'!D243</f>
        <v>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110520</v>
      </c>
      <c r="F23" s="1825"/>
      <c r="G23" s="1827">
        <f>'Expenditures 15-22'!K53-SUM('Expenditures 15-22'!G53,'Expenditures 15-22'!I53)+'Expenditures 15-22'!D257+'Expenditures 15-22'!K330-SUM('Expenditures 15-22'!G330,'Expenditures 15-22'!I330)</f>
        <v>110520</v>
      </c>
      <c r="H23" s="988"/>
      <c r="I23" s="162"/>
    </row>
    <row r="24" spans="1:9" s="669" customFormat="1" ht="12" customHeight="1" x14ac:dyDescent="0.2">
      <c r="A24" s="995" t="s">
        <v>587</v>
      </c>
      <c r="B24" s="996"/>
      <c r="C24" s="994">
        <v>2400</v>
      </c>
      <c r="D24" s="1825"/>
      <c r="E24" s="1827">
        <f>'Expenditures 15-22'!K57-SUM('Expenditures 15-22'!G57,'Expenditures 15-22'!I57)+'Expenditures 15-22'!D261</f>
        <v>37473</v>
      </c>
      <c r="F24" s="1825"/>
      <c r="G24" s="1828">
        <f>'Expenditures 15-22'!K57-SUM('Expenditures 15-22'!G57,'Expenditures 15-22'!I57)+'Expenditures 15-22'!D261</f>
        <v>37473</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0</v>
      </c>
      <c r="E27" s="1827">
        <f>E8</f>
        <v>0</v>
      </c>
      <c r="F27" s="1827">
        <f>'Expenditures 15-22'!K60-SUM('Expenditures 15-22'!G60,'Expenditures 15-22'!I60)+'Expenditures 15-22'!D264-E8</f>
        <v>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52035</v>
      </c>
      <c r="F28" s="1829">
        <f>'Expenditures 15-22'!K61-SUM('Expenditures 15-22'!G61,'Expenditures 15-22'!I61)+'Expenditures 15-22'!K124-SUM('Expenditures 15-22'!G124,'Expenditures 15-22'!I124)+'Expenditures 15-22'!D266-E9</f>
        <v>52035</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20239</v>
      </c>
      <c r="F29" s="1825"/>
      <c r="G29" s="1828">
        <f>'Expenditures 15-22'!K62-SUM('Expenditures 15-22'!G62,'Expenditures 15-22'!I62)+'Expenditures 15-22'!K125-SUM('Expenditures 15-22'!G125,'Expenditures 15-22'!I125)+'Expenditures 15-22'!K182-SUM('Expenditures 15-22'!G182,'Expenditures 15-22'!I182)+'Expenditures 15-22'!D267</f>
        <v>20239</v>
      </c>
      <c r="H29" s="986"/>
    </row>
    <row r="30" spans="1:9" ht="12" customHeight="1" x14ac:dyDescent="0.2">
      <c r="A30" s="995" t="s">
        <v>102</v>
      </c>
      <c r="B30" s="998"/>
      <c r="C30" s="994">
        <v>2560</v>
      </c>
      <c r="D30" s="1825"/>
      <c r="E30" s="1827">
        <f>'Expenditures 15-22'!K63-SUM('Expenditures 15-22'!G63,'Expenditures 15-22'!I63)+'Expenditures 15-22'!D268-E10</f>
        <v>2029</v>
      </c>
      <c r="F30" s="1825"/>
      <c r="G30" s="1827">
        <f>'Expenditures 15-22'!K63-SUM('Expenditures 15-22'!G63,'Expenditures 15-22'!I63)+'Expenditures 15-22'!D268-E10</f>
        <v>2029</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0</v>
      </c>
      <c r="E41" s="1829">
        <f>SUM(E19:E40)</f>
        <v>547655</v>
      </c>
      <c r="F41" s="1829">
        <f>SUM(F19:F39)</f>
        <v>52035</v>
      </c>
      <c r="G41" s="1829">
        <f>SUM(G19:G40)</f>
        <v>495620</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0</v>
      </c>
      <c r="F43" s="1830" t="s">
        <v>495</v>
      </c>
      <c r="G43" s="1831">
        <f>F41</f>
        <v>52035</v>
      </c>
    </row>
    <row r="44" spans="1:7" ht="12" customHeight="1" x14ac:dyDescent="0.2">
      <c r="A44" s="988"/>
      <c r="B44" s="162"/>
      <c r="C44" s="1002"/>
      <c r="D44" s="1830" t="s">
        <v>494</v>
      </c>
      <c r="E44" s="1831">
        <f>E41</f>
        <v>547655</v>
      </c>
      <c r="F44" s="1830" t="s">
        <v>494</v>
      </c>
      <c r="G44" s="1831">
        <f>G41</f>
        <v>495620</v>
      </c>
    </row>
    <row r="45" spans="1:7" ht="12" customHeight="1" x14ac:dyDescent="0.2">
      <c r="A45" s="988"/>
      <c r="B45" s="162"/>
      <c r="C45" s="162"/>
      <c r="D45" s="1832" t="s">
        <v>1063</v>
      </c>
      <c r="E45" s="1833">
        <f>(E43/E44)</f>
        <v>0</v>
      </c>
      <c r="F45" s="1832" t="s">
        <v>1063</v>
      </c>
      <c r="G45" s="1833">
        <f>(G43/G44)</f>
        <v>0.10498970985835923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2" t="s">
        <v>1446</v>
      </c>
      <c r="B1" s="2322"/>
      <c r="C1" s="2322"/>
      <c r="D1" s="2322"/>
      <c r="E1" s="2322"/>
      <c r="F1" s="2322"/>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3" t="s">
        <v>1627</v>
      </c>
      <c r="B5" s="2324"/>
      <c r="C5" s="2325"/>
      <c r="D5" s="2325"/>
      <c r="E5" s="2325"/>
      <c r="F5" s="2325"/>
    </row>
    <row r="6" spans="1:10" ht="12" customHeight="1" x14ac:dyDescent="0.25">
      <c r="A6" s="1875"/>
      <c r="B6" s="1876"/>
      <c r="C6" s="2326" t="str">
        <f>COVER!A17</f>
        <v>Buncombe Cons SD 43</v>
      </c>
      <c r="D6" s="2326"/>
      <c r="E6" s="2326"/>
      <c r="F6" s="1877"/>
    </row>
    <row r="7" spans="1:10" ht="11.25" customHeight="1" thickBot="1" x14ac:dyDescent="0.3">
      <c r="A7" s="1875"/>
      <c r="B7" s="1876"/>
      <c r="C7" s="2327">
        <f>COVER!A13</f>
        <v>21044043003</v>
      </c>
      <c r="D7" s="2327"/>
      <c r="E7" s="2327"/>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2077</v>
      </c>
      <c r="F26" s="1892" t="s">
        <v>2093</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t="s">
        <v>2077</v>
      </c>
      <c r="D32" s="1890" t="s">
        <v>2077</v>
      </c>
      <c r="E32" s="1893" t="s">
        <v>2077</v>
      </c>
      <c r="F32" s="1892" t="s">
        <v>2094</v>
      </c>
      <c r="H32" s="1903">
        <f t="shared" si="0"/>
        <v>5</v>
      </c>
      <c r="I32" s="1903">
        <f t="shared" si="1"/>
        <v>5</v>
      </c>
      <c r="J32" s="1903">
        <f t="shared" si="2"/>
        <v>5</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10</v>
      </c>
      <c r="K34" s="1903">
        <f>SUM(H34:J34)</f>
        <v>30</v>
      </c>
    </row>
    <row r="35" spans="1:11" ht="12" customHeight="1" x14ac:dyDescent="0.2">
      <c r="A35" s="1896" t="s">
        <v>1459</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1458</v>
      </c>
      <c r="B40" s="1900"/>
      <c r="C40" s="2317"/>
      <c r="D40" s="2317"/>
      <c r="E40" s="2317"/>
      <c r="F40" s="2318"/>
      <c r="H40" s="1904"/>
      <c r="I40" s="1904"/>
      <c r="J40" s="1904"/>
      <c r="K40" s="1904"/>
    </row>
    <row r="41" spans="1:11" s="1895" customFormat="1" ht="12" customHeight="1" x14ac:dyDescent="0.25">
      <c r="A41" s="2319"/>
      <c r="B41" s="2320"/>
      <c r="C41" s="2320"/>
      <c r="D41" s="2320"/>
      <c r="E41" s="2320"/>
      <c r="F41" s="2321"/>
      <c r="H41" s="1904"/>
      <c r="I41" s="1904"/>
      <c r="J41" s="1904"/>
      <c r="K41" s="1904"/>
    </row>
    <row r="42" spans="1:11" s="1895" customFormat="1" ht="12" customHeight="1" x14ac:dyDescent="0.25">
      <c r="A42" s="2319"/>
      <c r="B42" s="2320"/>
      <c r="C42" s="2320"/>
      <c r="D42" s="2320"/>
      <c r="E42" s="2320"/>
      <c r="F42" s="2321"/>
      <c r="H42" s="1904"/>
      <c r="I42" s="1904"/>
      <c r="J42" s="1904"/>
      <c r="K42" s="1904"/>
    </row>
    <row r="43" spans="1:11" s="1895" customFormat="1" ht="15" x14ac:dyDescent="0.25">
      <c r="A43" s="2308"/>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E19" sqref="E1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Buncombe Cons SD 43</v>
      </c>
      <c r="J6" s="2336"/>
      <c r="Q6" s="1686"/>
    </row>
    <row r="7" spans="1:17" x14ac:dyDescent="0.2">
      <c r="A7" s="2337" t="s">
        <v>924</v>
      </c>
      <c r="B7" s="2338"/>
      <c r="C7" s="2338"/>
      <c r="D7" s="2338"/>
      <c r="E7" s="2339"/>
      <c r="F7" s="1018"/>
      <c r="G7" s="1010"/>
      <c r="H7" s="1017" t="s">
        <v>390</v>
      </c>
      <c r="I7" s="2340">
        <f>COVER!A13</f>
        <v>21044043003</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66775</v>
      </c>
      <c r="F12" s="1040"/>
      <c r="G12" s="1834">
        <f t="shared" ref="G12:G18" si="0">SUM(E12:F12)</f>
        <v>66775</v>
      </c>
      <c r="H12" s="1041">
        <v>72214</v>
      </c>
      <c r="I12" s="1040"/>
      <c r="J12" s="1834">
        <f t="shared" ref="J12:J18" si="1">SUM(H12:I12)</f>
        <v>72214</v>
      </c>
    </row>
    <row r="13" spans="1:17" ht="15" customHeight="1" x14ac:dyDescent="0.2">
      <c r="A13" s="1036">
        <v>2</v>
      </c>
      <c r="B13" s="1037" t="s">
        <v>44</v>
      </c>
      <c r="C13" s="1038"/>
      <c r="D13" s="1039">
        <v>2330</v>
      </c>
      <c r="E13" s="1834">
        <f>'Expenditures 15-22'!K51</f>
        <v>0</v>
      </c>
      <c r="F13" s="1040"/>
      <c r="G13" s="1834">
        <f t="shared" si="0"/>
        <v>0</v>
      </c>
      <c r="H13" s="1041">
        <v>0</v>
      </c>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v>0</v>
      </c>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v>0</v>
      </c>
      <c r="I15" s="1041">
        <v>0</v>
      </c>
      <c r="J15" s="1834">
        <f t="shared" si="1"/>
        <v>0</v>
      </c>
    </row>
    <row r="16" spans="1:17" ht="15" customHeight="1" x14ac:dyDescent="0.2">
      <c r="A16" s="1036">
        <v>5</v>
      </c>
      <c r="B16" s="1037" t="s">
        <v>103</v>
      </c>
      <c r="C16" s="1038"/>
      <c r="D16" s="1039">
        <v>2570</v>
      </c>
      <c r="E16" s="1834">
        <f>'Expenditures 15-22'!K64</f>
        <v>0</v>
      </c>
      <c r="F16" s="1040"/>
      <c r="G16" s="1834">
        <f t="shared" si="0"/>
        <v>0</v>
      </c>
      <c r="H16" s="1041">
        <v>0</v>
      </c>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v>0</v>
      </c>
      <c r="I17" s="1040"/>
      <c r="J17" s="1834">
        <f t="shared" si="1"/>
        <v>0</v>
      </c>
    </row>
    <row r="18" spans="1:10" ht="22.5" customHeight="1" x14ac:dyDescent="0.2">
      <c r="A18" s="1043">
        <v>7</v>
      </c>
      <c r="B18" s="2344" t="s">
        <v>7</v>
      </c>
      <c r="C18" s="2345"/>
      <c r="D18" s="2346"/>
      <c r="E18" s="1044">
        <v>5343</v>
      </c>
      <c r="F18" s="1044">
        <v>0</v>
      </c>
      <c r="G18" s="1835">
        <f t="shared" si="0"/>
        <v>5343</v>
      </c>
      <c r="H18" s="1041">
        <v>7414</v>
      </c>
      <c r="I18" s="1041">
        <v>0</v>
      </c>
      <c r="J18" s="1834">
        <f t="shared" si="1"/>
        <v>7414</v>
      </c>
    </row>
    <row r="19" spans="1:10" ht="12.75" customHeight="1" thickBot="1" x14ac:dyDescent="0.25">
      <c r="A19" s="1036">
        <v>8</v>
      </c>
      <c r="B19" s="1045" t="s">
        <v>1223</v>
      </c>
      <c r="D19" s="1046"/>
      <c r="E19" s="1836">
        <f t="shared" ref="E19:J19" si="2">SUM(E12:E17)-E18</f>
        <v>61432</v>
      </c>
      <c r="F19" s="1836">
        <f t="shared" si="2"/>
        <v>0</v>
      </c>
      <c r="G19" s="1836">
        <f t="shared" si="2"/>
        <v>61432</v>
      </c>
      <c r="H19" s="1836">
        <f t="shared" si="2"/>
        <v>64800</v>
      </c>
      <c r="I19" s="1836">
        <f t="shared" si="2"/>
        <v>0</v>
      </c>
      <c r="J19" s="1836">
        <f t="shared" si="2"/>
        <v>64800</v>
      </c>
    </row>
    <row r="20" spans="1:10" ht="13.5" thickTop="1" x14ac:dyDescent="0.2">
      <c r="A20" s="1036">
        <v>9</v>
      </c>
      <c r="B20" s="2347" t="s">
        <v>1703</v>
      </c>
      <c r="C20" s="2347"/>
      <c r="D20" s="2348"/>
      <c r="E20" s="1047"/>
      <c r="F20" s="1047"/>
      <c r="G20" s="1047"/>
      <c r="H20" s="1047"/>
      <c r="I20" s="1047"/>
      <c r="J20" s="1837">
        <f>IF(AND(G19&gt;0,J19&gt;0),(((J19-G19)/G19)),"Enter Budget Data")</f>
        <v>5.4824846985284545E-2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5"/>
  <sheetViews>
    <sheetView showGridLines="0" zoomScale="110" zoomScaleNormal="110" workbookViewId="0">
      <selection activeCell="B6" sqref="B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2097</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Buncombe Cons SD 43</v>
      </c>
    </row>
    <row r="65" spans="2:2" x14ac:dyDescent="0.2">
      <c r="B65" s="1071">
        <f>COVER!A13</f>
        <v>21044043003</v>
      </c>
    </row>
  </sheetData>
  <phoneticPr fontId="12" type="noConversion"/>
  <pageMargins left="0.2" right="0.2" top="1.17" bottom="0.75" header="0.19" footer="0.16"/>
  <pageSetup scale="79"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93"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561211</v>
      </c>
      <c r="C8" s="1838">
        <f>'Acct Summary 7-8'!D8</f>
        <v>27697</v>
      </c>
      <c r="D8" s="1838">
        <f>'Acct Summary 7-8'!F8</f>
        <v>44771</v>
      </c>
      <c r="E8" s="1838">
        <f>'Acct Summary 7-8'!I8</f>
        <v>2770</v>
      </c>
      <c r="F8" s="1838">
        <f>SUM(B8:E8)</f>
        <v>636449</v>
      </c>
    </row>
    <row r="9" spans="1:8" s="1080" customFormat="1" ht="14.25" customHeight="1" thickBot="1" x14ac:dyDescent="0.25">
      <c r="A9" s="1079" t="s">
        <v>1436</v>
      </c>
      <c r="B9" s="1839">
        <f>'Acct Summary 7-8'!C17</f>
        <v>541780</v>
      </c>
      <c r="C9" s="1839">
        <f>'Acct Summary 7-8'!D17</f>
        <v>25617</v>
      </c>
      <c r="D9" s="1839">
        <f>'Acct Summary 7-8'!F17</f>
        <v>19623</v>
      </c>
      <c r="E9" s="1838"/>
      <c r="F9" s="1838">
        <f>SUM(B9:E9)</f>
        <v>587020</v>
      </c>
    </row>
    <row r="10" spans="1:8" s="1080" customFormat="1" ht="14.25" thickTop="1" thickBot="1" x14ac:dyDescent="0.25">
      <c r="A10" s="1081" t="s">
        <v>1437</v>
      </c>
      <c r="B10" s="1840">
        <f>(B8-B9)</f>
        <v>19431</v>
      </c>
      <c r="C10" s="1840">
        <f>(C8-C9)</f>
        <v>2080</v>
      </c>
      <c r="D10" s="1840">
        <f>(D8-D9)</f>
        <v>25148</v>
      </c>
      <c r="E10" s="1839">
        <f>(E8-E9)</f>
        <v>2770</v>
      </c>
      <c r="F10" s="1841">
        <f>SUM(F8-F9)</f>
        <v>49429</v>
      </c>
    </row>
    <row r="11" spans="1:8" s="1080" customFormat="1" ht="14.25" thickTop="1" thickBot="1" x14ac:dyDescent="0.25">
      <c r="A11" s="1082" t="s">
        <v>1785</v>
      </c>
      <c r="B11" s="1842">
        <f>'Acct Summary 7-8'!C81</f>
        <v>180720</v>
      </c>
      <c r="C11" s="1842">
        <f>'Acct Summary 7-8'!D81</f>
        <v>5887</v>
      </c>
      <c r="D11" s="1842">
        <f>'Acct Summary 7-8'!F81</f>
        <v>36508</v>
      </c>
      <c r="E11" s="1842">
        <f>'Acct Summary 7-8'!I81</f>
        <v>3359</v>
      </c>
      <c r="F11" s="1843">
        <f>SUM(B11:E11)</f>
        <v>226474</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21044043003</v>
      </c>
    </row>
    <row r="3" spans="1:2" x14ac:dyDescent="0.2">
      <c r="A3" t="s">
        <v>1013</v>
      </c>
      <c r="B3" s="138" t="str">
        <f>COVER!A15</f>
        <v>JOHNSON</v>
      </c>
    </row>
    <row r="4" spans="1:2" x14ac:dyDescent="0.2">
      <c r="A4" t="s">
        <v>1064</v>
      </c>
      <c r="B4" s="138" t="str">
        <f>COVER!A17</f>
        <v>Buncombe Cons SD 43</v>
      </c>
    </row>
    <row r="5" spans="1:2" x14ac:dyDescent="0.2">
      <c r="A5" t="s">
        <v>728</v>
      </c>
      <c r="B5" s="138" t="str">
        <f>COVER!A38</f>
        <v>VICKI TRIPP</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066-005023</v>
      </c>
    </row>
    <row r="16" spans="1:2" x14ac:dyDescent="0.2">
      <c r="A16" t="s">
        <v>442</v>
      </c>
      <c r="B16" s="138" t="str">
        <f>COVER!T13</f>
        <v>BEUSSINK &amp; HICKAM PC</v>
      </c>
    </row>
    <row r="17" spans="1:2" x14ac:dyDescent="0.2">
      <c r="A17" t="s">
        <v>939</v>
      </c>
      <c r="B17" s="138" t="str">
        <f>COVER!T15</f>
        <v>SCOTT A HICKAM</v>
      </c>
    </row>
    <row r="18" spans="1:2" x14ac:dyDescent="0.2">
      <c r="A18" t="s">
        <v>1212</v>
      </c>
      <c r="B18" s="138" t="str">
        <f>COVER!T17</f>
        <v>139 W VIENNA ST - PO BOX 556</v>
      </c>
    </row>
    <row r="19" spans="1:2" x14ac:dyDescent="0.2">
      <c r="A19" t="s">
        <v>941</v>
      </c>
      <c r="B19" s="138" t="str">
        <f>COVER!T25</f>
        <v>shickam@frontier.com</v>
      </c>
    </row>
    <row r="20" spans="1:2" x14ac:dyDescent="0.2">
      <c r="A20" t="s">
        <v>942</v>
      </c>
      <c r="B20" s="138" t="str">
        <f>COVER!T19</f>
        <v>ANNA</v>
      </c>
    </row>
    <row r="21" spans="1:2" x14ac:dyDescent="0.2">
      <c r="A21" t="s">
        <v>500</v>
      </c>
      <c r="B21" s="138" t="str">
        <f>COVER!X19</f>
        <v>IL</v>
      </c>
    </row>
    <row r="22" spans="1:2" x14ac:dyDescent="0.2">
      <c r="A22" t="s">
        <v>943</v>
      </c>
      <c r="B22" s="138">
        <f>COVER!Z19</f>
        <v>62906</v>
      </c>
    </row>
    <row r="23" spans="1:2" x14ac:dyDescent="0.2">
      <c r="A23" t="s">
        <v>1214</v>
      </c>
      <c r="B23" s="138" t="str">
        <f>COVER!T21</f>
        <v>618-833-2721</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180720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180720</v>
      </c>
      <c r="D92" s="2" t="str">
        <f t="shared" si="0"/>
        <v>Error?</v>
      </c>
    </row>
    <row r="93" spans="1:4" x14ac:dyDescent="0.2">
      <c r="A93" s="5">
        <v>32</v>
      </c>
      <c r="B93" s="138">
        <f>'Assets-Liab 5-6'!C41</f>
        <v>180720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5887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5887</v>
      </c>
      <c r="D123" s="2" t="str">
        <f t="shared" si="0"/>
        <v>Error?</v>
      </c>
    </row>
    <row r="124" spans="1:4" x14ac:dyDescent="0.2">
      <c r="A124" s="5">
        <v>63</v>
      </c>
      <c r="B124" s="138">
        <f>'Assets-Liab 5-6'!D41</f>
        <v>5887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36508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36508</v>
      </c>
      <c r="D170" s="2" t="str">
        <f t="shared" si="1"/>
        <v>Error?</v>
      </c>
    </row>
    <row r="171" spans="1:4" x14ac:dyDescent="0.2">
      <c r="A171" s="5">
        <v>110</v>
      </c>
      <c r="B171" s="138">
        <f>'Assets-Liab 5-6'!F41</f>
        <v>36508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35638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35638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3000</v>
      </c>
      <c r="D273" s="2" t="str">
        <f t="shared" si="3"/>
        <v>Error?</v>
      </c>
    </row>
    <row r="274" spans="1:4" x14ac:dyDescent="0.2">
      <c r="A274" s="5">
        <v>213</v>
      </c>
      <c r="B274" s="138">
        <f>'Assets-Liab 5-6'!M17</f>
        <v>662418</v>
      </c>
      <c r="D274" s="2" t="str">
        <f t="shared" si="3"/>
        <v>Error?</v>
      </c>
    </row>
    <row r="275" spans="1:4" x14ac:dyDescent="0.2">
      <c r="A275" s="5">
        <v>214</v>
      </c>
      <c r="B275" s="138">
        <f>'Assets-Liab 5-6'!M18</f>
        <v>35259</v>
      </c>
      <c r="D275" s="2" t="str">
        <f t="shared" si="3"/>
        <v>Error?</v>
      </c>
    </row>
    <row r="276" spans="1:4" x14ac:dyDescent="0.2">
      <c r="A276" s="5">
        <v>215</v>
      </c>
      <c r="B276" s="138">
        <f>'Assets-Liab 5-6'!M19</f>
        <v>324727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1025404</v>
      </c>
      <c r="C279" s="2" t="s">
        <v>594</v>
      </c>
      <c r="D279" s="2" t="str">
        <f t="shared" si="3"/>
        <v>Error?</v>
      </c>
    </row>
    <row r="280" spans="1:4" x14ac:dyDescent="0.2">
      <c r="A280" s="5">
        <v>219</v>
      </c>
      <c r="B280" s="138">
        <f>'Assets-Liab 5-6'!M40</f>
        <v>1025404</v>
      </c>
      <c r="D280" s="2" t="str">
        <f t="shared" si="3"/>
        <v>Error?</v>
      </c>
    </row>
    <row r="281" spans="1:4" x14ac:dyDescent="0.2">
      <c r="A281" s="5">
        <v>220</v>
      </c>
      <c r="B281" s="138">
        <f>'Assets-Liab 5-6'!M41</f>
        <v>1025404</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85000</v>
      </c>
      <c r="D283" s="2" t="str">
        <f t="shared" si="3"/>
        <v>Error?</v>
      </c>
    </row>
    <row r="284" spans="1:4" x14ac:dyDescent="0.2">
      <c r="A284" s="5">
        <v>223</v>
      </c>
      <c r="B284" s="138">
        <f>'Assets-Liab 5-6'!N23</f>
        <v>85000</v>
      </c>
      <c r="C284" s="2" t="s">
        <v>594</v>
      </c>
      <c r="D284" s="2" t="str">
        <f t="shared" si="3"/>
        <v>Error?</v>
      </c>
    </row>
    <row r="285" spans="1:4" x14ac:dyDescent="0.2">
      <c r="A285" s="5">
        <v>224</v>
      </c>
      <c r="B285" s="138">
        <f>'Assets-Liab 5-6'!N36</f>
        <v>85000</v>
      </c>
      <c r="D285" s="2" t="str">
        <f t="shared" si="3"/>
        <v>Error?</v>
      </c>
    </row>
    <row r="286" spans="1:4" x14ac:dyDescent="0.2">
      <c r="A286" s="10">
        <v>225</v>
      </c>
      <c r="D286" s="2" t="str">
        <f t="shared" si="3"/>
        <v>OK</v>
      </c>
    </row>
    <row r="287" spans="1:4" x14ac:dyDescent="0.2">
      <c r="A287" s="5">
        <v>226</v>
      </c>
      <c r="B287" s="138">
        <f>'Assets-Liab 5-6'!N37</f>
        <v>85000</v>
      </c>
      <c r="C287" s="2" t="s">
        <v>594</v>
      </c>
      <c r="D287" s="2" t="str">
        <f t="shared" si="3"/>
        <v>Error?</v>
      </c>
    </row>
    <row r="288" spans="1:4" x14ac:dyDescent="0.2">
      <c r="A288" s="5">
        <v>227</v>
      </c>
      <c r="B288" s="138">
        <f>'Assets-Liab 5-6'!N41</f>
        <v>85000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85000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165903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4580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222258</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60650</v>
      </c>
      <c r="D733" s="2" t="str">
        <f t="shared" si="10"/>
        <v>Error?</v>
      </c>
    </row>
    <row r="734" spans="1:4" x14ac:dyDescent="0.2">
      <c r="A734" s="5">
        <v>673</v>
      </c>
      <c r="B734" s="138">
        <f>'Expenditures 15-22'!C53</f>
        <v>60650</v>
      </c>
      <c r="C734" s="2" t="s">
        <v>594</v>
      </c>
      <c r="D734" s="2" t="str">
        <f t="shared" si="10"/>
        <v>Error?</v>
      </c>
    </row>
    <row r="735" spans="1:4" x14ac:dyDescent="0.2">
      <c r="A735" s="5">
        <v>674</v>
      </c>
      <c r="B735" s="138">
        <f>'Expenditures 15-22'!C55</f>
        <v>31375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31375</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23410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16018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39428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131453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353711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22063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388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28604</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5343</v>
      </c>
      <c r="D791" s="2" t="str">
        <f t="shared" si="11"/>
        <v>Error?</v>
      </c>
    </row>
    <row r="792" spans="1:4" x14ac:dyDescent="0.2">
      <c r="A792" s="5">
        <v>731</v>
      </c>
      <c r="B792" s="138">
        <f>'Expenditures 15-22'!D53</f>
        <v>5343</v>
      </c>
      <c r="C792" s="2" t="s">
        <v>594</v>
      </c>
      <c r="D792" s="2" t="str">
        <f t="shared" si="11"/>
        <v>Error?</v>
      </c>
    </row>
    <row r="793" spans="1:4" x14ac:dyDescent="0.2">
      <c r="A793" s="5">
        <v>732</v>
      </c>
      <c r="B793" s="138">
        <f>'Expenditures 15-22'!D55</f>
        <v>5343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5343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10686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39290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30520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33332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2488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2488</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8525</v>
      </c>
      <c r="D848" s="2" t="str">
        <f t="shared" si="12"/>
        <v>Error?</v>
      </c>
    </row>
    <row r="849" spans="1:4" x14ac:dyDescent="0.2">
      <c r="A849" s="5">
        <v>788</v>
      </c>
      <c r="B849" s="138">
        <f>'Expenditures 15-22'!E50</f>
        <v>54</v>
      </c>
      <c r="D849" s="2" t="str">
        <f t="shared" si="12"/>
        <v>Error?</v>
      </c>
    </row>
    <row r="850" spans="1:4" x14ac:dyDescent="0.2">
      <c r="A850" s="5">
        <v>789</v>
      </c>
      <c r="B850" s="138">
        <f>'Expenditures 15-22'!E53</f>
        <v>8579</v>
      </c>
      <c r="C850" s="2" t="s">
        <v>594</v>
      </c>
      <c r="D850" s="2" t="str">
        <f t="shared" si="12"/>
        <v>Error?</v>
      </c>
    </row>
    <row r="851" spans="1:4" x14ac:dyDescent="0.2">
      <c r="A851" s="5">
        <v>790</v>
      </c>
      <c r="B851" s="138">
        <f>'Expenditures 15-22'!E55</f>
        <v>300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300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1856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1856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13223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78033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13156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33498</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818</v>
      </c>
      <c r="D906" s="2" t="str">
        <f t="shared" si="13"/>
        <v>Error?</v>
      </c>
    </row>
    <row r="907" spans="1:4" x14ac:dyDescent="0.2">
      <c r="A907" s="5">
        <v>846</v>
      </c>
      <c r="B907" s="138">
        <f>'Expenditures 15-22'!F50</f>
        <v>0</v>
      </c>
      <c r="D907" s="2" t="str">
        <f t="shared" si="13"/>
        <v>Error?</v>
      </c>
    </row>
    <row r="908" spans="1:4" x14ac:dyDescent="0.2">
      <c r="A908" s="5">
        <v>847</v>
      </c>
      <c r="B908" s="138">
        <f>'Expenditures 15-22'!F53</f>
        <v>818</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24791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24791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25609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59107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5494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5494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1336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250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1856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3406</v>
      </c>
      <c r="D1022" s="2" t="str">
        <f t="shared" si="14"/>
        <v>Error?</v>
      </c>
    </row>
    <row r="1023" spans="1:4" x14ac:dyDescent="0.2">
      <c r="A1023" s="5">
        <v>962</v>
      </c>
      <c r="B1023" s="138">
        <f>'Expenditures 15-22'!H50</f>
        <v>728</v>
      </c>
      <c r="D1023" s="2" t="str">
        <f t="shared" ref="D1023:D1086" si="15">IF(ISBLANK(B1023),"OK",IF(A1023-B1023=0,"OK","Error?"))</f>
        <v>Error?</v>
      </c>
    </row>
    <row r="1024" spans="1:4" x14ac:dyDescent="0.2">
      <c r="A1024" s="5">
        <v>963</v>
      </c>
      <c r="B1024" s="138">
        <f>'Expenditures 15-22'!H53</f>
        <v>4134</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155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155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4289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6145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232978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5247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325042</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2488</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2488</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0</v>
      </c>
      <c r="C1119" s="2" t="s">
        <v>594</v>
      </c>
      <c r="D1119" s="2" t="str">
        <f t="shared" si="16"/>
        <v>Error?</v>
      </c>
    </row>
    <row r="1120" spans="1:4" x14ac:dyDescent="0.2">
      <c r="A1120" s="5">
        <v>1059</v>
      </c>
      <c r="B1120" s="138">
        <f>'Expenditures 15-22'!K49</f>
        <v>12749</v>
      </c>
      <c r="C1120" s="2" t="s">
        <v>594</v>
      </c>
      <c r="D1120" s="2" t="str">
        <f t="shared" si="16"/>
        <v>Error?</v>
      </c>
    </row>
    <row r="1121" spans="1:4" x14ac:dyDescent="0.2">
      <c r="A1121" s="5">
        <v>1060</v>
      </c>
      <c r="B1121" s="138">
        <f>'Expenditures 15-22'!K50</f>
        <v>66775</v>
      </c>
      <c r="C1121" s="2" t="s">
        <v>594</v>
      </c>
      <c r="D1121" s="2" t="str">
        <f t="shared" si="16"/>
        <v>Error?</v>
      </c>
    </row>
    <row r="1122" spans="1:4" x14ac:dyDescent="0.2">
      <c r="A1122" s="5">
        <v>1061</v>
      </c>
      <c r="B1122" s="138">
        <f>'Expenditures 15-22'!K53</f>
        <v>79524</v>
      </c>
      <c r="C1122" s="2" t="s">
        <v>594</v>
      </c>
      <c r="D1122" s="2" t="str">
        <f t="shared" si="16"/>
        <v>Error?</v>
      </c>
    </row>
    <row r="1123" spans="1:4" x14ac:dyDescent="0.2">
      <c r="A1123" s="5">
        <v>1062</v>
      </c>
      <c r="B1123" s="138">
        <f>'Expenditures 15-22'!K55</f>
        <v>37018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37018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23410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42820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66230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185260</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31478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541780</v>
      </c>
      <c r="C1152" s="2" t="s">
        <v>594</v>
      </c>
      <c r="D1152" s="2" t="str">
        <f t="shared" si="17"/>
        <v>Error?</v>
      </c>
    </row>
    <row r="1153" spans="1:4" x14ac:dyDescent="0.2">
      <c r="A1153" s="5">
        <v>1092</v>
      </c>
      <c r="B1153" s="138">
        <f>'Expenditures 15-22'!K115</f>
        <v>19431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8924</v>
      </c>
      <c r="D1237" s="2" t="str">
        <f t="shared" si="18"/>
        <v>Error?</v>
      </c>
    </row>
    <row r="1238" spans="1:4" x14ac:dyDescent="0.2">
      <c r="A1238" s="10">
        <v>1177</v>
      </c>
      <c r="D1238" s="2" t="str">
        <f t="shared" si="18"/>
        <v>OK</v>
      </c>
    </row>
    <row r="1239" spans="1:4" x14ac:dyDescent="0.2">
      <c r="A1239" s="5">
        <v>1178</v>
      </c>
      <c r="B1239" s="138">
        <f>'Expenditures 15-22'!E127</f>
        <v>8924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8924</v>
      </c>
      <c r="C1241" s="2" t="s">
        <v>594</v>
      </c>
      <c r="D1241" s="2" t="str">
        <f t="shared" si="18"/>
        <v>Error?</v>
      </c>
    </row>
    <row r="1242" spans="1:4" x14ac:dyDescent="0.2">
      <c r="A1242" s="5">
        <v>1181</v>
      </c>
      <c r="B1242" s="138">
        <f>'Expenditures 15-22'!E151</f>
        <v>8924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16693</v>
      </c>
      <c r="D1245" s="2" t="str">
        <f t="shared" si="18"/>
        <v>Error?</v>
      </c>
    </row>
    <row r="1246" spans="1:4" x14ac:dyDescent="0.2">
      <c r="A1246" s="10">
        <v>1185</v>
      </c>
      <c r="D1246" s="2" t="str">
        <f t="shared" si="18"/>
        <v>OK</v>
      </c>
    </row>
    <row r="1247" spans="1:4" x14ac:dyDescent="0.2">
      <c r="A1247" s="5">
        <v>1186</v>
      </c>
      <c r="B1247" s="138">
        <f>'Expenditures 15-22'!F127</f>
        <v>16693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16693</v>
      </c>
      <c r="C1249" s="2" t="s">
        <v>594</v>
      </c>
      <c r="D1249" s="2" t="str">
        <f t="shared" si="18"/>
        <v>Error?</v>
      </c>
    </row>
    <row r="1250" spans="1:4" x14ac:dyDescent="0.2">
      <c r="A1250" s="5">
        <v>1189</v>
      </c>
      <c r="B1250" s="138">
        <f>'Expenditures 15-22'!F151</f>
        <v>16693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25617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25617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25617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25617</v>
      </c>
      <c r="C1288" s="2" t="s">
        <v>594</v>
      </c>
      <c r="D1288" s="2" t="str">
        <f t="shared" si="19"/>
        <v>Error?</v>
      </c>
    </row>
    <row r="1289" spans="1:4" x14ac:dyDescent="0.2">
      <c r="A1289" s="5">
        <v>1228</v>
      </c>
      <c r="B1289" s="138">
        <f>'Expenditures 15-22'!K152</f>
        <v>2080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8539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8539</v>
      </c>
      <c r="C1339" s="2" t="s">
        <v>594</v>
      </c>
      <c r="D1339" s="2" t="str">
        <f t="shared" si="19"/>
        <v>Error?</v>
      </c>
    </row>
    <row r="1340" spans="1:4" x14ac:dyDescent="0.2">
      <c r="A1340" s="5">
        <v>1279</v>
      </c>
      <c r="B1340" s="138">
        <f>'Expenditures 15-22'!C210</f>
        <v>8539</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5682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5682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5682</v>
      </c>
      <c r="C1353" s="2" t="s">
        <v>594</v>
      </c>
      <c r="D1353" s="2" t="str">
        <f t="shared" si="20"/>
        <v>Error?</v>
      </c>
    </row>
    <row r="1354" spans="1:4" x14ac:dyDescent="0.2">
      <c r="A1354" s="5">
        <v>1293</v>
      </c>
      <c r="B1354" s="138">
        <f>'Expenditures 15-22'!F182</f>
        <v>5032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5032</v>
      </c>
      <c r="C1358" s="2" t="s">
        <v>594</v>
      </c>
      <c r="D1358" s="2" t="str">
        <f t="shared" si="20"/>
        <v>Error?</v>
      </c>
    </row>
    <row r="1359" spans="1:4" x14ac:dyDescent="0.2">
      <c r="A1359" s="5">
        <v>1298</v>
      </c>
      <c r="B1359" s="138">
        <f>'Expenditures 15-22'!F210</f>
        <v>5032</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370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370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370</v>
      </c>
      <c r="C1376" s="2" t="s">
        <v>594</v>
      </c>
      <c r="D1376" s="2" t="str">
        <f t="shared" si="20"/>
        <v>Error?</v>
      </c>
    </row>
    <row r="1377" spans="1:4" x14ac:dyDescent="0.2">
      <c r="A1377" s="5">
        <v>1316</v>
      </c>
      <c r="B1377" s="138">
        <f>'Expenditures 15-22'!K182</f>
        <v>19623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19623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19623</v>
      </c>
      <c r="C1388" s="2" t="s">
        <v>594</v>
      </c>
      <c r="D1388" s="2" t="str">
        <f t="shared" si="20"/>
        <v>Error?</v>
      </c>
    </row>
    <row r="1389" spans="1:4" x14ac:dyDescent="0.2">
      <c r="A1389" s="5">
        <v>1328</v>
      </c>
      <c r="B1389" s="138">
        <f>'Expenditures 15-22'!K211</f>
        <v>25148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262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3323</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4268</v>
      </c>
      <c r="D1423" s="2" t="str">
        <f t="shared" si="21"/>
        <v>Error?</v>
      </c>
    </row>
    <row r="1424" spans="1:4" x14ac:dyDescent="0.2">
      <c r="A1424" s="5">
        <v>1363</v>
      </c>
      <c r="B1424" s="138">
        <f>'Expenditures 15-22'!D257</f>
        <v>4268</v>
      </c>
      <c r="C1424" s="2" t="s">
        <v>594</v>
      </c>
      <c r="D1424" s="2" t="str">
        <f t="shared" si="21"/>
        <v>Error?</v>
      </c>
    </row>
    <row r="1425" spans="1:4" x14ac:dyDescent="0.2">
      <c r="A1425" s="5">
        <v>1364</v>
      </c>
      <c r="B1425" s="138">
        <f>'Expenditures 15-22'!D259</f>
        <v>455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455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3008</v>
      </c>
      <c r="D1431" s="2" t="str">
        <f t="shared" si="21"/>
        <v>Error?</v>
      </c>
    </row>
    <row r="1432" spans="1:4" x14ac:dyDescent="0.2">
      <c r="A1432" s="5">
        <v>1371</v>
      </c>
      <c r="B1432" s="138">
        <f>'Expenditures 15-22'!D267</f>
        <v>616</v>
      </c>
      <c r="D1432" s="2" t="str">
        <f t="shared" si="21"/>
        <v>Error?</v>
      </c>
    </row>
    <row r="1433" spans="1:4" x14ac:dyDescent="0.2">
      <c r="A1433" s="5">
        <v>1372</v>
      </c>
      <c r="B1433" s="138">
        <f>'Expenditures 15-22'!D268</f>
        <v>2029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5653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10376</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13699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262</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3323</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4268</v>
      </c>
      <c r="C1487" s="2" t="s">
        <v>594</v>
      </c>
      <c r="D1487" s="2" t="str">
        <f t="shared" si="22"/>
        <v>Error?</v>
      </c>
    </row>
    <row r="1488" spans="1:4" x14ac:dyDescent="0.2">
      <c r="A1488" s="5">
        <v>1427</v>
      </c>
      <c r="B1488" s="138">
        <f>'Expenditures 15-22'!K257</f>
        <v>4268</v>
      </c>
      <c r="C1488" s="2" t="s">
        <v>594</v>
      </c>
      <c r="D1488" s="2" t="str">
        <f t="shared" si="22"/>
        <v>Error?</v>
      </c>
    </row>
    <row r="1489" spans="1:4" x14ac:dyDescent="0.2">
      <c r="A1489" s="5">
        <v>1428</v>
      </c>
      <c r="B1489" s="138">
        <f>'Expenditures 15-22'!K259</f>
        <v>455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455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3008</v>
      </c>
      <c r="C1495" s="2" t="s">
        <v>594</v>
      </c>
      <c r="D1495" s="2" t="str">
        <f t="shared" si="22"/>
        <v>Error?</v>
      </c>
    </row>
    <row r="1496" spans="1:4" x14ac:dyDescent="0.2">
      <c r="A1496" s="5">
        <v>1435</v>
      </c>
      <c r="B1496" s="138">
        <f>'Expenditures 15-22'!K267</f>
        <v>616</v>
      </c>
      <c r="C1496" s="2" t="s">
        <v>594</v>
      </c>
      <c r="D1496" s="2" t="str">
        <f t="shared" si="22"/>
        <v>Error?</v>
      </c>
    </row>
    <row r="1497" spans="1:4" x14ac:dyDescent="0.2">
      <c r="A1497" s="5">
        <v>1436</v>
      </c>
      <c r="B1497" s="138">
        <f>'Expenditures 15-22'!K268</f>
        <v>2029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5653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10376</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13699</v>
      </c>
      <c r="C1517" s="2" t="s">
        <v>594</v>
      </c>
      <c r="D1517" s="2" t="str">
        <f t="shared" si="22"/>
        <v>Error?</v>
      </c>
    </row>
    <row r="1518" spans="1:4" x14ac:dyDescent="0.2">
      <c r="A1518" s="5">
        <v>1457</v>
      </c>
      <c r="B1518" s="138">
        <f>'Expenditures 15-22'!K296</f>
        <v>-207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102289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180720</v>
      </c>
      <c r="C1630" s="2" t="s">
        <v>594</v>
      </c>
      <c r="D1630" s="2" t="str">
        <f t="shared" si="24"/>
        <v>Error?</v>
      </c>
    </row>
    <row r="1631" spans="1:4" x14ac:dyDescent="0.2">
      <c r="A1631" s="5">
        <v>1570</v>
      </c>
      <c r="B1631" s="138">
        <f>'Acct Summary 7-8'!D79</f>
        <v>3807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5887</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11360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36508</v>
      </c>
      <c r="C1672" s="2" t="s">
        <v>594</v>
      </c>
      <c r="D1672" s="2" t="str">
        <f t="shared" si="25"/>
        <v>Error?</v>
      </c>
    </row>
    <row r="1673" spans="1:4" x14ac:dyDescent="0.2">
      <c r="A1673" s="5">
        <v>1612</v>
      </c>
      <c r="B1673" s="138">
        <f>'Acct Summary 7-8'!G79</f>
        <v>35845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35638</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97373</v>
      </c>
      <c r="C1744" s="2" t="s">
        <v>594</v>
      </c>
      <c r="D1744" s="2" t="str">
        <f t="shared" si="26"/>
        <v>Error?</v>
      </c>
    </row>
    <row r="1745" spans="1:5" x14ac:dyDescent="0.2">
      <c r="A1745" s="5">
        <v>1684</v>
      </c>
      <c r="B1745" s="138">
        <f>'Tax Sched 23'!B5</f>
        <v>27697</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11079</v>
      </c>
      <c r="C1747" s="2" t="s">
        <v>594</v>
      </c>
      <c r="D1747" s="2" t="str">
        <f t="shared" si="26"/>
        <v>Error?</v>
      </c>
    </row>
    <row r="1748" spans="1:5" x14ac:dyDescent="0.2">
      <c r="A1748" s="5">
        <v>1687</v>
      </c>
      <c r="B1748" s="138">
        <f>'Tax Sched 23'!B8</f>
        <v>5939</v>
      </c>
      <c r="C1748" s="2" t="s">
        <v>594</v>
      </c>
      <c r="D1748" s="2" t="str">
        <f t="shared" si="26"/>
        <v>Error?</v>
      </c>
    </row>
    <row r="1749" spans="1:5" x14ac:dyDescent="0.2">
      <c r="A1749" s="5">
        <v>1688</v>
      </c>
      <c r="B1749" s="138">
        <f>'Tax Sched 23'!B10</f>
        <v>2770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29694</v>
      </c>
      <c r="C1752" s="2" t="s">
        <v>594</v>
      </c>
      <c r="D1752" s="2" t="str">
        <f t="shared" si="26"/>
        <v>Error?</v>
      </c>
    </row>
    <row r="1753" spans="1:5" x14ac:dyDescent="0.2">
      <c r="A1753" s="5">
        <v>1692</v>
      </c>
      <c r="B1753" s="138">
        <f>'Tax Sched 23'!B12</f>
        <v>2769</v>
      </c>
      <c r="C1753" s="2" t="s">
        <v>594</v>
      </c>
      <c r="D1753" s="2" t="str">
        <f t="shared" si="26"/>
        <v>Error?</v>
      </c>
    </row>
    <row r="1754" spans="1:5" x14ac:dyDescent="0.2">
      <c r="A1754" s="5">
        <v>1693</v>
      </c>
      <c r="B1754" s="138">
        <f>'Tax Sched 23'!B14</f>
        <v>1108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184368</v>
      </c>
      <c r="C1759" s="2" t="s">
        <v>594</v>
      </c>
      <c r="D1759" s="2" t="str">
        <f t="shared" si="26"/>
        <v>Error?</v>
      </c>
    </row>
    <row r="1760" spans="1:5" x14ac:dyDescent="0.2">
      <c r="A1760" s="5">
        <v>1699</v>
      </c>
      <c r="B1760" s="138">
        <f>'Tax Sched 23'!D4</f>
        <v>97373</v>
      </c>
      <c r="C1760" s="2" t="s">
        <v>594</v>
      </c>
      <c r="D1760" s="2" t="str">
        <f t="shared" si="26"/>
        <v>Error?</v>
      </c>
    </row>
    <row r="1761" spans="1:5" x14ac:dyDescent="0.2">
      <c r="A1761" s="5">
        <v>1700</v>
      </c>
      <c r="B1761" s="138">
        <f>'Tax Sched 23'!D5</f>
        <v>27697</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11079</v>
      </c>
      <c r="C1763" s="2" t="s">
        <v>594</v>
      </c>
      <c r="D1763" s="2" t="str">
        <f t="shared" si="26"/>
        <v>Error?</v>
      </c>
    </row>
    <row r="1764" spans="1:5" x14ac:dyDescent="0.2">
      <c r="A1764" s="5">
        <v>1703</v>
      </c>
      <c r="B1764" s="138">
        <f>'Tax Sched 23'!D8</f>
        <v>5939</v>
      </c>
      <c r="C1764" s="2" t="s">
        <v>594</v>
      </c>
      <c r="D1764" s="2" t="str">
        <f t="shared" si="26"/>
        <v>Error?</v>
      </c>
    </row>
    <row r="1765" spans="1:5" x14ac:dyDescent="0.2">
      <c r="A1765" s="5">
        <v>1704</v>
      </c>
      <c r="B1765" s="138">
        <f>'Tax Sched 23'!D10</f>
        <v>2770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29694</v>
      </c>
      <c r="C1768" s="2" t="s">
        <v>594</v>
      </c>
      <c r="D1768" s="2" t="str">
        <f t="shared" si="26"/>
        <v>Error?</v>
      </c>
    </row>
    <row r="1769" spans="1:5" x14ac:dyDescent="0.2">
      <c r="A1769" s="5">
        <v>1708</v>
      </c>
      <c r="B1769" s="138">
        <f>'Tax Sched 23'!D12</f>
        <v>2769</v>
      </c>
      <c r="C1769" s="2" t="s">
        <v>594</v>
      </c>
      <c r="D1769" s="2" t="str">
        <f t="shared" si="26"/>
        <v>Error?</v>
      </c>
    </row>
    <row r="1770" spans="1:5" x14ac:dyDescent="0.2">
      <c r="A1770" s="5">
        <v>1709</v>
      </c>
      <c r="B1770" s="138">
        <f>'Tax Sched 23'!D14</f>
        <v>1108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184368</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97946</v>
      </c>
      <c r="C1792" s="2" t="s">
        <v>594</v>
      </c>
      <c r="D1792" s="2" t="str">
        <f t="shared" si="27"/>
        <v>Error?</v>
      </c>
    </row>
    <row r="1793" spans="1:4" x14ac:dyDescent="0.2">
      <c r="A1793" s="5">
        <v>1732</v>
      </c>
      <c r="B1793" s="138">
        <f>'Tax Sched 23'!F5</f>
        <v>27985</v>
      </c>
      <c r="C1793" s="2" t="s">
        <v>594</v>
      </c>
      <c r="D1793" s="2" t="str">
        <f t="shared" si="27"/>
        <v>Error?</v>
      </c>
    </row>
    <row r="1794" spans="1:4" x14ac:dyDescent="0.2">
      <c r="A1794" s="5">
        <v>1733</v>
      </c>
      <c r="B1794" s="138">
        <f>'Tax Sched 23'!F6</f>
        <v>12870</v>
      </c>
      <c r="C1794" s="2" t="s">
        <v>594</v>
      </c>
      <c r="D1794" s="2" t="str">
        <f t="shared" si="27"/>
        <v>Error?</v>
      </c>
    </row>
    <row r="1795" spans="1:4" x14ac:dyDescent="0.2">
      <c r="A1795" s="5">
        <v>1734</v>
      </c>
      <c r="B1795" s="138">
        <f>'Tax Sched 23'!F7</f>
        <v>11194</v>
      </c>
      <c r="C1795" s="2" t="s">
        <v>594</v>
      </c>
      <c r="D1795" s="2" t="str">
        <f t="shared" si="27"/>
        <v>Error?</v>
      </c>
    </row>
    <row r="1796" spans="1:4" x14ac:dyDescent="0.2">
      <c r="A1796" s="5">
        <v>1735</v>
      </c>
      <c r="B1796" s="138">
        <f>'Tax Sched 23'!F8</f>
        <v>2020</v>
      </c>
      <c r="C1796" s="2" t="s">
        <v>594</v>
      </c>
      <c r="D1796" s="2" t="str">
        <f t="shared" si="27"/>
        <v>Error?</v>
      </c>
    </row>
    <row r="1797" spans="1:4" x14ac:dyDescent="0.2">
      <c r="A1797" s="5">
        <v>1736</v>
      </c>
      <c r="B1797" s="138">
        <f>'Tax Sched 23'!F10</f>
        <v>2798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45775</v>
      </c>
      <c r="C1800" s="2" t="s">
        <v>594</v>
      </c>
      <c r="D1800" s="2" t="str">
        <f t="shared" si="27"/>
        <v>Error?</v>
      </c>
    </row>
    <row r="1801" spans="1:4" x14ac:dyDescent="0.2">
      <c r="A1801" s="5">
        <v>1740</v>
      </c>
      <c r="B1801" s="138">
        <f>'Tax Sched 23'!F12</f>
        <v>2798</v>
      </c>
      <c r="C1801" s="2" t="s">
        <v>594</v>
      </c>
      <c r="D1801" s="2" t="str">
        <f t="shared" si="27"/>
        <v>Error?</v>
      </c>
    </row>
    <row r="1802" spans="1:4" x14ac:dyDescent="0.2">
      <c r="A1802" s="5">
        <v>1741</v>
      </c>
      <c r="B1802" s="138">
        <f>'Tax Sched 23'!F14</f>
        <v>1120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206528</v>
      </c>
      <c r="C1807" s="2" t="s">
        <v>594</v>
      </c>
      <c r="D1807" s="2" t="str">
        <f t="shared" si="27"/>
        <v>Error?</v>
      </c>
    </row>
    <row r="1808" spans="1:4" x14ac:dyDescent="0.2">
      <c r="A1808" s="5">
        <v>1747</v>
      </c>
      <c r="B1808" s="138">
        <f>'Tax Sched 23'!E4</f>
        <v>97946</v>
      </c>
      <c r="D1808" s="2" t="str">
        <f t="shared" si="27"/>
        <v>Error?</v>
      </c>
    </row>
    <row r="1809" spans="1:4" x14ac:dyDescent="0.2">
      <c r="A1809" s="5">
        <v>1748</v>
      </c>
      <c r="B1809" s="138">
        <f>'Tax Sched 23'!E5</f>
        <v>27985</v>
      </c>
      <c r="D1809" s="2" t="str">
        <f t="shared" si="27"/>
        <v>Error?</v>
      </c>
    </row>
    <row r="1810" spans="1:4" x14ac:dyDescent="0.2">
      <c r="A1810" s="5">
        <v>1749</v>
      </c>
      <c r="B1810" s="138">
        <f>'Tax Sched 23'!E6</f>
        <v>12870</v>
      </c>
      <c r="D1810" s="2" t="str">
        <f t="shared" si="27"/>
        <v>Error?</v>
      </c>
    </row>
    <row r="1811" spans="1:4" x14ac:dyDescent="0.2">
      <c r="A1811" s="5">
        <v>1750</v>
      </c>
      <c r="B1811" s="138">
        <f>'Tax Sched 23'!E7</f>
        <v>11194</v>
      </c>
      <c r="D1811" s="2" t="str">
        <f t="shared" si="27"/>
        <v>Error?</v>
      </c>
    </row>
    <row r="1812" spans="1:4" x14ac:dyDescent="0.2">
      <c r="A1812" s="5">
        <v>1751</v>
      </c>
      <c r="B1812" s="138">
        <f>'Tax Sched 23'!E8</f>
        <v>2020</v>
      </c>
      <c r="D1812" s="2" t="str">
        <f t="shared" si="27"/>
        <v>Error?</v>
      </c>
    </row>
    <row r="1813" spans="1:4" x14ac:dyDescent="0.2">
      <c r="A1813" s="5">
        <v>1752</v>
      </c>
      <c r="B1813" s="138">
        <f>'Tax Sched 23'!E10</f>
        <v>2798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45775</v>
      </c>
      <c r="D1816" s="2" t="str">
        <f t="shared" si="27"/>
        <v>Error?</v>
      </c>
    </row>
    <row r="1817" spans="1:4" x14ac:dyDescent="0.2">
      <c r="A1817" s="5">
        <v>1756</v>
      </c>
      <c r="B1817" s="138">
        <f>'Tax Sched 23'!E12</f>
        <v>2798</v>
      </c>
      <c r="D1817" s="2" t="str">
        <f t="shared" si="27"/>
        <v>Error?</v>
      </c>
    </row>
    <row r="1818" spans="1:4" x14ac:dyDescent="0.2">
      <c r="A1818" s="5">
        <v>1757</v>
      </c>
      <c r="B1818" s="138">
        <f>'Tax Sched 23'!E14</f>
        <v>1120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206528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85000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1108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1108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1108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3000</v>
      </c>
      <c r="D2008" s="2" t="str">
        <f t="shared" si="30"/>
        <v>Error?</v>
      </c>
    </row>
    <row r="2009" spans="1:4" x14ac:dyDescent="0.2">
      <c r="A2009" s="5">
        <v>1948</v>
      </c>
      <c r="B2009" s="138">
        <f>'Cap Outlay Deprec 26'!C8</f>
        <v>662418</v>
      </c>
      <c r="D2009" s="2" t="str">
        <f t="shared" si="30"/>
        <v>Error?</v>
      </c>
    </row>
    <row r="2010" spans="1:4" x14ac:dyDescent="0.2">
      <c r="A2010" s="5">
        <v>1949</v>
      </c>
      <c r="B2010" s="138">
        <f>'Cap Outlay Deprec 26'!C10</f>
        <v>35259</v>
      </c>
      <c r="D2010" s="2" t="str">
        <f t="shared" si="30"/>
        <v>Error?</v>
      </c>
    </row>
    <row r="2011" spans="1:4" x14ac:dyDescent="0.2">
      <c r="A2011" s="5">
        <v>1950</v>
      </c>
      <c r="B2011" s="138">
        <f>'Cap Outlay Deprec 26'!C12</f>
        <v>204533</v>
      </c>
      <c r="D2011" s="2" t="str">
        <f t="shared" si="30"/>
        <v>Error?</v>
      </c>
    </row>
    <row r="2012" spans="1:4" x14ac:dyDescent="0.2">
      <c r="A2012" s="5">
        <v>1951</v>
      </c>
      <c r="B2012" s="138">
        <f>'Cap Outlay Deprec 26'!C13</f>
        <v>79887</v>
      </c>
      <c r="D2012" s="2" t="str">
        <f t="shared" si="30"/>
        <v>Error?</v>
      </c>
    </row>
    <row r="2013" spans="1:4" x14ac:dyDescent="0.2">
      <c r="A2013" s="5">
        <v>1952</v>
      </c>
      <c r="B2013" s="138">
        <f>'Cap Outlay Deprec 26'!C16</f>
        <v>1020250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789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5154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3000</v>
      </c>
      <c r="C2026" s="2" t="s">
        <v>594</v>
      </c>
      <c r="D2026" s="2" t="str">
        <f t="shared" si="30"/>
        <v>Error?</v>
      </c>
    </row>
    <row r="2027" spans="1:4" x14ac:dyDescent="0.2">
      <c r="A2027" s="5">
        <v>1966</v>
      </c>
      <c r="B2027" s="138">
        <f>'Cap Outlay Deprec 26'!F8</f>
        <v>662418</v>
      </c>
      <c r="C2027" s="2" t="s">
        <v>594</v>
      </c>
      <c r="D2027" s="2" t="str">
        <f t="shared" si="30"/>
        <v>Error?</v>
      </c>
    </row>
    <row r="2028" spans="1:4" x14ac:dyDescent="0.2">
      <c r="A2028" s="5">
        <v>1967</v>
      </c>
      <c r="B2028" s="138">
        <f>'Cap Outlay Deprec 26'!F10</f>
        <v>35259</v>
      </c>
      <c r="C2028" s="2" t="s">
        <v>594</v>
      </c>
      <c r="D2028" s="2" t="str">
        <f t="shared" si="30"/>
        <v>Error?</v>
      </c>
    </row>
    <row r="2029" spans="1:4" x14ac:dyDescent="0.2">
      <c r="A2029" s="5">
        <v>1968</v>
      </c>
      <c r="B2029" s="138">
        <f>'Cap Outlay Deprec 26'!F12</f>
        <v>205322</v>
      </c>
      <c r="C2029" s="2" t="s">
        <v>594</v>
      </c>
      <c r="D2029" s="2" t="str">
        <f t="shared" si="30"/>
        <v>Error?</v>
      </c>
    </row>
    <row r="2030" spans="1:4" x14ac:dyDescent="0.2">
      <c r="A2030" s="5">
        <v>1969</v>
      </c>
      <c r="B2030" s="138">
        <f>'Cap Outlay Deprec 26'!F13</f>
        <v>79887</v>
      </c>
      <c r="C2030" s="2" t="s">
        <v>594</v>
      </c>
      <c r="D2030" s="2" t="str">
        <f t="shared" si="30"/>
        <v>Error?</v>
      </c>
    </row>
    <row r="2031" spans="1:4" x14ac:dyDescent="0.2">
      <c r="A2031" s="5">
        <v>1970</v>
      </c>
      <c r="B2031" s="138">
        <f>'Cap Outlay Deprec 26'!F16</f>
        <v>1025404</v>
      </c>
      <c r="C2031" s="2" t="s">
        <v>594</v>
      </c>
      <c r="D2031" s="2" t="str">
        <f t="shared" si="30"/>
        <v>Error?</v>
      </c>
    </row>
    <row r="2032" spans="1:4" x14ac:dyDescent="0.2">
      <c r="A2032" s="10">
        <v>1971</v>
      </c>
      <c r="D2032" s="2" t="str">
        <f t="shared" si="30"/>
        <v>OK</v>
      </c>
    </row>
    <row r="2033" spans="1:4" x14ac:dyDescent="0.2">
      <c r="A2033" s="5">
        <v>1972</v>
      </c>
      <c r="B2033" s="138">
        <f>'Cap Outlay Deprec 26'!H8</f>
        <v>308387</v>
      </c>
      <c r="D2033" s="2" t="str">
        <f t="shared" si="30"/>
        <v>Error?</v>
      </c>
    </row>
    <row r="2034" spans="1:4" x14ac:dyDescent="0.2">
      <c r="A2034" s="5">
        <v>1973</v>
      </c>
      <c r="B2034" s="138">
        <f>'Cap Outlay Deprec 26'!H10</f>
        <v>12064</v>
      </c>
      <c r="D2034" s="2" t="str">
        <f t="shared" si="30"/>
        <v>Error?</v>
      </c>
    </row>
    <row r="2035" spans="1:4" x14ac:dyDescent="0.2">
      <c r="A2035" s="5">
        <v>1974</v>
      </c>
      <c r="B2035" s="138">
        <f>'Cap Outlay Deprec 26'!H12</f>
        <v>166437</v>
      </c>
      <c r="D2035" s="2" t="str">
        <f t="shared" si="30"/>
        <v>Error?</v>
      </c>
    </row>
    <row r="2036" spans="1:4" x14ac:dyDescent="0.2">
      <c r="A2036" s="5">
        <v>1975</v>
      </c>
      <c r="B2036" s="138">
        <f>'Cap Outlay Deprec 26'!H13</f>
        <v>73487</v>
      </c>
      <c r="D2036" s="2" t="str">
        <f t="shared" si="30"/>
        <v>Error?</v>
      </c>
    </row>
    <row r="2037" spans="1:4" x14ac:dyDescent="0.2">
      <c r="A2037" s="5">
        <v>1976</v>
      </c>
      <c r="B2037" s="138">
        <f>'Cap Outlay Deprec 26'!H16</f>
        <v>590911</v>
      </c>
      <c r="C2037" s="2" t="s">
        <v>594</v>
      </c>
      <c r="D2037" s="2" t="str">
        <f t="shared" si="30"/>
        <v>Error?</v>
      </c>
    </row>
    <row r="2038" spans="1:4" x14ac:dyDescent="0.2">
      <c r="A2038" s="10">
        <v>1977</v>
      </c>
      <c r="D2038" s="2" t="str">
        <f t="shared" si="30"/>
        <v>OK</v>
      </c>
    </row>
    <row r="2039" spans="1:4" x14ac:dyDescent="0.2">
      <c r="A2039" s="5">
        <v>1978</v>
      </c>
      <c r="B2039" s="138">
        <f>'Cap Outlay Deprec 26'!I8</f>
        <v>13248</v>
      </c>
      <c r="D2039" s="2" t="str">
        <f t="shared" si="30"/>
        <v>Error?</v>
      </c>
    </row>
    <row r="2040" spans="1:4" x14ac:dyDescent="0.2">
      <c r="A2040" s="5">
        <v>1979</v>
      </c>
      <c r="B2040" s="138">
        <f>'Cap Outlay Deprec 26'!I10</f>
        <v>1450</v>
      </c>
      <c r="D2040" s="2" t="str">
        <f t="shared" si="30"/>
        <v>Error?</v>
      </c>
    </row>
    <row r="2041" spans="1:4" x14ac:dyDescent="0.2">
      <c r="A2041" s="5">
        <v>1980</v>
      </c>
      <c r="B2041" s="138">
        <f>'Cap Outlay Deprec 26'!I12</f>
        <v>7383</v>
      </c>
      <c r="D2041" s="2" t="str">
        <f t="shared" si="30"/>
        <v>Error?</v>
      </c>
    </row>
    <row r="2042" spans="1:4" x14ac:dyDescent="0.2">
      <c r="A2042" s="5">
        <v>1981</v>
      </c>
      <c r="B2042" s="138">
        <f>'Cap Outlay Deprec 26'!I13</f>
        <v>3200</v>
      </c>
      <c r="D2042" s="2" t="str">
        <f t="shared" si="30"/>
        <v>Error?</v>
      </c>
    </row>
    <row r="2043" spans="1:4" x14ac:dyDescent="0.2">
      <c r="A2043" s="5">
        <v>1982</v>
      </c>
      <c r="B2043" s="138">
        <f>'Cap Outlay Deprec 26'!I16</f>
        <v>31353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321635</v>
      </c>
      <c r="C2051" s="2" t="s">
        <v>594</v>
      </c>
      <c r="D2051" s="2" t="str">
        <f t="shared" si="31"/>
        <v>Error?</v>
      </c>
    </row>
    <row r="2052" spans="1:4" x14ac:dyDescent="0.2">
      <c r="A2052" s="5">
        <v>1991</v>
      </c>
      <c r="B2052" s="138">
        <f>'Cap Outlay Deprec 26'!K10</f>
        <v>13514</v>
      </c>
      <c r="C2052" s="2" t="s">
        <v>594</v>
      </c>
      <c r="D2052" s="2" t="str">
        <f t="shared" si="31"/>
        <v>Error?</v>
      </c>
    </row>
    <row r="2053" spans="1:4" x14ac:dyDescent="0.2">
      <c r="A2053" s="5">
        <v>1992</v>
      </c>
      <c r="B2053" s="138">
        <f>'Cap Outlay Deprec 26'!K12</f>
        <v>173820</v>
      </c>
      <c r="C2053" s="2" t="s">
        <v>594</v>
      </c>
      <c r="D2053" s="2" t="str">
        <f t="shared" si="31"/>
        <v>Error?</v>
      </c>
    </row>
    <row r="2054" spans="1:4" x14ac:dyDescent="0.2">
      <c r="A2054" s="5">
        <v>1993</v>
      </c>
      <c r="B2054" s="138">
        <f>'Cap Outlay Deprec 26'!K13</f>
        <v>76687</v>
      </c>
      <c r="C2054" s="2" t="s">
        <v>594</v>
      </c>
      <c r="D2054" s="2" t="str">
        <f t="shared" si="31"/>
        <v>Error?</v>
      </c>
    </row>
    <row r="2055" spans="1:4" x14ac:dyDescent="0.2">
      <c r="A2055" s="5">
        <v>1994</v>
      </c>
      <c r="B2055" s="138">
        <f>'Cap Outlay Deprec 26'!K16</f>
        <v>622264</v>
      </c>
      <c r="C2055" s="2" t="s">
        <v>594</v>
      </c>
      <c r="D2055" s="2" t="str">
        <f t="shared" si="31"/>
        <v>Error?</v>
      </c>
    </row>
    <row r="2056" spans="1:4" x14ac:dyDescent="0.2">
      <c r="A2056" s="5">
        <v>1995</v>
      </c>
      <c r="B2056" s="138">
        <f>'Cap Outlay Deprec 26'!L5</f>
        <v>3000</v>
      </c>
      <c r="C2056" s="2" t="s">
        <v>594</v>
      </c>
      <c r="D2056" s="2" t="str">
        <f t="shared" si="31"/>
        <v>Error?</v>
      </c>
    </row>
    <row r="2057" spans="1:4" x14ac:dyDescent="0.2">
      <c r="A2057" s="5">
        <v>1996</v>
      </c>
      <c r="B2057" s="138">
        <f>'Cap Outlay Deprec 26'!L8</f>
        <v>340783</v>
      </c>
      <c r="C2057" s="2" t="s">
        <v>594</v>
      </c>
      <c r="D2057" s="2" t="str">
        <f t="shared" si="31"/>
        <v>Error?</v>
      </c>
    </row>
    <row r="2058" spans="1:4" x14ac:dyDescent="0.2">
      <c r="A2058" s="5">
        <v>1997</v>
      </c>
      <c r="B2058" s="138">
        <f>'Cap Outlay Deprec 26'!L10</f>
        <v>21745</v>
      </c>
      <c r="C2058" s="2" t="s">
        <v>594</v>
      </c>
      <c r="D2058" s="2" t="str">
        <f t="shared" si="31"/>
        <v>Error?</v>
      </c>
    </row>
    <row r="2059" spans="1:4" x14ac:dyDescent="0.2">
      <c r="A2059" s="5">
        <v>1998</v>
      </c>
      <c r="B2059" s="138">
        <f>'Cap Outlay Deprec 26'!L12</f>
        <v>31502</v>
      </c>
      <c r="C2059" s="2" t="s">
        <v>594</v>
      </c>
      <c r="D2059" s="2" t="str">
        <f t="shared" si="31"/>
        <v>Error?</v>
      </c>
    </row>
    <row r="2060" spans="1:4" x14ac:dyDescent="0.2">
      <c r="A2060" s="5">
        <v>1999</v>
      </c>
      <c r="B2060" s="138">
        <f>'Cap Outlay Deprec 26'!L13</f>
        <v>3200</v>
      </c>
      <c r="C2060" s="2" t="s">
        <v>594</v>
      </c>
      <c r="D2060" s="2" t="str">
        <f t="shared" si="31"/>
        <v>Error?</v>
      </c>
    </row>
    <row r="2061" spans="1:4" x14ac:dyDescent="0.2">
      <c r="A2061" s="5">
        <v>2000</v>
      </c>
      <c r="B2061" s="138">
        <f>'Cap Outlay Deprec 26'!L16</f>
        <v>403140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31478</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84000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35638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172028</v>
      </c>
      <c r="C2551" s="2" t="s">
        <v>594</v>
      </c>
      <c r="D2551" s="2" t="str">
        <f t="shared" si="38"/>
        <v>Error?</v>
      </c>
    </row>
    <row r="2552" spans="1:4" x14ac:dyDescent="0.2">
      <c r="A2552" s="10">
        <v>2491</v>
      </c>
      <c r="D2552" s="2" t="str">
        <f t="shared" si="38"/>
        <v>OK</v>
      </c>
    </row>
    <row r="2553" spans="1:4" x14ac:dyDescent="0.2">
      <c r="A2553" s="5">
        <v>2492</v>
      </c>
      <c r="B2553" s="138">
        <f>'Acct Summary 7-8'!C6</f>
        <v>304392</v>
      </c>
      <c r="C2553" s="2" t="s">
        <v>594</v>
      </c>
      <c r="D2553" s="2" t="str">
        <f t="shared" si="38"/>
        <v>Error?</v>
      </c>
    </row>
    <row r="2554" spans="1:4" x14ac:dyDescent="0.2">
      <c r="A2554" s="5">
        <v>2493</v>
      </c>
      <c r="B2554" s="138">
        <f>'Acct Summary 7-8'!C7</f>
        <v>80940</v>
      </c>
      <c r="C2554" s="2" t="s">
        <v>594</v>
      </c>
      <c r="D2554" s="2" t="str">
        <f t="shared" si="38"/>
        <v>Error?</v>
      </c>
    </row>
    <row r="2555" spans="1:4" x14ac:dyDescent="0.2">
      <c r="A2555" s="5">
        <v>2494</v>
      </c>
      <c r="B2555" s="138">
        <f>'Acct Summary 7-8'!C8</f>
        <v>561211</v>
      </c>
      <c r="C2555" s="2" t="s">
        <v>594</v>
      </c>
      <c r="D2555" s="2" t="str">
        <f t="shared" si="38"/>
        <v>Error?</v>
      </c>
    </row>
    <row r="2556" spans="1:4" x14ac:dyDescent="0.2">
      <c r="A2556" s="5">
        <v>2495</v>
      </c>
      <c r="B2556" s="138">
        <f>'Acct Summary 7-8'!C12</f>
        <v>325042</v>
      </c>
      <c r="C2556" s="2" t="s">
        <v>594</v>
      </c>
      <c r="D2556" s="2" t="str">
        <f t="shared" si="38"/>
        <v>Error?</v>
      </c>
    </row>
    <row r="2557" spans="1:4" x14ac:dyDescent="0.2">
      <c r="A2557" s="5">
        <v>2496</v>
      </c>
      <c r="B2557" s="138">
        <f>'Acct Summary 7-8'!C13</f>
        <v>185260</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31478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541780</v>
      </c>
      <c r="C2561" s="2" t="s">
        <v>594</v>
      </c>
      <c r="D2561" s="2" t="str">
        <f t="shared" si="39"/>
        <v>Error?</v>
      </c>
    </row>
    <row r="2562" spans="1:4" x14ac:dyDescent="0.2">
      <c r="A2562" s="5">
        <v>2501</v>
      </c>
      <c r="B2562" s="138">
        <f>'Acct Summary 7-8'!C20</f>
        <v>19431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27697</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27697</v>
      </c>
      <c r="C2568" s="2" t="s">
        <v>594</v>
      </c>
      <c r="D2568" s="2" t="str">
        <f t="shared" si="39"/>
        <v>Error?</v>
      </c>
    </row>
    <row r="2569" spans="1:4" x14ac:dyDescent="0.2">
      <c r="A2569" s="5">
        <v>2508</v>
      </c>
      <c r="B2569" s="138">
        <f>'Acct Summary 7-8'!D13</f>
        <v>25617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25617</v>
      </c>
      <c r="C2573" s="2" t="s">
        <v>594</v>
      </c>
      <c r="D2573" s="2" t="str">
        <f t="shared" si="39"/>
        <v>Error?</v>
      </c>
    </row>
    <row r="2574" spans="1:4" x14ac:dyDescent="0.2">
      <c r="A2574" s="5">
        <v>2513</v>
      </c>
      <c r="B2574" s="138">
        <f>'Acct Summary 7-8'!D20</f>
        <v>2080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11079</v>
      </c>
      <c r="C2591" s="2" t="s">
        <v>594</v>
      </c>
      <c r="D2591" s="2" t="str">
        <f t="shared" si="39"/>
        <v>Error?</v>
      </c>
    </row>
    <row r="2592" spans="1:4" x14ac:dyDescent="0.2">
      <c r="A2592" s="10">
        <v>2531</v>
      </c>
      <c r="D2592" s="2" t="str">
        <f t="shared" si="39"/>
        <v>OK</v>
      </c>
    </row>
    <row r="2593" spans="1:4" x14ac:dyDescent="0.2">
      <c r="A2593" s="5">
        <v>2532</v>
      </c>
      <c r="B2593" s="138">
        <f>'Acct Summary 7-8'!F6</f>
        <v>33692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44771</v>
      </c>
      <c r="C2595" s="2" t="s">
        <v>594</v>
      </c>
      <c r="D2595" s="2" t="str">
        <f t="shared" si="39"/>
        <v>Error?</v>
      </c>
    </row>
    <row r="2596" spans="1:4" x14ac:dyDescent="0.2">
      <c r="A2596" s="5">
        <v>2535</v>
      </c>
      <c r="B2596" s="138">
        <f>'Acct Summary 7-8'!F13</f>
        <v>19623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19623</v>
      </c>
      <c r="C2600" s="2" t="s">
        <v>594</v>
      </c>
      <c r="D2600" s="2" t="str">
        <f t="shared" si="39"/>
        <v>Error?</v>
      </c>
    </row>
    <row r="2601" spans="1:4" x14ac:dyDescent="0.2">
      <c r="A2601" s="5">
        <v>2540</v>
      </c>
      <c r="B2601" s="138">
        <f>'Acct Summary 7-8'!F20</f>
        <v>25148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13492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13492</v>
      </c>
      <c r="C2606" s="2" t="s">
        <v>594</v>
      </c>
      <c r="D2606" s="2" t="str">
        <f t="shared" si="39"/>
        <v>Error?</v>
      </c>
    </row>
    <row r="2607" spans="1:4" x14ac:dyDescent="0.2">
      <c r="A2607" s="5">
        <v>2546</v>
      </c>
      <c r="B2607" s="138">
        <f>'Acct Summary 7-8'!G12</f>
        <v>3323</v>
      </c>
      <c r="C2607" s="2" t="s">
        <v>594</v>
      </c>
      <c r="D2607" s="2" t="str">
        <f t="shared" si="39"/>
        <v>Error?</v>
      </c>
    </row>
    <row r="2608" spans="1:4" x14ac:dyDescent="0.2">
      <c r="A2608" s="5">
        <v>2547</v>
      </c>
      <c r="B2608" s="138">
        <f>'Acct Summary 7-8'!G13</f>
        <v>10376</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13699</v>
      </c>
      <c r="C2612" s="2" t="s">
        <v>594</v>
      </c>
      <c r="D2612" s="2" t="str">
        <f t="shared" si="39"/>
        <v>Error?</v>
      </c>
    </row>
    <row r="2613" spans="1:4" x14ac:dyDescent="0.2">
      <c r="A2613" s="5">
        <v>2552</v>
      </c>
      <c r="B2613" s="138">
        <f>'Acct Summary 7-8'!G20</f>
        <v>-207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31478</v>
      </c>
      <c r="C2789" s="2" t="s">
        <v>594</v>
      </c>
      <c r="D2789" s="2" t="str">
        <f t="shared" si="42"/>
        <v>Error?</v>
      </c>
    </row>
    <row r="2790" spans="1:4" x14ac:dyDescent="0.2">
      <c r="A2790" s="5">
        <v>2729</v>
      </c>
      <c r="B2790" s="138">
        <f>'Expenditures 15-22'!E102</f>
        <v>31478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3359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7805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3359</v>
      </c>
      <c r="D2912" s="2" t="str">
        <f t="shared" si="44"/>
        <v>Error?</v>
      </c>
    </row>
    <row r="2913" spans="1:4" x14ac:dyDescent="0.2">
      <c r="A2913" s="5">
        <v>2852</v>
      </c>
      <c r="B2913" s="138">
        <f>'Assets-Liab 5-6'!I41</f>
        <v>3359</v>
      </c>
      <c r="C2913" s="2" t="s">
        <v>594</v>
      </c>
      <c r="D2913" s="2" t="str">
        <f t="shared" si="44"/>
        <v>Error?</v>
      </c>
    </row>
    <row r="2914" spans="1:4" x14ac:dyDescent="0.2">
      <c r="A2914" s="5">
        <v>2853</v>
      </c>
      <c r="B2914" s="138">
        <f>'Assets-Liab 5-6'!L33</f>
        <v>7805</v>
      </c>
      <c r="D2914" s="2" t="str">
        <f t="shared" si="44"/>
        <v>Error?</v>
      </c>
    </row>
    <row r="2915" spans="1:4" x14ac:dyDescent="0.2">
      <c r="A2915" s="10">
        <v>2854</v>
      </c>
      <c r="D2915" s="2" t="str">
        <f t="shared" si="44"/>
        <v>OK</v>
      </c>
    </row>
    <row r="2916" spans="1:4" x14ac:dyDescent="0.2">
      <c r="A2916" s="5">
        <v>2855</v>
      </c>
      <c r="B2916" s="138">
        <f>'Assets-Liab 5-6'!L34</f>
        <v>7805</v>
      </c>
      <c r="C2916" s="2" t="s">
        <v>594</v>
      </c>
      <c r="D2916" s="2" t="str">
        <f t="shared" si="44"/>
        <v>Error?</v>
      </c>
    </row>
    <row r="2917" spans="1:4" x14ac:dyDescent="0.2">
      <c r="A2917" s="5">
        <v>2856</v>
      </c>
      <c r="B2917" s="138">
        <f>'Assets-Liab 5-6'!L41</f>
        <v>7805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31478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31478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19374</v>
      </c>
      <c r="D3055" s="2" t="str">
        <f t="shared" si="46"/>
        <v>Error?</v>
      </c>
    </row>
    <row r="3056" spans="1:4" x14ac:dyDescent="0.2">
      <c r="A3056" s="5">
        <v>2995</v>
      </c>
      <c r="B3056" s="138">
        <f>'Expenditures 15-22'!D10</f>
        <v>2605</v>
      </c>
      <c r="D3056" s="2" t="str">
        <f t="shared" si="46"/>
        <v>Error?</v>
      </c>
    </row>
    <row r="3057" spans="1:4" x14ac:dyDescent="0.2">
      <c r="A3057" s="5">
        <v>2996</v>
      </c>
      <c r="B3057" s="138">
        <f>'Expenditures 15-22'!E10</f>
        <v>935</v>
      </c>
      <c r="D3057" s="2" t="str">
        <f t="shared" si="46"/>
        <v>Error?</v>
      </c>
    </row>
    <row r="3058" spans="1:4" x14ac:dyDescent="0.2">
      <c r="A3058" s="5">
        <v>2997</v>
      </c>
      <c r="B3058" s="138">
        <f>'Expenditures 15-22'!F10</f>
        <v>20313</v>
      </c>
      <c r="D3058" s="2" t="str">
        <f t="shared" si="46"/>
        <v>Error?</v>
      </c>
    </row>
    <row r="3059" spans="1:4" x14ac:dyDescent="0.2">
      <c r="A3059" s="5">
        <v>2998</v>
      </c>
      <c r="B3059" s="138">
        <f>'Expenditures 15-22'!G10</f>
        <v>5494</v>
      </c>
      <c r="D3059" s="2" t="str">
        <f t="shared" si="46"/>
        <v>Error?</v>
      </c>
    </row>
    <row r="3060" spans="1:4" x14ac:dyDescent="0.2">
      <c r="A3060" s="5">
        <v>2999</v>
      </c>
      <c r="B3060" s="138">
        <f>'Expenditures 15-22'!H10</f>
        <v>270</v>
      </c>
      <c r="D3060" s="2" t="str">
        <f t="shared" si="46"/>
        <v>Error?</v>
      </c>
    </row>
    <row r="3061" spans="1:4" x14ac:dyDescent="0.2">
      <c r="A3061" s="10">
        <v>3000</v>
      </c>
      <c r="D3061" s="2" t="str">
        <f t="shared" si="46"/>
        <v>OK</v>
      </c>
    </row>
    <row r="3062" spans="1:4" x14ac:dyDescent="0.2">
      <c r="A3062" s="5">
        <v>3001</v>
      </c>
      <c r="B3062" s="138">
        <f>'Expenditures 15-22'!K10</f>
        <v>48991</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2770</v>
      </c>
      <c r="C3225" s="2" t="s">
        <v>594</v>
      </c>
      <c r="D3225" s="2" t="str">
        <f t="shared" si="49"/>
        <v>Error?</v>
      </c>
    </row>
    <row r="3226" spans="1:4" x14ac:dyDescent="0.2">
      <c r="A3226" s="5">
        <v>3165</v>
      </c>
      <c r="B3226" s="138">
        <f>'Acct Summary 7-8'!I8</f>
        <v>2770</v>
      </c>
      <c r="C3226" s="2" t="s">
        <v>594</v>
      </c>
      <c r="D3226" s="2" t="str">
        <f t="shared" si="49"/>
        <v>Error?</v>
      </c>
    </row>
    <row r="3227" spans="1:4" x14ac:dyDescent="0.2">
      <c r="A3227" s="5">
        <v>3166</v>
      </c>
      <c r="B3227" s="138">
        <f>'Acct Summary 7-8'!I20</f>
        <v>2770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59000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59000</v>
      </c>
      <c r="C3232" s="2" t="s">
        <v>594</v>
      </c>
      <c r="D3232" s="2" t="str">
        <f t="shared" si="49"/>
        <v>Error?</v>
      </c>
    </row>
    <row r="3233" spans="1:4" x14ac:dyDescent="0.2">
      <c r="A3233" s="5">
        <v>3172</v>
      </c>
      <c r="B3233" s="138">
        <f>'Acct Summary 7-8'!C78</f>
        <v>78431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2080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25148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-207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85000</v>
      </c>
      <c r="C3317" s="2" t="s">
        <v>594</v>
      </c>
      <c r="D3317" s="2" t="str">
        <f t="shared" si="50"/>
        <v>Error?</v>
      </c>
    </row>
    <row r="3318" spans="1:4" x14ac:dyDescent="0.2">
      <c r="A3318" s="5">
        <v>3257</v>
      </c>
      <c r="B3318" s="138">
        <f>'Acct Summary 7-8'!I76</f>
        <v>90733</v>
      </c>
      <c r="C3318" s="2" t="s">
        <v>594</v>
      </c>
      <c r="D3318" s="2" t="str">
        <f t="shared" si="50"/>
        <v>Error?</v>
      </c>
    </row>
    <row r="3319" spans="1:4" x14ac:dyDescent="0.2">
      <c r="A3319" s="5">
        <v>3258</v>
      </c>
      <c r="B3319" s="138">
        <f>'Acct Summary 7-8'!I77</f>
        <v>-5733</v>
      </c>
      <c r="C3319" s="2" t="s">
        <v>594</v>
      </c>
      <c r="D3319" s="2" t="str">
        <f t="shared" si="50"/>
        <v>Error?</v>
      </c>
    </row>
    <row r="3320" spans="1:4" x14ac:dyDescent="0.2">
      <c r="A3320" s="5">
        <v>3259</v>
      </c>
      <c r="B3320" s="138">
        <f>'Acct Summary 7-8'!I78</f>
        <v>-2963</v>
      </c>
      <c r="C3320" s="2" t="s">
        <v>594</v>
      </c>
      <c r="D3320" s="2" t="str">
        <f t="shared" si="50"/>
        <v>Error?</v>
      </c>
    </row>
    <row r="3321" spans="1:4" x14ac:dyDescent="0.2">
      <c r="A3321" s="5">
        <v>3260</v>
      </c>
      <c r="B3321" s="138">
        <f>'Acct Summary 7-8'!I79</f>
        <v>6322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3359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32401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3548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1877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37826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2563</v>
      </c>
      <c r="D3387" s="2" t="str">
        <f t="shared" si="51"/>
        <v>Error?</v>
      </c>
    </row>
    <row r="3388" spans="1:4" x14ac:dyDescent="0.2">
      <c r="A3388" s="5">
        <v>3327</v>
      </c>
      <c r="B3388" s="138">
        <f>'Expenditures 15-22'!D217</f>
        <v>498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2563</v>
      </c>
      <c r="C3390" s="2" t="s">
        <v>594</v>
      </c>
      <c r="D3390" s="2" t="str">
        <f t="shared" si="51"/>
        <v>Error?</v>
      </c>
    </row>
    <row r="3391" spans="1:4" x14ac:dyDescent="0.2">
      <c r="A3391" s="5">
        <v>3330</v>
      </c>
      <c r="B3391" s="138">
        <f>'Expenditures 15-22'!K217</f>
        <v>498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3851</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180720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5887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36508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35638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3359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7805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5939</v>
      </c>
      <c r="C3446" s="2" t="s">
        <v>594</v>
      </c>
      <c r="D3446" s="2" t="str">
        <f t="shared" si="52"/>
        <v>Error?</v>
      </c>
    </row>
    <row r="3447" spans="1:4" x14ac:dyDescent="0.2">
      <c r="A3447" s="5">
        <v>3386</v>
      </c>
      <c r="B3447" s="138">
        <f>'Tax Sched 23'!D16</f>
        <v>5939</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2022</v>
      </c>
      <c r="C3449" s="2" t="s">
        <v>594</v>
      </c>
      <c r="D3449" s="2" t="str">
        <f t="shared" si="52"/>
        <v>Error?</v>
      </c>
    </row>
    <row r="3450" spans="1:4" x14ac:dyDescent="0.2">
      <c r="A3450" s="5">
        <v>3389</v>
      </c>
      <c r="B3450" s="138">
        <f>'Tax Sched 23'!E16</f>
        <v>2022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27048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27048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27048</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27048</v>
      </c>
      <c r="C3568" s="2" t="s">
        <v>594</v>
      </c>
      <c r="D3568" s="2" t="str">
        <f t="shared" si="54"/>
        <v>Error?</v>
      </c>
    </row>
    <row r="3569" spans="1:4" x14ac:dyDescent="0.2">
      <c r="A3569" s="5">
        <v>3508</v>
      </c>
      <c r="B3569" s="138">
        <f>'Acct Summary 7-8'!K4</f>
        <v>2769</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2769</v>
      </c>
      <c r="C3571" s="2" t="s">
        <v>594</v>
      </c>
      <c r="D3571" s="2" t="str">
        <f t="shared" si="54"/>
        <v>Error?</v>
      </c>
    </row>
    <row r="3572" spans="1:4" x14ac:dyDescent="0.2">
      <c r="A3572" s="5">
        <v>3511</v>
      </c>
      <c r="B3572" s="138">
        <f>'Acct Summary 7-8'!K13</f>
        <v>4575</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4575</v>
      </c>
      <c r="C3575" s="2" t="s">
        <v>594</v>
      </c>
      <c r="D3575" s="2" t="str">
        <f t="shared" si="54"/>
        <v>Error?</v>
      </c>
    </row>
    <row r="3576" spans="1:4" x14ac:dyDescent="0.2">
      <c r="A3576" s="5">
        <v>3515</v>
      </c>
      <c r="B3576" s="138">
        <f>'Acct Summary 7-8'!K20</f>
        <v>-1806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25000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25000</v>
      </c>
      <c r="C3587" s="2" t="s">
        <v>594</v>
      </c>
      <c r="D3587" s="2" t="str">
        <f t="shared" si="55"/>
        <v>Error?</v>
      </c>
    </row>
    <row r="3588" spans="1:4" x14ac:dyDescent="0.2">
      <c r="A3588" s="5">
        <v>3527</v>
      </c>
      <c r="B3588" s="138">
        <f>'Acct Summary 7-8'!K78</f>
        <v>23194</v>
      </c>
      <c r="C3588" s="2" t="s">
        <v>594</v>
      </c>
      <c r="D3588" s="2" t="str">
        <f t="shared" si="55"/>
        <v>Error?</v>
      </c>
    </row>
    <row r="3589" spans="1:4" x14ac:dyDescent="0.2">
      <c r="A3589" s="5">
        <v>3528</v>
      </c>
      <c r="B3589" s="138">
        <f>'Acct Summary 7-8'!K79</f>
        <v>3854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27048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4575</v>
      </c>
      <c r="D3632" s="2" t="str">
        <f t="shared" si="55"/>
        <v>Error?</v>
      </c>
    </row>
    <row r="3633" spans="1:4" x14ac:dyDescent="0.2">
      <c r="A3633" s="5">
        <v>3572</v>
      </c>
      <c r="B3633" s="138">
        <f>'Expenditures 15-22'!E350</f>
        <v>4575</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4575</v>
      </c>
      <c r="C3635" s="2" t="s">
        <v>594</v>
      </c>
      <c r="D3635" s="2" t="str">
        <f t="shared" si="55"/>
        <v>Error?</v>
      </c>
    </row>
    <row r="3636" spans="1:4" x14ac:dyDescent="0.2">
      <c r="A3636" s="5">
        <v>3575</v>
      </c>
      <c r="B3636" s="138">
        <f>'Expenditures 15-22'!E367</f>
        <v>4575</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4575</v>
      </c>
      <c r="C3669" s="2" t="s">
        <v>594</v>
      </c>
      <c r="D3669" s="2" t="str">
        <f t="shared" si="56"/>
        <v>Error?</v>
      </c>
    </row>
    <row r="3670" spans="1:4" x14ac:dyDescent="0.2">
      <c r="A3670" s="5">
        <v>3609</v>
      </c>
      <c r="B3670" s="138">
        <f>'Expenditures 15-22'!K350</f>
        <v>4575</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4575</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4575</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-1806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42820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241498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802709</v>
      </c>
      <c r="C4122" s="2" t="s">
        <v>594</v>
      </c>
      <c r="D4122" s="2" t="str">
        <f t="shared" si="63"/>
        <v>Error?</v>
      </c>
    </row>
    <row r="4123" spans="1:4" x14ac:dyDescent="0.2">
      <c r="A4123" s="5">
        <v>4062</v>
      </c>
      <c r="B4123" s="138">
        <f>'Acct Summary 7-8'!D10</f>
        <v>27697</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44771</v>
      </c>
      <c r="C4125" s="2" t="s">
        <v>594</v>
      </c>
      <c r="D4125" s="2" t="str">
        <f t="shared" si="63"/>
        <v>Error?</v>
      </c>
    </row>
    <row r="4126" spans="1:4" x14ac:dyDescent="0.2">
      <c r="A4126" s="5">
        <v>4065</v>
      </c>
      <c r="B4126" s="138">
        <f>'Acct Summary 7-8'!G10</f>
        <v>13492</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2770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2769</v>
      </c>
      <c r="C4130" s="2" t="s">
        <v>594</v>
      </c>
      <c r="D4130" s="2" t="str">
        <f t="shared" si="63"/>
        <v>Error?</v>
      </c>
    </row>
    <row r="4131" spans="1:4" x14ac:dyDescent="0.2">
      <c r="A4131" s="5">
        <v>4070</v>
      </c>
      <c r="B4131" s="138">
        <f>'Acct Summary 7-8'!C18</f>
        <v>241498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783278</v>
      </c>
      <c r="C4136" s="2" t="s">
        <v>594</v>
      </c>
      <c r="D4136" s="2" t="str">
        <f t="shared" si="63"/>
        <v>Error?</v>
      </c>
    </row>
    <row r="4137" spans="1:4" x14ac:dyDescent="0.2">
      <c r="A4137" s="5">
        <v>4076</v>
      </c>
      <c r="B4137" s="138">
        <f>'Acct Summary 7-8'!D19</f>
        <v>25617</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19623</v>
      </c>
      <c r="C4139" s="2" t="s">
        <v>594</v>
      </c>
      <c r="D4139" s="2" t="str">
        <f t="shared" si="63"/>
        <v>Error?</v>
      </c>
    </row>
    <row r="4140" spans="1:4" x14ac:dyDescent="0.2">
      <c r="A4140" s="5">
        <v>4079</v>
      </c>
      <c r="B4140" s="138">
        <f>'Acct Summary 7-8'!G19</f>
        <v>13699</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4575</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85000</v>
      </c>
      <c r="C4171" s="2" t="s">
        <v>594</v>
      </c>
      <c r="D4171" s="2" t="str">
        <f t="shared" si="64"/>
        <v>Error?</v>
      </c>
    </row>
    <row r="4172" spans="1:4" x14ac:dyDescent="0.2">
      <c r="A4172" s="5">
        <v>4111</v>
      </c>
      <c r="B4172" s="138">
        <f>'Short-Term Long-Term Debt 24'!J49</f>
        <v>85000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1359.4299999999998</v>
      </c>
      <c r="C4265" s="2" t="s">
        <v>594</v>
      </c>
      <c r="D4265" s="2" t="str">
        <f t="shared" si="65"/>
        <v>Error?</v>
      </c>
      <c r="E4265" s="128"/>
    </row>
    <row r="4266" spans="1:5" x14ac:dyDescent="0.2">
      <c r="A4266" s="12">
        <v>4205</v>
      </c>
      <c r="B4266" s="138">
        <f>('FP Info 3'!F10)*100000</f>
        <v>388.42</v>
      </c>
      <c r="C4266" s="2" t="s">
        <v>594</v>
      </c>
      <c r="D4266" s="2" t="str">
        <f t="shared" si="65"/>
        <v>Error?</v>
      </c>
      <c r="E4266" s="128"/>
    </row>
    <row r="4267" spans="1:5" x14ac:dyDescent="0.2">
      <c r="A4267" s="12">
        <v>4206</v>
      </c>
      <c r="B4267" s="138">
        <f>('FP Info 3'!H10)*100000</f>
        <v>155.37</v>
      </c>
      <c r="C4267" s="2" t="s">
        <v>594</v>
      </c>
      <c r="D4267" s="2" t="str">
        <f t="shared" si="65"/>
        <v>Error?</v>
      </c>
      <c r="E4267" s="128"/>
    </row>
    <row r="4268" spans="1:5" x14ac:dyDescent="0.2">
      <c r="A4268" s="12">
        <v>4207</v>
      </c>
      <c r="B4268" s="138">
        <f>('FP Info 3'!J10)*100000</f>
        <v>1902.9999999999998</v>
      </c>
      <c r="C4268" s="2" t="s">
        <v>594</v>
      </c>
      <c r="D4268" s="2" t="str">
        <f t="shared" si="65"/>
        <v>Error?</v>
      </c>
    </row>
    <row r="4269" spans="1:5" x14ac:dyDescent="0.2">
      <c r="A4269" s="12">
        <v>4208</v>
      </c>
      <c r="B4269" s="138">
        <f>'FP Info 3'!J16</f>
        <v>226474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553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3639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739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38.840000000000003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6804</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7204900</v>
      </c>
      <c r="D4995" s="2" t="str">
        <f t="shared" si="77"/>
        <v>Error?</v>
      </c>
    </row>
    <row r="4996" spans="1:4" x14ac:dyDescent="0.2">
      <c r="A4996" s="12">
        <v>4935</v>
      </c>
      <c r="B4996" s="138">
        <f>'FP Info 3'!H31</f>
        <v>497138.10000000003</v>
      </c>
      <c r="D4996" s="2" t="str">
        <f t="shared" si="77"/>
        <v>Error?</v>
      </c>
    </row>
    <row r="4997" spans="1:4" x14ac:dyDescent="0.2">
      <c r="A4997" s="12">
        <v>4936</v>
      </c>
      <c r="B4997" s="138">
        <f>'FP Info 3'!H37</f>
        <v>85000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97373</v>
      </c>
      <c r="D5061" s="2" t="str">
        <f t="shared" si="78"/>
        <v>Error?</v>
      </c>
    </row>
    <row r="5062" spans="1:4" x14ac:dyDescent="0.2">
      <c r="A5062" s="10">
        <v>5001</v>
      </c>
      <c r="D5062" s="2" t="str">
        <f t="shared" si="78"/>
        <v>OK</v>
      </c>
    </row>
    <row r="5063" spans="1:4" x14ac:dyDescent="0.2">
      <c r="A5063" s="5">
        <v>5002</v>
      </c>
      <c r="B5063" s="138">
        <f>'Revenues 9-14'!C7</f>
        <v>1108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98481</v>
      </c>
      <c r="C5066" s="2" t="s">
        <v>594</v>
      </c>
      <c r="D5066" s="2" t="str">
        <f t="shared" si="78"/>
        <v>Error?</v>
      </c>
    </row>
    <row r="5067" spans="1:4" x14ac:dyDescent="0.2">
      <c r="A5067" s="5">
        <v>5006</v>
      </c>
      <c r="B5067" s="138">
        <f>'Revenues 9-14'!C14</f>
        <v>2080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46106</v>
      </c>
      <c r="D5069" s="2" t="str">
        <f t="shared" si="78"/>
        <v>Error?</v>
      </c>
    </row>
    <row r="5070" spans="1:4" x14ac:dyDescent="0.2">
      <c r="A5070" s="5">
        <v>5009</v>
      </c>
      <c r="B5070" s="138">
        <f>'Revenues 9-14'!C17</f>
        <v>82</v>
      </c>
      <c r="D5070" s="2" t="str">
        <f t="shared" si="78"/>
        <v>Error?</v>
      </c>
    </row>
    <row r="5071" spans="1:4" x14ac:dyDescent="0.2">
      <c r="A5071" s="5">
        <v>5010</v>
      </c>
      <c r="B5071" s="138">
        <f>'Revenues 9-14'!C18</f>
        <v>48268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4433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4433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6733</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7045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6118</v>
      </c>
      <c r="D5119" s="2" t="str">
        <f t="shared" ref="D5119:D5182" si="79">IF(ISBLANK(B5119),"OK",IF(A5119-B5119=0,"OK","Error?"))</f>
        <v>Error?</v>
      </c>
    </row>
    <row r="5120" spans="1:4" x14ac:dyDescent="0.2">
      <c r="A5120" s="5">
        <v>5059</v>
      </c>
      <c r="B5120" s="138">
        <f>'Revenues 9-14'!C108</f>
        <v>14113</v>
      </c>
      <c r="C5120" s="2" t="s">
        <v>594</v>
      </c>
      <c r="D5120" s="2" t="str">
        <f t="shared" si="79"/>
        <v>Error?</v>
      </c>
    </row>
    <row r="5121" spans="1:4" x14ac:dyDescent="0.2">
      <c r="A5121" s="5">
        <v>5060</v>
      </c>
      <c r="B5121" s="138">
        <f>'Revenues 9-14'!C109</f>
        <v>172028</v>
      </c>
      <c r="C5121" s="2" t="s">
        <v>594</v>
      </c>
      <c r="D5121" s="2" t="str">
        <f t="shared" si="79"/>
        <v>Error?</v>
      </c>
    </row>
    <row r="5122" spans="1:4" x14ac:dyDescent="0.2">
      <c r="A5122" s="5">
        <v>5061</v>
      </c>
      <c r="B5122" s="138">
        <f>'Revenues 9-14'!C111</f>
        <v>3851</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3851</v>
      </c>
      <c r="C5125" s="2" t="s">
        <v>594</v>
      </c>
      <c r="D5125" s="2" t="str">
        <f t="shared" si="79"/>
        <v>Error?</v>
      </c>
    </row>
    <row r="5126" spans="1:4" x14ac:dyDescent="0.2">
      <c r="A5126" s="5">
        <v>5065</v>
      </c>
      <c r="B5126" s="138">
        <f>'Revenues 9-14'!C117</f>
        <v>293199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293199</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4457</v>
      </c>
      <c r="D5134" s="2" t="str">
        <f t="shared" si="79"/>
        <v>Error?</v>
      </c>
    </row>
    <row r="5135" spans="1:4" x14ac:dyDescent="0.2">
      <c r="A5135" s="5">
        <v>5074</v>
      </c>
      <c r="B5135" s="138">
        <f>'Revenues 9-14'!C126</f>
        <v>6250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10707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486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11193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304392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19571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10081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29652</v>
      </c>
      <c r="C5246" s="2" t="s">
        <v>594</v>
      </c>
      <c r="D5246" s="2" t="str">
        <f t="shared" si="80"/>
        <v>Error?</v>
      </c>
    </row>
    <row r="5247" spans="1:4" x14ac:dyDescent="0.2">
      <c r="A5247" s="5">
        <v>5186</v>
      </c>
      <c r="B5247" s="138">
        <f>'Revenues 9-14'!C203</f>
        <v>39553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39553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80940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80940</v>
      </c>
      <c r="C5326" s="2" t="s">
        <v>594</v>
      </c>
      <c r="D5326" s="2" t="str">
        <f t="shared" si="82"/>
        <v>Error?</v>
      </c>
    </row>
    <row r="5327" spans="1:4" x14ac:dyDescent="0.2">
      <c r="A5327" s="5">
        <v>5266</v>
      </c>
      <c r="B5327" s="138">
        <f>'Revenues 9-14'!C275</f>
        <v>561211</v>
      </c>
      <c r="C5327" s="2" t="s">
        <v>594</v>
      </c>
      <c r="D5327" s="2" t="str">
        <f t="shared" si="82"/>
        <v>Error?</v>
      </c>
    </row>
    <row r="5328" spans="1:4" x14ac:dyDescent="0.2">
      <c r="A5328" s="5">
        <v>5267</v>
      </c>
      <c r="B5328" s="138">
        <f>'Revenues 9-14'!D5</f>
        <v>27697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27697</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27697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27697</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11079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11079</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11079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19990</v>
      </c>
      <c r="D5615" s="2" t="str">
        <f t="shared" si="86"/>
        <v>Error?</v>
      </c>
    </row>
    <row r="5616" spans="1:4" x14ac:dyDescent="0.2">
      <c r="A5616" s="10">
        <v>5555</v>
      </c>
      <c r="D5616" s="2" t="str">
        <f t="shared" si="86"/>
        <v>OK</v>
      </c>
    </row>
    <row r="5617" spans="1:4" x14ac:dyDescent="0.2">
      <c r="A5617" s="5">
        <v>5556</v>
      </c>
      <c r="B5617" s="138">
        <f>'Revenues 9-14'!F152</f>
        <v>13702</v>
      </c>
      <c r="D5617" s="2" t="str">
        <f t="shared" si="86"/>
        <v>Error?</v>
      </c>
    </row>
    <row r="5618" spans="1:4" x14ac:dyDescent="0.2">
      <c r="A5618" s="5">
        <v>5557</v>
      </c>
      <c r="B5618" s="138">
        <f>'Revenues 9-14'!F154</f>
        <v>33692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33692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33692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44771</v>
      </c>
      <c r="C5720" s="2" t="s">
        <v>594</v>
      </c>
      <c r="D5720" s="2" t="str">
        <f t="shared" si="88"/>
        <v>Error?</v>
      </c>
    </row>
    <row r="5721" spans="1:4" x14ac:dyDescent="0.2">
      <c r="A5721" s="5">
        <v>5660</v>
      </c>
      <c r="B5721" s="138">
        <f>'Revenues 9-14'!G5</f>
        <v>5939</v>
      </c>
      <c r="D5721" s="2" t="str">
        <f t="shared" si="88"/>
        <v>Error?</v>
      </c>
    </row>
    <row r="5722" spans="1:4" x14ac:dyDescent="0.2">
      <c r="A5722" s="5">
        <v>5661</v>
      </c>
      <c r="B5722" s="138">
        <f>'Revenues 9-14'!G7</f>
        <v>0</v>
      </c>
      <c r="D5722" s="2" t="str">
        <f t="shared" si="88"/>
        <v>Error?</v>
      </c>
    </row>
    <row r="5723" spans="1:4" x14ac:dyDescent="0.2">
      <c r="A5723" s="5">
        <v>5662</v>
      </c>
      <c r="B5723" s="138">
        <f>'Revenues 9-14'!G8</f>
        <v>5939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11878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1614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1614</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13492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2770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2770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2770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2769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2769</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2769</v>
      </c>
      <c r="C6023" s="2" t="s">
        <v>594</v>
      </c>
      <c r="D6023" s="2" t="str">
        <f t="shared" si="93"/>
        <v>Error?</v>
      </c>
    </row>
    <row r="6024" spans="1:5" x14ac:dyDescent="0.2">
      <c r="A6024" s="5">
        <v>5963</v>
      </c>
      <c r="B6024" s="138">
        <f>'Revenues 9-14'!G109</f>
        <v>13492</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2770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2769</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6733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3609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58.18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25959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25959</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25959</v>
      </c>
      <c r="D6216" s="2" t="str">
        <f t="shared" si="96"/>
        <v>Error?</v>
      </c>
      <c r="E6216" s="2" t="s">
        <v>199</v>
      </c>
    </row>
    <row r="6217" spans="1:5" x14ac:dyDescent="0.2">
      <c r="A6217">
        <v>6156</v>
      </c>
      <c r="B6217" s="138">
        <f>'Assets-Liab 5-6'!J4</f>
        <v>25959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29694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29694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29694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26728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26728</v>
      </c>
      <c r="D6229" s="2" t="str">
        <f t="shared" si="96"/>
        <v>Error?</v>
      </c>
      <c r="E6229" s="2" t="s">
        <v>199</v>
      </c>
    </row>
    <row r="6230" spans="1:5" x14ac:dyDescent="0.2">
      <c r="A6230">
        <v>6169</v>
      </c>
      <c r="B6230" s="138">
        <f>'Acct Summary 7-8'!J20</f>
        <v>2966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6733</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2966</v>
      </c>
      <c r="D6263" s="2" t="str">
        <f t="shared" si="96"/>
        <v>Error?</v>
      </c>
      <c r="E6263" s="2" t="s">
        <v>199</v>
      </c>
    </row>
    <row r="6264" spans="1:5" x14ac:dyDescent="0.2">
      <c r="A6264">
        <v>6203</v>
      </c>
      <c r="B6264" s="138">
        <f>'Acct Summary 7-8'!J79</f>
        <v>22993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25959</v>
      </c>
      <c r="D6266" s="2" t="str">
        <f t="shared" si="96"/>
        <v>Error?</v>
      </c>
      <c r="E6266" s="2" t="s">
        <v>199</v>
      </c>
    </row>
    <row r="6267" spans="1:5" x14ac:dyDescent="0.2">
      <c r="A6267">
        <v>6206</v>
      </c>
      <c r="B6267" s="138">
        <f>'Acct Summary 7-8'!C82</f>
        <v>78431</v>
      </c>
      <c r="D6267" s="2" t="str">
        <f t="shared" si="96"/>
        <v>Error?</v>
      </c>
      <c r="E6267" s="2" t="s">
        <v>199</v>
      </c>
    </row>
    <row r="6268" spans="1:5" x14ac:dyDescent="0.2">
      <c r="A6268">
        <v>6207</v>
      </c>
      <c r="B6268" s="138">
        <f>'Acct Summary 7-8'!D82</f>
        <v>2080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25148</v>
      </c>
      <c r="D6270" s="2" t="str">
        <f t="shared" si="96"/>
        <v>Error?</v>
      </c>
      <c r="E6270" s="2" t="s">
        <v>199</v>
      </c>
    </row>
    <row r="6271" spans="1:5" x14ac:dyDescent="0.2">
      <c r="A6271">
        <v>6210</v>
      </c>
      <c r="B6271" s="138">
        <f>'Acct Summary 7-8'!G82</f>
        <v>-207</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-2963</v>
      </c>
      <c r="D6273" s="2" t="str">
        <f t="shared" si="97"/>
        <v>Error?</v>
      </c>
      <c r="E6273" s="2" t="s">
        <v>199</v>
      </c>
    </row>
    <row r="6274" spans="1:5" x14ac:dyDescent="0.2">
      <c r="A6274">
        <v>6213</v>
      </c>
      <c r="B6274" s="138">
        <f>'Acct Summary 7-8'!J82</f>
        <v>2966</v>
      </c>
      <c r="D6274" s="2" t="str">
        <f t="shared" si="97"/>
        <v>Error?</v>
      </c>
      <c r="E6274" s="2" t="s">
        <v>199</v>
      </c>
    </row>
    <row r="6275" spans="1:5" x14ac:dyDescent="0.2">
      <c r="A6275">
        <v>6214</v>
      </c>
      <c r="B6275" s="138">
        <f>'Acct Summary 7-8'!K82</f>
        <v>23194</v>
      </c>
      <c r="D6275" s="2" t="str">
        <f t="shared" si="97"/>
        <v>Error?</v>
      </c>
      <c r="E6275" s="2" t="s">
        <v>199</v>
      </c>
    </row>
    <row r="6276" spans="1:5" x14ac:dyDescent="0.2">
      <c r="A6276">
        <v>6215</v>
      </c>
      <c r="B6276" s="138">
        <f>'Acct Summary 7-8'!C83</f>
        <v>0.43399181053563524</v>
      </c>
      <c r="D6276" s="2" t="str">
        <f t="shared" si="97"/>
        <v>Error?</v>
      </c>
      <c r="E6276" s="2" t="s">
        <v>199</v>
      </c>
    </row>
    <row r="6277" spans="1:5" x14ac:dyDescent="0.2">
      <c r="A6277">
        <v>6216</v>
      </c>
      <c r="B6277" s="138">
        <f>'Acct Summary 7-8'!D83</f>
        <v>0.353320876507559</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0.68883532376465428</v>
      </c>
      <c r="D6279" s="2" t="str">
        <f t="shared" si="97"/>
        <v>Error?</v>
      </c>
      <c r="E6279" s="2" t="s">
        <v>199</v>
      </c>
    </row>
    <row r="6280" spans="1:5" x14ac:dyDescent="0.2">
      <c r="A6280">
        <v>6219</v>
      </c>
      <c r="B6280" s="138">
        <f>'Acct Summary 7-8'!G83</f>
        <v>-5.8084067568325943E-3</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-0.88210777016969333</v>
      </c>
      <c r="D6282" s="2" t="str">
        <f t="shared" si="97"/>
        <v>Error?</v>
      </c>
      <c r="E6282" s="2" t="s">
        <v>199</v>
      </c>
    </row>
    <row r="6283" spans="1:5" x14ac:dyDescent="0.2">
      <c r="A6283">
        <v>6222</v>
      </c>
      <c r="B6283" s="138">
        <f>'Acct Summary 7-8'!J83</f>
        <v>0.1142570977310374</v>
      </c>
      <c r="D6283" s="2" t="str">
        <f t="shared" si="97"/>
        <v>Error?</v>
      </c>
      <c r="E6283" s="2" t="s">
        <v>199</v>
      </c>
    </row>
    <row r="6284" spans="1:5" x14ac:dyDescent="0.2">
      <c r="A6284">
        <v>6223</v>
      </c>
      <c r="B6284" s="138">
        <f>'Acct Summary 7-8'!K83</f>
        <v>0.85751257024548955</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29694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29694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29694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26728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29694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7089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7089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1120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1120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10218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10218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8301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8301</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26728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26728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26728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26728</v>
      </c>
      <c r="D7224" s="2" t="str">
        <f t="shared" si="111"/>
        <v>Error?</v>
      </c>
    </row>
    <row r="7225" spans="1:4" x14ac:dyDescent="0.2">
      <c r="A7225">
        <v>7164</v>
      </c>
      <c r="B7225" s="138">
        <f>'Expenditures 15-22'!K343</f>
        <v>2966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35153</v>
      </c>
      <c r="D7615" s="2" t="str">
        <f t="shared" ref="D7615:D7678" si="124">IF(ISBLANK(B7615),"OK",IF(A7615-B7615=0,"OK","Error?"))</f>
        <v>Error?</v>
      </c>
      <c r="E7615" s="2" t="s">
        <v>19</v>
      </c>
    </row>
    <row r="7616" spans="1:5" x14ac:dyDescent="0.2">
      <c r="A7616">
        <f t="shared" si="123"/>
        <v>7555</v>
      </c>
      <c r="B7616" s="138">
        <f>'Cap Outlay Deprec 26'!D14</f>
        <v>4365</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39518</v>
      </c>
      <c r="D7618" s="2" t="str">
        <f t="shared" si="124"/>
        <v>Error?</v>
      </c>
      <c r="E7618" s="2" t="s">
        <v>19</v>
      </c>
    </row>
    <row r="7619" spans="1:5" x14ac:dyDescent="0.2">
      <c r="A7619">
        <f t="shared" si="123"/>
        <v>7558</v>
      </c>
      <c r="B7619" s="138">
        <f>'Cap Outlay Deprec 26'!H14</f>
        <v>30536</v>
      </c>
      <c r="D7619" s="2" t="str">
        <f t="shared" si="124"/>
        <v>Error?</v>
      </c>
      <c r="E7619" s="2" t="s">
        <v>19</v>
      </c>
    </row>
    <row r="7620" spans="1:5" x14ac:dyDescent="0.2">
      <c r="A7620">
        <f t="shared" si="123"/>
        <v>7559</v>
      </c>
      <c r="B7620" s="138">
        <f>'Cap Outlay Deprec 26'!I14</f>
        <v>6072</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36608</v>
      </c>
      <c r="D7622" s="2" t="str">
        <f t="shared" si="124"/>
        <v>Error?</v>
      </c>
      <c r="E7622" s="2" t="s">
        <v>19</v>
      </c>
    </row>
    <row r="7623" spans="1:5" x14ac:dyDescent="0.2">
      <c r="A7623">
        <f t="shared" si="123"/>
        <v>7562</v>
      </c>
      <c r="B7623" s="138">
        <f>'Cap Outlay Deprec 26'!L14</f>
        <v>2910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31353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1108</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59000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25000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Buncombe Cons SD 43</v>
      </c>
      <c r="B7" s="2403"/>
      <c r="C7" s="2403"/>
      <c r="D7" s="2440"/>
      <c r="E7" s="2441">
        <f>COVER!A13</f>
        <v>21044043003</v>
      </c>
      <c r="F7" s="2442"/>
      <c r="G7" s="2409" t="str">
        <f>COVER!T23</f>
        <v>066-005023</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BEUSSINK &amp; HICKAM PC</v>
      </c>
      <c r="H9" s="2416"/>
      <c r="I9" s="2416"/>
      <c r="J9" s="2416"/>
      <c r="K9" s="2416"/>
      <c r="L9" s="2417"/>
    </row>
    <row r="10" spans="1:29" ht="13.5" customHeight="1" x14ac:dyDescent="0.2">
      <c r="A10" s="2399" t="str">
        <f>COVER!A38</f>
        <v>VICKI TRIPP</v>
      </c>
      <c r="B10" s="2400"/>
      <c r="C10" s="2400"/>
      <c r="D10" s="2400"/>
      <c r="E10" s="2400"/>
      <c r="F10" s="2401"/>
      <c r="G10" s="2415" t="str">
        <f>COVER!T17</f>
        <v>139 W VIENNA ST - PO BOX 556</v>
      </c>
      <c r="H10" s="2428"/>
      <c r="I10" s="2428"/>
      <c r="J10" s="2428"/>
      <c r="K10" s="2428"/>
      <c r="L10" s="2429"/>
    </row>
    <row r="11" spans="1:29" ht="13.5" customHeight="1" x14ac:dyDescent="0.2">
      <c r="A11" s="1185" t="s">
        <v>1599</v>
      </c>
      <c r="B11" s="1186"/>
      <c r="C11" s="1187"/>
      <c r="D11" s="1192"/>
      <c r="E11" s="1187"/>
      <c r="F11" s="1191"/>
      <c r="G11" s="2415" t="str">
        <f>COVER!T19</f>
        <v>ANNA</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shickam@frontier.com</v>
      </c>
      <c r="J13" s="2437"/>
      <c r="K13" s="2437"/>
      <c r="L13" s="2438"/>
    </row>
    <row r="14" spans="1:29" ht="13.5" customHeight="1" x14ac:dyDescent="0.2">
      <c r="A14" s="2415" t="str">
        <f>COVER!A19</f>
        <v>164 MAIN ST</v>
      </c>
      <c r="B14" s="2428"/>
      <c r="C14" s="2428"/>
      <c r="D14" s="2428"/>
      <c r="E14" s="2428"/>
      <c r="F14" s="2429"/>
      <c r="G14" s="1196" t="s">
        <v>1247</v>
      </c>
      <c r="H14" s="1194"/>
      <c r="I14" s="1194"/>
      <c r="J14" s="1194"/>
      <c r="K14" s="1194"/>
      <c r="L14" s="1195"/>
    </row>
    <row r="15" spans="1:29" ht="13.5" customHeight="1" x14ac:dyDescent="0.2">
      <c r="A15" s="2415" t="str">
        <f>COVER!A21</f>
        <v>BUNCOMBE</v>
      </c>
      <c r="B15" s="2428"/>
      <c r="C15" s="2428"/>
      <c r="D15" s="2428"/>
      <c r="E15" s="2428"/>
      <c r="F15" s="2429"/>
      <c r="G15" s="2425" t="str">
        <f>COVER!T15</f>
        <v>SCOTT A HICKAM</v>
      </c>
      <c r="H15" s="2426"/>
      <c r="I15" s="2426"/>
      <c r="J15" s="2426"/>
      <c r="K15" s="2426"/>
      <c r="L15" s="2427"/>
    </row>
    <row r="16" spans="1:29" ht="12.2" customHeight="1" x14ac:dyDescent="0.2">
      <c r="A16" s="2405">
        <f>COVER!A25</f>
        <v>62912</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618-833-2721</v>
      </c>
      <c r="H18" s="2403"/>
      <c r="I18" s="2403"/>
      <c r="J18" s="2403"/>
      <c r="K18" s="2402" t="str">
        <f>COVER!X21</f>
        <v>618-833-7077</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Buncombe Cons SD 43</v>
      </c>
      <c r="B1" s="2439"/>
      <c r="C1" s="2439"/>
      <c r="D1" s="2439"/>
    </row>
    <row r="2" spans="1:11" s="1215" customFormat="1" ht="12.75" x14ac:dyDescent="0.2">
      <c r="A2" s="2444">
        <f>'Single Audit Cover'!E7</f>
        <v>21044043003</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Buncombe Cons SD 43</v>
      </c>
      <c r="B1" s="2447"/>
      <c r="C1" s="2447"/>
      <c r="D1" s="2447"/>
      <c r="E1" s="2447"/>
    </row>
    <row r="2" spans="1:5" x14ac:dyDescent="0.2">
      <c r="A2" s="2448">
        <f>'Single Audit Cover'!E7</f>
        <v>21044043003</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80940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3609</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-3639</v>
      </c>
    </row>
    <row r="19" spans="1:4" ht="13.5" thickBot="1" x14ac:dyDescent="0.25">
      <c r="A19" s="1265" t="s">
        <v>1297</v>
      </c>
      <c r="D19" s="1266">
        <f>SUM(D10:D17)</f>
        <v>80910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80910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80910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Buncombe Cons SD 43</v>
      </c>
      <c r="B1" s="2452"/>
      <c r="C1" s="2452"/>
      <c r="D1" s="2452"/>
      <c r="E1" s="2452"/>
      <c r="F1" s="2452"/>
    </row>
    <row r="2" spans="1:7" ht="13.5" customHeight="1" x14ac:dyDescent="0.2">
      <c r="A2" s="2453">
        <f>'Single Audit Cover'!E7</f>
        <v>21044043003</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1832</v>
      </c>
      <c r="B7" s="2451"/>
      <c r="C7" s="2451"/>
      <c r="D7" s="2451"/>
      <c r="E7" s="2451"/>
      <c r="F7" s="245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1" t="s">
        <v>1834</v>
      </c>
      <c r="B13" s="2451"/>
      <c r="C13" s="2451"/>
      <c r="D13" s="2451"/>
      <c r="E13" s="2451"/>
      <c r="F13" s="2451"/>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61">
        <f>+C33+C34</f>
        <v>0</v>
      </c>
      <c r="F34" s="246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Buncombe Cons SD 43</v>
      </c>
      <c r="C1" s="2464"/>
      <c r="D1" s="2464"/>
      <c r="E1" s="2464"/>
      <c r="F1" s="2464"/>
      <c r="G1" s="2464"/>
      <c r="H1" s="2464"/>
      <c r="I1" s="2464"/>
      <c r="J1" s="2464"/>
      <c r="K1" s="2464"/>
      <c r="L1" s="2464"/>
      <c r="M1" s="2464"/>
    </row>
    <row r="2" spans="2:14" ht="15" x14ac:dyDescent="0.2">
      <c r="B2" s="2453">
        <f>'Single Audit Cover'!E7</f>
        <v>21044043003</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2078</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Buncombe Cons SD 43</v>
      </c>
      <c r="C1" s="2472"/>
      <c r="D1" s="2472"/>
      <c r="E1" s="2472"/>
      <c r="F1" s="2472"/>
      <c r="G1" s="2472"/>
      <c r="H1" s="2472"/>
      <c r="I1" s="2472"/>
      <c r="J1" s="1422"/>
    </row>
    <row r="2" spans="2:10" s="317" customFormat="1" ht="12.75" customHeight="1" x14ac:dyDescent="0.2">
      <c r="B2" s="2473">
        <f>'Single Audit Cover'!E7</f>
        <v>21044043003</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9" t="s">
        <v>1854</v>
      </c>
      <c r="D37" s="2480"/>
      <c r="E37" s="2480"/>
      <c r="F37" s="2481"/>
      <c r="G37" s="2479" t="s">
        <v>1674</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0</v>
      </c>
      <c r="H43" s="2488"/>
      <c r="I43" s="2488"/>
    </row>
    <row r="44" spans="2:9" ht="12.75" customHeight="1" x14ac:dyDescent="0.2"/>
    <row r="45" spans="2:9" ht="12.75" customHeight="1" x14ac:dyDescent="0.2">
      <c r="B45" s="1435" t="s">
        <v>1951</v>
      </c>
      <c r="D45" s="2489">
        <v>0</v>
      </c>
      <c r="E45" s="249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Buncombe Cons SD 43</v>
      </c>
      <c r="C1" s="2471"/>
      <c r="D1" s="2471"/>
      <c r="E1" s="2471"/>
      <c r="F1" s="2471"/>
      <c r="G1" s="2471"/>
      <c r="H1" s="2471"/>
      <c r="I1" s="2471"/>
      <c r="J1" s="2471"/>
      <c r="K1" s="2471"/>
      <c r="L1" s="1374"/>
      <c r="M1" s="1374"/>
    </row>
    <row r="2" spans="1:13" ht="12" customHeight="1" x14ac:dyDescent="0.2">
      <c r="B2" s="2473">
        <f>'Single Audit Cover'!E7</f>
        <v>21044043003</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Buncombe Cons SD 43</v>
      </c>
      <c r="C1" s="2498"/>
      <c r="D1" s="2498"/>
      <c r="E1" s="2498"/>
      <c r="F1" s="2498"/>
      <c r="G1" s="2498"/>
      <c r="H1" s="2498"/>
      <c r="I1" s="2498"/>
      <c r="J1" s="2498"/>
      <c r="K1" s="2498"/>
      <c r="L1" s="1465"/>
    </row>
    <row r="2" spans="1:12" ht="12.75" customHeight="1" x14ac:dyDescent="0.2">
      <c r="B2" s="2499">
        <f>'Single Audit Cover'!E7</f>
        <v>21044043003</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Buncombe Cons SD 43</v>
      </c>
      <c r="C1" s="2471"/>
      <c r="D1" s="2471"/>
      <c r="E1" s="1491"/>
    </row>
    <row r="2" spans="2:5" s="1282" customFormat="1" ht="12.75" customHeight="1" x14ac:dyDescent="0.2">
      <c r="B2" s="2473">
        <f>'Single Audit Cover'!E7</f>
        <v>21044043003</v>
      </c>
      <c r="C2" s="2473"/>
      <c r="D2" s="2473"/>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7204900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f>1.35943/100</f>
        <v>1.3594299999999998E-2</v>
      </c>
      <c r="E10" s="356" t="s">
        <v>1062</v>
      </c>
      <c r="F10" s="355">
        <f>0.38842/100</f>
        <v>3.8842E-3</v>
      </c>
      <c r="G10" s="356" t="s">
        <v>1062</v>
      </c>
      <c r="H10" s="355">
        <f>0.15537/100</f>
        <v>1.5537000000000001E-3</v>
      </c>
      <c r="I10" s="356" t="s">
        <v>1063</v>
      </c>
      <c r="J10" s="1754">
        <f>ROUND(D10+F10+H10,5)</f>
        <v>1.9029999999999998E-2</v>
      </c>
      <c r="K10" s="222"/>
      <c r="L10" s="355">
        <f>0.03884/100</f>
        <v>3.8840000000000001E-4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636449</v>
      </c>
      <c r="E16" s="356"/>
      <c r="F16" s="1755">
        <f>SUM('Acct Summary 7-8'!C17,'Acct Summary 7-8'!D17,'Acct Summary 7-8'!F17)</f>
        <v>587020</v>
      </c>
      <c r="G16" s="356"/>
      <c r="H16" s="1755">
        <f>SUM(D16-F16)</f>
        <v>49429</v>
      </c>
      <c r="I16" s="222"/>
      <c r="J16" s="1755">
        <f>SUM('Acct Summary 7-8'!C81,'Acct Summary 7-8'!D81,'Acct Summary 7-8'!F81,'Acct Summary 7-8'!I81)</f>
        <v>226474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497138.10000000003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85000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34" sqref="D3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Buncombe Cons SD 43</v>
      </c>
      <c r="E7" s="391"/>
      <c r="G7" s="252"/>
      <c r="H7" s="387"/>
      <c r="I7" s="387"/>
      <c r="J7" s="387"/>
      <c r="K7" s="387"/>
      <c r="L7" s="329"/>
      <c r="M7" s="329"/>
      <c r="N7" s="329"/>
      <c r="O7" s="329"/>
      <c r="P7" s="329"/>
    </row>
    <row r="8" spans="1:18" ht="12.75" x14ac:dyDescent="0.2">
      <c r="A8" s="329"/>
      <c r="B8" s="329"/>
      <c r="C8" s="389" t="s">
        <v>1187</v>
      </c>
      <c r="D8" s="392">
        <f>COVER!A13</f>
        <v>21044043003</v>
      </c>
      <c r="E8" s="393"/>
      <c r="G8" s="329"/>
      <c r="H8" s="329"/>
      <c r="I8" s="329"/>
      <c r="J8" s="329"/>
      <c r="K8" s="329"/>
      <c r="L8" s="329"/>
      <c r="M8" s="329"/>
      <c r="N8" s="329"/>
      <c r="O8" s="329"/>
      <c r="P8" s="329"/>
    </row>
    <row r="9" spans="1:18" ht="12.75" x14ac:dyDescent="0.2">
      <c r="A9" s="329"/>
      <c r="B9" s="329"/>
      <c r="C9" s="389" t="s">
        <v>737</v>
      </c>
      <c r="D9" s="394" t="str">
        <f>COVER!A15</f>
        <v>JOHNSON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226474</v>
      </c>
      <c r="I12" s="404"/>
      <c r="J12" s="404"/>
      <c r="K12" s="405">
        <f>TRUNC((H12/H13*100000),5)/100000</f>
        <v>0.35583998079999996</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636449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587020</v>
      </c>
      <c r="I17" s="404"/>
      <c r="J17" s="416"/>
      <c r="K17" s="405">
        <f>TRUNC((H17/H18*100000),5)/100000</f>
        <v>0.92233627510000005</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636449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226474</v>
      </c>
      <c r="I24" s="422"/>
      <c r="J24" s="422"/>
      <c r="K24" s="423">
        <f>TRUNC(((H24/H25*100000)/100000),2)</f>
        <v>138.88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1630.6111100000001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116542.85995</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85000</v>
      </c>
      <c r="I32" s="420"/>
      <c r="J32" s="420"/>
      <c r="K32" s="423">
        <f>TRUNC(100-((((H32/H33*100))*100)/100),2)</f>
        <v>82.9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497138.10000000003</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C4" sqref="C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f>89168+91552</f>
        <v>180720</v>
      </c>
      <c r="D4" s="466">
        <v>5887</v>
      </c>
      <c r="E4" s="466">
        <v>0</v>
      </c>
      <c r="F4" s="466">
        <v>36508</v>
      </c>
      <c r="G4" s="466">
        <v>35638</v>
      </c>
      <c r="H4" s="466">
        <v>0</v>
      </c>
      <c r="I4" s="466">
        <v>3359</v>
      </c>
      <c r="J4" s="467">
        <v>25959</v>
      </c>
      <c r="K4" s="466">
        <v>27048</v>
      </c>
      <c r="L4" s="466">
        <v>7805</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180720</v>
      </c>
      <c r="D13" s="1759">
        <f t="shared" ref="D13:L13" si="0">SUM(D4:D12)</f>
        <v>5887</v>
      </c>
      <c r="E13" s="1759">
        <f t="shared" si="0"/>
        <v>0</v>
      </c>
      <c r="F13" s="1759">
        <f t="shared" si="0"/>
        <v>36508</v>
      </c>
      <c r="G13" s="1759">
        <f t="shared" si="0"/>
        <v>35638</v>
      </c>
      <c r="H13" s="1759">
        <f t="shared" si="0"/>
        <v>0</v>
      </c>
      <c r="I13" s="1759">
        <f t="shared" si="0"/>
        <v>3359</v>
      </c>
      <c r="J13" s="1759">
        <f t="shared" si="0"/>
        <v>25959</v>
      </c>
      <c r="K13" s="1759">
        <f t="shared" si="0"/>
        <v>27048</v>
      </c>
      <c r="L13" s="1759">
        <f t="shared" si="0"/>
        <v>7805</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v>0</v>
      </c>
      <c r="N15" s="484"/>
    </row>
    <row r="16" spans="1:14" s="485" customFormat="1" ht="12.75" customHeight="1" x14ac:dyDescent="0.2">
      <c r="A16" s="482" t="s">
        <v>1469</v>
      </c>
      <c r="B16" s="483">
        <v>220</v>
      </c>
      <c r="C16" s="477"/>
      <c r="D16" s="477"/>
      <c r="E16" s="477"/>
      <c r="F16" s="477"/>
      <c r="G16" s="477"/>
      <c r="H16" s="477"/>
      <c r="I16" s="477"/>
      <c r="J16" s="477"/>
      <c r="K16" s="477"/>
      <c r="L16" s="477"/>
      <c r="M16" s="467">
        <v>3000</v>
      </c>
      <c r="N16" s="484"/>
    </row>
    <row r="17" spans="1:14" s="485" customFormat="1" ht="12.75" customHeight="1" x14ac:dyDescent="0.2">
      <c r="A17" s="482" t="s">
        <v>1470</v>
      </c>
      <c r="B17" s="483">
        <v>230</v>
      </c>
      <c r="C17" s="477"/>
      <c r="D17" s="477"/>
      <c r="E17" s="477"/>
      <c r="F17" s="477"/>
      <c r="G17" s="477"/>
      <c r="H17" s="477"/>
      <c r="I17" s="477"/>
      <c r="J17" s="477"/>
      <c r="K17" s="477"/>
      <c r="L17" s="477"/>
      <c r="M17" s="467">
        <v>662418</v>
      </c>
      <c r="N17" s="484"/>
    </row>
    <row r="18" spans="1:14" s="485" customFormat="1" ht="12.75" customHeight="1" x14ac:dyDescent="0.2">
      <c r="A18" s="482" t="s">
        <v>1471</v>
      </c>
      <c r="B18" s="483">
        <v>240</v>
      </c>
      <c r="C18" s="477"/>
      <c r="D18" s="477"/>
      <c r="E18" s="477"/>
      <c r="F18" s="477"/>
      <c r="G18" s="477"/>
      <c r="H18" s="477"/>
      <c r="I18" s="477"/>
      <c r="J18" s="477"/>
      <c r="K18" s="477"/>
      <c r="L18" s="477"/>
      <c r="M18" s="467">
        <v>35259</v>
      </c>
      <c r="N18" s="484"/>
    </row>
    <row r="19" spans="1:14" s="485" customFormat="1" ht="12.75" customHeight="1" x14ac:dyDescent="0.2">
      <c r="A19" s="482" t="s">
        <v>1472</v>
      </c>
      <c r="B19" s="483">
        <v>250</v>
      </c>
      <c r="C19" s="477"/>
      <c r="D19" s="477"/>
      <c r="E19" s="477"/>
      <c r="F19" s="477"/>
      <c r="G19" s="477"/>
      <c r="H19" s="477"/>
      <c r="I19" s="477"/>
      <c r="J19" s="477"/>
      <c r="K19" s="477"/>
      <c r="L19" s="477"/>
      <c r="M19" s="467">
        <f>205322+79887+39518</f>
        <v>324727</v>
      </c>
      <c r="N19" s="484"/>
    </row>
    <row r="20" spans="1:14" s="485" customFormat="1" ht="12.75" customHeight="1" x14ac:dyDescent="0.2">
      <c r="A20" s="482" t="s">
        <v>1473</v>
      </c>
      <c r="B20" s="483">
        <v>260</v>
      </c>
      <c r="C20" s="477"/>
      <c r="D20" s="477"/>
      <c r="E20" s="477"/>
      <c r="F20" s="477"/>
      <c r="G20" s="477"/>
      <c r="H20" s="477"/>
      <c r="I20" s="477"/>
      <c r="J20" s="477"/>
      <c r="K20" s="477"/>
      <c r="L20" s="477"/>
      <c r="M20" s="467">
        <v>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85000</v>
      </c>
    </row>
    <row r="23" spans="1:14" ht="13.5" customHeight="1" thickBot="1" x14ac:dyDescent="0.25">
      <c r="A23" s="1758" t="s">
        <v>664</v>
      </c>
      <c r="B23" s="1763"/>
      <c r="C23" s="468"/>
      <c r="D23" s="468"/>
      <c r="E23" s="468"/>
      <c r="F23" s="468"/>
      <c r="G23" s="468"/>
      <c r="H23" s="468"/>
      <c r="I23" s="468"/>
      <c r="J23" s="468"/>
      <c r="K23" s="468"/>
      <c r="L23" s="468"/>
      <c r="M23" s="1710">
        <f>SUM(M15:M22)</f>
        <v>1025404</v>
      </c>
      <c r="N23" s="1710">
        <f>SUM(N21:N22)</f>
        <v>85000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7805</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7805</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85000</v>
      </c>
    </row>
    <row r="37" spans="1:14" ht="13.5" thickBot="1" x14ac:dyDescent="0.25">
      <c r="A37" s="1758" t="s">
        <v>674</v>
      </c>
      <c r="B37" s="1763"/>
      <c r="C37" s="477"/>
      <c r="D37" s="477"/>
      <c r="E37" s="477"/>
      <c r="F37" s="477"/>
      <c r="G37" s="477"/>
      <c r="H37" s="477"/>
      <c r="I37" s="477"/>
      <c r="J37" s="477"/>
      <c r="K37" s="477"/>
      <c r="L37" s="480"/>
      <c r="M37" s="468"/>
      <c r="N37" s="1710">
        <f>SUM(N36:N36)</f>
        <v>85000</v>
      </c>
    </row>
    <row r="38" spans="1:14" s="329" customFormat="1" ht="13.5" customHeight="1" thickTop="1" x14ac:dyDescent="0.2">
      <c r="A38" s="496" t="s">
        <v>440</v>
      </c>
      <c r="B38" s="483">
        <v>714</v>
      </c>
      <c r="C38" s="466">
        <v>0</v>
      </c>
      <c r="D38" s="466">
        <v>0</v>
      </c>
      <c r="E38" s="466">
        <v>0</v>
      </c>
      <c r="F38" s="466">
        <v>0</v>
      </c>
      <c r="G38" s="466">
        <v>35638</v>
      </c>
      <c r="H38" s="466">
        <v>0</v>
      </c>
      <c r="I38" s="466">
        <v>0</v>
      </c>
      <c r="J38" s="467">
        <v>25959</v>
      </c>
      <c r="K38" s="466">
        <v>27048</v>
      </c>
      <c r="L38" s="481">
        <v>0</v>
      </c>
      <c r="M38" s="497"/>
      <c r="N38" s="497"/>
    </row>
    <row r="39" spans="1:14" s="329" customFormat="1" ht="13.5" customHeight="1" x14ac:dyDescent="0.2">
      <c r="A39" s="496" t="s">
        <v>360</v>
      </c>
      <c r="B39" s="483">
        <v>730</v>
      </c>
      <c r="C39" s="466">
        <v>180720</v>
      </c>
      <c r="D39" s="466">
        <v>5887</v>
      </c>
      <c r="E39" s="466">
        <v>0</v>
      </c>
      <c r="F39" s="466">
        <v>36508</v>
      </c>
      <c r="G39" s="466">
        <v>0</v>
      </c>
      <c r="H39" s="466">
        <v>0</v>
      </c>
      <c r="I39" s="466">
        <v>3359</v>
      </c>
      <c r="J39" s="467">
        <v>0</v>
      </c>
      <c r="K39" s="466">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1025404</v>
      </c>
      <c r="N40" s="497"/>
    </row>
    <row r="41" spans="1:14" ht="13.5" customHeight="1" thickBot="1" x14ac:dyDescent="0.25">
      <c r="A41" s="1758" t="s">
        <v>676</v>
      </c>
      <c r="B41" s="1728"/>
      <c r="C41" s="1710">
        <f>(SUM(C34,C37,C38,C39))</f>
        <v>180720</v>
      </c>
      <c r="D41" s="1710">
        <f t="shared" ref="D41:L41" si="2">SUM(D34,D37,D38:D39)</f>
        <v>5887</v>
      </c>
      <c r="E41" s="1710">
        <f t="shared" si="2"/>
        <v>0</v>
      </c>
      <c r="F41" s="1710">
        <f t="shared" si="2"/>
        <v>36508</v>
      </c>
      <c r="G41" s="1710">
        <f t="shared" si="2"/>
        <v>35638</v>
      </c>
      <c r="H41" s="1710">
        <f t="shared" si="2"/>
        <v>0</v>
      </c>
      <c r="I41" s="1710">
        <f t="shared" si="2"/>
        <v>3359</v>
      </c>
      <c r="J41" s="1710">
        <f t="shared" si="2"/>
        <v>25959</v>
      </c>
      <c r="K41" s="1710">
        <f t="shared" si="2"/>
        <v>27048</v>
      </c>
      <c r="L41" s="1710">
        <f t="shared" si="2"/>
        <v>7805</v>
      </c>
      <c r="M41" s="1710">
        <f>SUM(M40)</f>
        <v>1025404</v>
      </c>
      <c r="N41" s="1710">
        <f>SUM(N37)</f>
        <v>85000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&amp;L&amp;8&amp;F&amp;C&amp;8The accompanying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6" activePane="bottomLeft" state="frozenSplit"/>
      <selection activeCell="A47" sqref="A47"/>
      <selection pane="bottomLeft" activeCell="C9" sqref="C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172028</v>
      </c>
      <c r="D4" s="1764">
        <f>'Revenues 9-14'!D109</f>
        <v>27697</v>
      </c>
      <c r="E4" s="1764">
        <f>'Revenues 9-14'!E109</f>
        <v>0</v>
      </c>
      <c r="F4" s="1764">
        <f>'Revenues 9-14'!F109</f>
        <v>11079</v>
      </c>
      <c r="G4" s="1764">
        <f>'Revenues 9-14'!G109</f>
        <v>13492</v>
      </c>
      <c r="H4" s="1764">
        <f>'Revenues 9-14'!H109</f>
        <v>0</v>
      </c>
      <c r="I4" s="1764">
        <f>'Revenues 9-14'!I109</f>
        <v>2770</v>
      </c>
      <c r="J4" s="1764">
        <f>'Revenues 9-14'!J109</f>
        <v>29694</v>
      </c>
      <c r="K4" s="1764">
        <f>'Revenues 9-14'!K109</f>
        <v>2769</v>
      </c>
      <c r="L4" s="347"/>
    </row>
    <row r="5" spans="1:13" ht="15.75" customHeight="1" x14ac:dyDescent="0.2">
      <c r="A5" s="1598" t="s">
        <v>1580</v>
      </c>
      <c r="B5" s="1599">
        <v>2000</v>
      </c>
      <c r="C5" s="1765">
        <f>'Revenues 9-14'!C114</f>
        <v>3851</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304392</v>
      </c>
      <c r="D6" s="1765">
        <f>'Revenues 9-14'!D173</f>
        <v>0</v>
      </c>
      <c r="E6" s="1765">
        <f>'Revenues 9-14'!E173</f>
        <v>0</v>
      </c>
      <c r="F6" s="1765">
        <f>'Revenues 9-14'!F173</f>
        <v>33692</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80940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561211</v>
      </c>
      <c r="D8" s="1710">
        <f t="shared" ref="D8:K8" si="0">SUM(D4:D7)</f>
        <v>27697</v>
      </c>
      <c r="E8" s="1710">
        <f t="shared" si="0"/>
        <v>0</v>
      </c>
      <c r="F8" s="1710">
        <f t="shared" si="0"/>
        <v>44771</v>
      </c>
      <c r="G8" s="1710">
        <f t="shared" si="0"/>
        <v>13492</v>
      </c>
      <c r="H8" s="1710">
        <f t="shared" si="0"/>
        <v>0</v>
      </c>
      <c r="I8" s="1710">
        <f t="shared" si="0"/>
        <v>2770</v>
      </c>
      <c r="J8" s="1710">
        <f t="shared" si="0"/>
        <v>29694</v>
      </c>
      <c r="K8" s="1710">
        <f t="shared" si="0"/>
        <v>2769</v>
      </c>
      <c r="L8" s="347"/>
    </row>
    <row r="9" spans="1:13" ht="15.75" thickTop="1" x14ac:dyDescent="0.2">
      <c r="A9" s="514" t="s">
        <v>1752</v>
      </c>
      <c r="B9" s="515">
        <v>3998</v>
      </c>
      <c r="C9" s="481">
        <v>241498</v>
      </c>
      <c r="D9" s="516">
        <v>0</v>
      </c>
      <c r="E9" s="481">
        <v>0</v>
      </c>
      <c r="F9" s="481">
        <v>0</v>
      </c>
      <c r="G9" s="517">
        <v>0</v>
      </c>
      <c r="H9" s="481">
        <v>0</v>
      </c>
      <c r="I9" s="509" t="s">
        <v>1231</v>
      </c>
      <c r="J9" s="478">
        <v>0</v>
      </c>
      <c r="K9" s="481">
        <v>0</v>
      </c>
      <c r="L9" s="347"/>
    </row>
    <row r="10" spans="1:13" s="519" customFormat="1" ht="13.5" thickBot="1" x14ac:dyDescent="0.25">
      <c r="A10" s="1758" t="s">
        <v>1235</v>
      </c>
      <c r="B10" s="1731"/>
      <c r="C10" s="1710">
        <f>SUM(C8:C9)</f>
        <v>802709</v>
      </c>
      <c r="D10" s="1710">
        <f t="shared" ref="D10:K10" si="1">SUM(D8:D9)</f>
        <v>27697</v>
      </c>
      <c r="E10" s="1710">
        <f t="shared" si="1"/>
        <v>0</v>
      </c>
      <c r="F10" s="1710">
        <f t="shared" si="1"/>
        <v>44771</v>
      </c>
      <c r="G10" s="1710">
        <f t="shared" si="1"/>
        <v>13492</v>
      </c>
      <c r="H10" s="1710">
        <f t="shared" si="1"/>
        <v>0</v>
      </c>
      <c r="I10" s="1710">
        <f t="shared" si="1"/>
        <v>2770</v>
      </c>
      <c r="J10" s="1710">
        <f t="shared" si="1"/>
        <v>29694</v>
      </c>
      <c r="K10" s="1710">
        <f t="shared" si="1"/>
        <v>2769</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325042</v>
      </c>
      <c r="D12" s="520" t="s">
        <v>1231</v>
      </c>
      <c r="E12" s="468" t="s">
        <v>1231</v>
      </c>
      <c r="F12" s="468" t="s">
        <v>1231</v>
      </c>
      <c r="G12" s="1764">
        <f>'Expenditures 15-22'!K229</f>
        <v>3323</v>
      </c>
      <c r="H12" s="521"/>
      <c r="I12" s="468" t="s">
        <v>1231</v>
      </c>
      <c r="J12" s="468" t="s">
        <v>1231</v>
      </c>
      <c r="K12" s="521" t="s">
        <v>1231</v>
      </c>
      <c r="L12" s="347"/>
    </row>
    <row r="13" spans="1:13" ht="15.75" customHeight="1" x14ac:dyDescent="0.2">
      <c r="A13" s="1598" t="s">
        <v>477</v>
      </c>
      <c r="B13" s="1600">
        <v>2000</v>
      </c>
      <c r="C13" s="1765">
        <f>'Expenditures 15-22'!K74</f>
        <v>185260</v>
      </c>
      <c r="D13" s="1765">
        <f>'Expenditures 15-22'!K129</f>
        <v>25617</v>
      </c>
      <c r="E13" s="469" t="s">
        <v>1231</v>
      </c>
      <c r="F13" s="1765">
        <f>'Expenditures 15-22'!K184</f>
        <v>19623</v>
      </c>
      <c r="G13" s="1765">
        <f>'Expenditures 15-22'!K279</f>
        <v>10376</v>
      </c>
      <c r="H13" s="1765">
        <f>'Expenditures 15-22'!K303</f>
        <v>0</v>
      </c>
      <c r="I13" s="468" t="s">
        <v>1231</v>
      </c>
      <c r="J13" s="1765">
        <f>'Expenditures 15-22'!K330</f>
        <v>26728</v>
      </c>
      <c r="K13" s="1769">
        <f>'Expenditures 15-22'!K352</f>
        <v>4575</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31478</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541780</v>
      </c>
      <c r="D17" s="1710">
        <f t="shared" si="2"/>
        <v>25617</v>
      </c>
      <c r="E17" s="1710">
        <f t="shared" si="2"/>
        <v>0</v>
      </c>
      <c r="F17" s="1710">
        <f t="shared" si="2"/>
        <v>19623</v>
      </c>
      <c r="G17" s="1710">
        <f t="shared" si="2"/>
        <v>13699</v>
      </c>
      <c r="H17" s="1710">
        <f t="shared" si="2"/>
        <v>0</v>
      </c>
      <c r="I17" s="468"/>
      <c r="J17" s="1710">
        <f>SUM(J12:J16)</f>
        <v>26728</v>
      </c>
      <c r="K17" s="1710">
        <f>SUM(K12:K16)</f>
        <v>4575</v>
      </c>
      <c r="L17" s="347"/>
    </row>
    <row r="18" spans="1:12" ht="15" customHeight="1" thickTop="1" x14ac:dyDescent="0.2">
      <c r="A18" s="1766" t="s">
        <v>1753</v>
      </c>
      <c r="B18" s="1767">
        <v>4180</v>
      </c>
      <c r="C18" s="1764">
        <f t="shared" ref="C18:H18" si="3">C9</f>
        <v>241498</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783278</v>
      </c>
      <c r="D19" s="1710">
        <f t="shared" si="4"/>
        <v>25617</v>
      </c>
      <c r="E19" s="1710">
        <f t="shared" si="4"/>
        <v>0</v>
      </c>
      <c r="F19" s="1710">
        <f t="shared" si="4"/>
        <v>19623</v>
      </c>
      <c r="G19" s="1710">
        <f t="shared" si="4"/>
        <v>13699</v>
      </c>
      <c r="H19" s="1710">
        <f t="shared" si="4"/>
        <v>0</v>
      </c>
      <c r="I19" s="468"/>
      <c r="J19" s="1710">
        <f>SUM(J17:J18)</f>
        <v>26728</v>
      </c>
      <c r="K19" s="1710">
        <f>SUM(K17:K18)</f>
        <v>4575</v>
      </c>
      <c r="L19" s="347"/>
    </row>
    <row r="20" spans="1:12" ht="16.5" thickTop="1" thickBot="1" x14ac:dyDescent="0.25">
      <c r="A20" s="2144" t="s">
        <v>1754</v>
      </c>
      <c r="B20" s="2145"/>
      <c r="C20" s="1768">
        <f>C8-C17</f>
        <v>19431</v>
      </c>
      <c r="D20" s="1768">
        <f t="shared" ref="D20:K20" si="5">D8-D17</f>
        <v>2080</v>
      </c>
      <c r="E20" s="1768">
        <f t="shared" si="5"/>
        <v>0</v>
      </c>
      <c r="F20" s="1768">
        <f t="shared" si="5"/>
        <v>25148</v>
      </c>
      <c r="G20" s="1768">
        <f t="shared" si="5"/>
        <v>-207</v>
      </c>
      <c r="H20" s="1768">
        <f t="shared" si="5"/>
        <v>0</v>
      </c>
      <c r="I20" s="1768">
        <f t="shared" si="5"/>
        <v>2770</v>
      </c>
      <c r="J20" s="1768">
        <f t="shared" si="5"/>
        <v>2966</v>
      </c>
      <c r="K20" s="1768">
        <f t="shared" si="5"/>
        <v>-1806</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v>0</v>
      </c>
      <c r="D24" s="477"/>
      <c r="E24" s="477"/>
      <c r="F24" s="477"/>
      <c r="G24" s="477"/>
      <c r="H24" s="477"/>
      <c r="I24" s="477"/>
      <c r="J24" s="477"/>
      <c r="K24" s="477"/>
      <c r="L24" s="524"/>
    </row>
    <row r="25" spans="1:12" s="485" customFormat="1" ht="13.5" customHeight="1" x14ac:dyDescent="0.2">
      <c r="A25" s="1511" t="s">
        <v>1756</v>
      </c>
      <c r="B25" s="525">
        <v>7110</v>
      </c>
      <c r="C25" s="467">
        <v>59000</v>
      </c>
      <c r="D25" s="467">
        <v>0</v>
      </c>
      <c r="E25" s="467">
        <v>0</v>
      </c>
      <c r="F25" s="467">
        <v>0</v>
      </c>
      <c r="G25" s="467">
        <v>0</v>
      </c>
      <c r="H25" s="467">
        <v>0</v>
      </c>
      <c r="I25" s="477"/>
      <c r="J25" s="467">
        <v>0</v>
      </c>
      <c r="K25" s="467">
        <v>25000</v>
      </c>
      <c r="L25" s="524"/>
    </row>
    <row r="26" spans="1:12" s="485" customFormat="1" ht="13.5" customHeight="1" x14ac:dyDescent="0.2">
      <c r="A26" s="1511"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1" t="s">
        <v>194</v>
      </c>
      <c r="B27" s="483">
        <v>7130</v>
      </c>
      <c r="C27" s="467">
        <v>0</v>
      </c>
      <c r="D27" s="467">
        <v>0</v>
      </c>
      <c r="E27" s="526"/>
      <c r="F27" s="467">
        <v>0</v>
      </c>
      <c r="G27" s="480"/>
      <c r="H27" s="480"/>
      <c r="I27" s="480"/>
      <c r="J27" s="480"/>
      <c r="K27" s="480"/>
      <c r="L27" s="524"/>
    </row>
    <row r="28" spans="1:12" s="485" customFormat="1" ht="13.5" customHeight="1" x14ac:dyDescent="0.2">
      <c r="A28" s="1511"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1" t="s">
        <v>312</v>
      </c>
      <c r="B29" s="483">
        <v>7150</v>
      </c>
      <c r="C29" s="475"/>
      <c r="D29" s="467">
        <v>0</v>
      </c>
      <c r="E29" s="475"/>
      <c r="F29" s="475"/>
      <c r="G29" s="475"/>
      <c r="H29" s="475"/>
      <c r="I29" s="475"/>
      <c r="J29" s="475"/>
      <c r="K29" s="475"/>
      <c r="L29" s="524"/>
    </row>
    <row r="30" spans="1:12" s="485" customFormat="1" ht="26.25" x14ac:dyDescent="0.2">
      <c r="A30" s="1511" t="s">
        <v>1897</v>
      </c>
      <c r="B30" s="527">
        <v>7160</v>
      </c>
      <c r="C30" s="477"/>
      <c r="D30" s="467">
        <v>0</v>
      </c>
      <c r="E30" s="477"/>
      <c r="F30" s="477"/>
      <c r="G30" s="477"/>
      <c r="H30" s="477"/>
      <c r="I30" s="477"/>
      <c r="J30" s="477"/>
      <c r="K30" s="477"/>
      <c r="L30" s="524"/>
    </row>
    <row r="31" spans="1:12" s="485" customFormat="1" ht="26.25" x14ac:dyDescent="0.2">
      <c r="A31" s="1511" t="s">
        <v>1901</v>
      </c>
      <c r="B31" s="527">
        <v>7170</v>
      </c>
      <c r="C31" s="477"/>
      <c r="D31" s="477"/>
      <c r="E31" s="474">
        <v>0</v>
      </c>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v>0</v>
      </c>
      <c r="D33" s="467">
        <v>0</v>
      </c>
      <c r="E33" s="467">
        <v>0</v>
      </c>
      <c r="F33" s="467">
        <v>0</v>
      </c>
      <c r="G33" s="477"/>
      <c r="H33" s="467">
        <v>0</v>
      </c>
      <c r="I33" s="467">
        <v>85000</v>
      </c>
      <c r="J33" s="467">
        <v>0</v>
      </c>
      <c r="K33" s="467">
        <v>0</v>
      </c>
      <c r="L33" s="524"/>
    </row>
    <row r="34" spans="1:12" s="485" customFormat="1" x14ac:dyDescent="0.2">
      <c r="A34" s="1511" t="s">
        <v>1058</v>
      </c>
      <c r="B34" s="525">
        <v>7220</v>
      </c>
      <c r="C34" s="467">
        <v>0</v>
      </c>
      <c r="D34" s="467">
        <v>0</v>
      </c>
      <c r="E34" s="467">
        <v>0</v>
      </c>
      <c r="F34" s="467">
        <v>0</v>
      </c>
      <c r="G34" s="477"/>
      <c r="H34" s="478">
        <v>0</v>
      </c>
      <c r="I34" s="478">
        <v>0</v>
      </c>
      <c r="J34" s="478">
        <v>0</v>
      </c>
      <c r="K34" s="478">
        <v>0</v>
      </c>
      <c r="L34" s="524"/>
    </row>
    <row r="35" spans="1:12" s="485" customFormat="1" x14ac:dyDescent="0.2">
      <c r="A35" s="1511" t="s">
        <v>1047</v>
      </c>
      <c r="B35" s="525">
        <v>7230</v>
      </c>
      <c r="C35" s="467">
        <v>0</v>
      </c>
      <c r="D35" s="467">
        <v>0</v>
      </c>
      <c r="E35" s="467">
        <v>0</v>
      </c>
      <c r="F35" s="467">
        <v>0</v>
      </c>
      <c r="G35" s="480"/>
      <c r="H35" s="467">
        <v>0</v>
      </c>
      <c r="I35" s="467">
        <v>0</v>
      </c>
      <c r="J35" s="467">
        <v>0</v>
      </c>
      <c r="K35" s="467">
        <v>0</v>
      </c>
      <c r="L35" s="524"/>
    </row>
    <row r="36" spans="1:12" s="485" customFormat="1" ht="15" x14ac:dyDescent="0.2">
      <c r="A36" s="1511" t="s">
        <v>1757</v>
      </c>
      <c r="B36" s="525">
        <v>7300</v>
      </c>
      <c r="C36" s="467">
        <v>0</v>
      </c>
      <c r="D36" s="467">
        <v>0</v>
      </c>
      <c r="E36" s="467">
        <v>0</v>
      </c>
      <c r="F36" s="467">
        <v>0</v>
      </c>
      <c r="G36" s="467">
        <v>0</v>
      </c>
      <c r="H36" s="467">
        <v>0</v>
      </c>
      <c r="I36" s="475"/>
      <c r="J36" s="467">
        <v>0</v>
      </c>
      <c r="K36" s="467">
        <v>0</v>
      </c>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11" t="s">
        <v>391</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58" t="s">
        <v>392</v>
      </c>
      <c r="B44" s="2159"/>
      <c r="C44" s="1725">
        <f>SUM(C24:C43)</f>
        <v>59000</v>
      </c>
      <c r="D44" s="1725">
        <f t="shared" ref="D44:K44" si="6">SUM(D24:D43)</f>
        <v>0</v>
      </c>
      <c r="E44" s="1725">
        <f t="shared" si="6"/>
        <v>0</v>
      </c>
      <c r="F44" s="1725">
        <f t="shared" si="6"/>
        <v>0</v>
      </c>
      <c r="G44" s="1725">
        <f t="shared" si="6"/>
        <v>0</v>
      </c>
      <c r="H44" s="1725">
        <f t="shared" si="6"/>
        <v>0</v>
      </c>
      <c r="I44" s="1725">
        <f t="shared" si="6"/>
        <v>85000</v>
      </c>
      <c r="J44" s="1725">
        <f t="shared" si="6"/>
        <v>0</v>
      </c>
      <c r="K44" s="1725">
        <f t="shared" si="6"/>
        <v>25000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84000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0</v>
      </c>
      <c r="D49" s="467">
        <v>0</v>
      </c>
      <c r="E49" s="480"/>
      <c r="F49" s="467">
        <v>0</v>
      </c>
      <c r="G49" s="480"/>
      <c r="H49" s="480"/>
      <c r="I49" s="477"/>
      <c r="J49" s="480"/>
      <c r="K49" s="477"/>
      <c r="L49" s="524"/>
    </row>
    <row r="50" spans="1:12" s="485" customFormat="1" x14ac:dyDescent="0.2">
      <c r="A50" s="1512" t="s">
        <v>1465</v>
      </c>
      <c r="B50" s="483">
        <v>8140</v>
      </c>
      <c r="C50" s="467">
        <v>0</v>
      </c>
      <c r="D50" s="467">
        <v>0</v>
      </c>
      <c r="E50" s="467">
        <v>0</v>
      </c>
      <c r="F50" s="467">
        <v>0</v>
      </c>
      <c r="G50" s="467">
        <v>0</v>
      </c>
      <c r="H50" s="467">
        <v>0</v>
      </c>
      <c r="I50" s="477"/>
      <c r="J50" s="467">
        <v>0</v>
      </c>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v>0</v>
      </c>
      <c r="D54" s="530">
        <v>0</v>
      </c>
      <c r="E54" s="477"/>
      <c r="F54" s="477"/>
      <c r="G54" s="477"/>
      <c r="H54" s="530">
        <v>0</v>
      </c>
      <c r="I54" s="477"/>
      <c r="J54" s="477"/>
      <c r="K54" s="475"/>
      <c r="L54" s="524"/>
    </row>
    <row r="55" spans="1:12" s="485" customFormat="1" ht="14.25" thickTop="1" thickBot="1" x14ac:dyDescent="0.25">
      <c r="A55" s="1513" t="s">
        <v>717</v>
      </c>
      <c r="B55" s="483">
        <v>8420</v>
      </c>
      <c r="C55" s="531">
        <v>0</v>
      </c>
      <c r="D55" s="531">
        <v>0</v>
      </c>
      <c r="E55" s="477"/>
      <c r="F55" s="477"/>
      <c r="G55" s="477"/>
      <c r="H55" s="530">
        <v>0</v>
      </c>
      <c r="I55" s="477"/>
      <c r="J55" s="477"/>
      <c r="K55" s="477"/>
      <c r="L55" s="524"/>
    </row>
    <row r="56" spans="1:12" s="485" customFormat="1" ht="14.25" thickTop="1" thickBot="1" x14ac:dyDescent="0.25">
      <c r="A56" s="1512" t="s">
        <v>602</v>
      </c>
      <c r="B56" s="483">
        <v>8430</v>
      </c>
      <c r="C56" s="531">
        <v>0</v>
      </c>
      <c r="D56" s="531">
        <v>0</v>
      </c>
      <c r="E56" s="477"/>
      <c r="F56" s="477"/>
      <c r="G56" s="477"/>
      <c r="H56" s="530">
        <v>0</v>
      </c>
      <c r="I56" s="477"/>
      <c r="J56" s="477"/>
      <c r="K56" s="477"/>
      <c r="L56" s="524"/>
    </row>
    <row r="57" spans="1:12" s="485" customFormat="1" ht="14.25" thickTop="1" thickBot="1" x14ac:dyDescent="0.25">
      <c r="A57" s="1513" t="s">
        <v>599</v>
      </c>
      <c r="B57" s="483">
        <v>8440</v>
      </c>
      <c r="C57" s="531">
        <v>0</v>
      </c>
      <c r="D57" s="531">
        <v>0</v>
      </c>
      <c r="E57" s="477"/>
      <c r="F57" s="477"/>
      <c r="G57" s="477"/>
      <c r="H57" s="530">
        <v>0</v>
      </c>
      <c r="I57" s="477"/>
      <c r="J57" s="477"/>
      <c r="K57" s="477"/>
      <c r="L57" s="524"/>
    </row>
    <row r="58" spans="1:12" s="485" customFormat="1" ht="14.25" thickTop="1" thickBot="1" x14ac:dyDescent="0.25">
      <c r="A58" s="1512" t="s">
        <v>600</v>
      </c>
      <c r="B58" s="483">
        <v>8510</v>
      </c>
      <c r="C58" s="531">
        <v>0</v>
      </c>
      <c r="D58" s="531">
        <v>0</v>
      </c>
      <c r="E58" s="477"/>
      <c r="F58" s="477"/>
      <c r="G58" s="477"/>
      <c r="H58" s="530">
        <v>0</v>
      </c>
      <c r="I58" s="477"/>
      <c r="J58" s="477"/>
      <c r="K58" s="477"/>
      <c r="L58" s="524"/>
    </row>
    <row r="59" spans="1:12" s="485" customFormat="1" ht="14.25" thickTop="1" thickBot="1" x14ac:dyDescent="0.25">
      <c r="A59" s="1514" t="s">
        <v>718</v>
      </c>
      <c r="B59" s="483">
        <v>8520</v>
      </c>
      <c r="C59" s="531">
        <v>0</v>
      </c>
      <c r="D59" s="531">
        <v>0</v>
      </c>
      <c r="E59" s="477"/>
      <c r="F59" s="477"/>
      <c r="G59" s="477"/>
      <c r="H59" s="530">
        <v>0</v>
      </c>
      <c r="I59" s="477"/>
      <c r="J59" s="477"/>
      <c r="K59" s="477"/>
      <c r="L59" s="524"/>
    </row>
    <row r="60" spans="1:12" s="485" customFormat="1" ht="14.25" thickTop="1" thickBot="1" x14ac:dyDescent="0.25">
      <c r="A60" s="1512" t="s">
        <v>601</v>
      </c>
      <c r="B60" s="483">
        <v>8530</v>
      </c>
      <c r="C60" s="531">
        <v>0</v>
      </c>
      <c r="D60" s="531">
        <v>0</v>
      </c>
      <c r="E60" s="477"/>
      <c r="F60" s="477"/>
      <c r="G60" s="477"/>
      <c r="H60" s="530">
        <v>0</v>
      </c>
      <c r="I60" s="477"/>
      <c r="J60" s="477"/>
      <c r="K60" s="477"/>
      <c r="L60" s="524"/>
    </row>
    <row r="61" spans="1:12" s="485" customFormat="1" ht="14.25" thickTop="1" thickBot="1" x14ac:dyDescent="0.25">
      <c r="A61" s="1513" t="s">
        <v>767</v>
      </c>
      <c r="B61" s="483">
        <v>8540</v>
      </c>
      <c r="C61" s="531">
        <v>0</v>
      </c>
      <c r="D61" s="531">
        <v>0</v>
      </c>
      <c r="E61" s="477"/>
      <c r="F61" s="477"/>
      <c r="G61" s="477"/>
      <c r="H61" s="530">
        <v>0</v>
      </c>
      <c r="I61" s="477"/>
      <c r="J61" s="477"/>
      <c r="K61" s="477"/>
      <c r="L61" s="524"/>
    </row>
    <row r="62" spans="1:12" s="485" customFormat="1" ht="13.5" customHeight="1" thickTop="1" thickBot="1" x14ac:dyDescent="0.25">
      <c r="A62" s="1512" t="s">
        <v>768</v>
      </c>
      <c r="B62" s="483">
        <v>8610</v>
      </c>
      <c r="C62" s="531">
        <v>0</v>
      </c>
      <c r="D62" s="531">
        <v>0</v>
      </c>
      <c r="E62" s="477"/>
      <c r="F62" s="477"/>
      <c r="G62" s="477"/>
      <c r="H62" s="477"/>
      <c r="I62" s="477"/>
      <c r="J62" s="477"/>
      <c r="K62" s="477"/>
      <c r="L62" s="524"/>
    </row>
    <row r="63" spans="1:12" s="485" customFormat="1" ht="14.25" thickTop="1" thickBot="1" x14ac:dyDescent="0.25">
      <c r="A63" s="1513" t="s">
        <v>719</v>
      </c>
      <c r="B63" s="483">
        <v>8620</v>
      </c>
      <c r="C63" s="531">
        <v>0</v>
      </c>
      <c r="D63" s="531">
        <v>0</v>
      </c>
      <c r="E63" s="477"/>
      <c r="F63" s="477"/>
      <c r="G63" s="477"/>
      <c r="H63" s="477"/>
      <c r="I63" s="477"/>
      <c r="J63" s="477"/>
      <c r="K63" s="477"/>
      <c r="L63" s="524"/>
    </row>
    <row r="64" spans="1:12" s="485" customFormat="1" ht="13.5" customHeight="1" thickTop="1" thickBot="1" x14ac:dyDescent="0.25">
      <c r="A64" s="1512" t="s">
        <v>769</v>
      </c>
      <c r="B64" s="483">
        <v>8630</v>
      </c>
      <c r="C64" s="531">
        <v>0</v>
      </c>
      <c r="D64" s="531">
        <v>0</v>
      </c>
      <c r="E64" s="477"/>
      <c r="F64" s="477"/>
      <c r="G64" s="477"/>
      <c r="H64" s="477"/>
      <c r="I64" s="477"/>
      <c r="J64" s="477"/>
      <c r="K64" s="477"/>
      <c r="L64" s="524"/>
    </row>
    <row r="65" spans="1:12" s="485" customFormat="1" ht="14.25" thickTop="1" thickBot="1" x14ac:dyDescent="0.25">
      <c r="A65" s="1513" t="s">
        <v>770</v>
      </c>
      <c r="B65" s="483">
        <v>8640</v>
      </c>
      <c r="C65" s="531">
        <v>0</v>
      </c>
      <c r="D65" s="531">
        <v>0</v>
      </c>
      <c r="E65" s="477"/>
      <c r="F65" s="477"/>
      <c r="G65" s="477"/>
      <c r="H65" s="477"/>
      <c r="I65" s="477"/>
      <c r="J65" s="477"/>
      <c r="K65" s="477"/>
      <c r="L65" s="524"/>
    </row>
    <row r="66" spans="1:12" s="485" customFormat="1" ht="14.25" thickTop="1" thickBot="1" x14ac:dyDescent="0.25">
      <c r="A66" s="1512" t="s">
        <v>771</v>
      </c>
      <c r="B66" s="483">
        <v>8710</v>
      </c>
      <c r="C66" s="531">
        <v>0</v>
      </c>
      <c r="D66" s="531">
        <v>0</v>
      </c>
      <c r="E66" s="477"/>
      <c r="F66" s="477"/>
      <c r="G66" s="477"/>
      <c r="H66" s="477"/>
      <c r="I66" s="477"/>
      <c r="J66" s="477"/>
      <c r="K66" s="477"/>
      <c r="L66" s="524"/>
    </row>
    <row r="67" spans="1:12" s="485" customFormat="1" ht="14.25" thickTop="1" thickBot="1" x14ac:dyDescent="0.25">
      <c r="A67" s="1513" t="s">
        <v>720</v>
      </c>
      <c r="B67" s="483">
        <v>8720</v>
      </c>
      <c r="C67" s="531">
        <v>0</v>
      </c>
      <c r="D67" s="531">
        <v>0</v>
      </c>
      <c r="E67" s="477"/>
      <c r="F67" s="477"/>
      <c r="G67" s="477"/>
      <c r="H67" s="477"/>
      <c r="I67" s="477"/>
      <c r="J67" s="477"/>
      <c r="K67" s="477"/>
      <c r="L67" s="524"/>
    </row>
    <row r="68" spans="1:12" s="485" customFormat="1" ht="14.25" thickTop="1" thickBot="1" x14ac:dyDescent="0.25">
      <c r="A68" s="1514" t="s">
        <v>772</v>
      </c>
      <c r="B68" s="483">
        <v>8730</v>
      </c>
      <c r="C68" s="531">
        <v>0</v>
      </c>
      <c r="D68" s="531">
        <v>0</v>
      </c>
      <c r="E68" s="477"/>
      <c r="F68" s="477"/>
      <c r="G68" s="477"/>
      <c r="H68" s="477"/>
      <c r="I68" s="477"/>
      <c r="J68" s="477"/>
      <c r="K68" s="477"/>
      <c r="L68" s="524"/>
    </row>
    <row r="69" spans="1:12" s="485" customFormat="1" ht="14.25" thickTop="1" thickBot="1" x14ac:dyDescent="0.25">
      <c r="A69" s="1513" t="s">
        <v>773</v>
      </c>
      <c r="B69" s="483">
        <v>8740</v>
      </c>
      <c r="C69" s="531">
        <v>0</v>
      </c>
      <c r="D69" s="531">
        <v>0</v>
      </c>
      <c r="E69" s="477"/>
      <c r="F69" s="477"/>
      <c r="G69" s="477"/>
      <c r="H69" s="477"/>
      <c r="I69" s="477"/>
      <c r="J69" s="477"/>
      <c r="K69" s="477"/>
      <c r="L69" s="524"/>
    </row>
    <row r="70" spans="1:12" s="485" customFormat="1" ht="14.25" thickTop="1" thickBot="1" x14ac:dyDescent="0.25">
      <c r="A70" s="1512" t="s">
        <v>774</v>
      </c>
      <c r="B70" s="483">
        <v>8810</v>
      </c>
      <c r="C70" s="531">
        <v>0</v>
      </c>
      <c r="D70" s="531">
        <v>0</v>
      </c>
      <c r="E70" s="477"/>
      <c r="F70" s="477"/>
      <c r="G70" s="477"/>
      <c r="H70" s="477"/>
      <c r="I70" s="477"/>
      <c r="J70" s="477"/>
      <c r="K70" s="477"/>
      <c r="L70" s="524"/>
    </row>
    <row r="71" spans="1:12" s="485" customFormat="1" ht="14.25" thickTop="1" thickBot="1" x14ac:dyDescent="0.25">
      <c r="A71" s="1512" t="s">
        <v>778</v>
      </c>
      <c r="B71" s="483">
        <v>8820</v>
      </c>
      <c r="C71" s="531">
        <v>0</v>
      </c>
      <c r="D71" s="531">
        <v>0</v>
      </c>
      <c r="E71" s="477"/>
      <c r="F71" s="477"/>
      <c r="G71" s="477"/>
      <c r="H71" s="477"/>
      <c r="I71" s="477"/>
      <c r="J71" s="477"/>
      <c r="K71" s="477"/>
      <c r="L71" s="524"/>
    </row>
    <row r="72" spans="1:12" s="485" customFormat="1" ht="14.25" thickTop="1" thickBot="1" x14ac:dyDescent="0.25">
      <c r="A72" s="1512" t="s">
        <v>775</v>
      </c>
      <c r="B72" s="483">
        <v>8830</v>
      </c>
      <c r="C72" s="531">
        <v>0</v>
      </c>
      <c r="D72" s="531">
        <v>0</v>
      </c>
      <c r="E72" s="477"/>
      <c r="F72" s="477"/>
      <c r="G72" s="477"/>
      <c r="H72" s="477"/>
      <c r="I72" s="477"/>
      <c r="J72" s="477"/>
      <c r="K72" s="477"/>
      <c r="L72" s="524"/>
    </row>
    <row r="73" spans="1:12" s="485" customFormat="1" ht="14.25" thickTop="1" thickBot="1" x14ac:dyDescent="0.25">
      <c r="A73" s="1512" t="s">
        <v>776</v>
      </c>
      <c r="B73" s="483">
        <v>8840</v>
      </c>
      <c r="C73" s="531">
        <v>0</v>
      </c>
      <c r="D73" s="531">
        <v>0</v>
      </c>
      <c r="E73" s="477"/>
      <c r="F73" s="477"/>
      <c r="G73" s="477"/>
      <c r="H73" s="477"/>
      <c r="I73" s="477"/>
      <c r="J73" s="477"/>
      <c r="K73" s="480"/>
      <c r="L73" s="524"/>
    </row>
    <row r="74" spans="1:12" s="485" customFormat="1" ht="14.25" thickTop="1" thickBot="1" x14ac:dyDescent="0.25">
      <c r="A74" s="1512"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5" t="s">
        <v>459</v>
      </c>
      <c r="B75" s="483">
        <v>8990</v>
      </c>
      <c r="C75" s="531">
        <v>0</v>
      </c>
      <c r="D75" s="531">
        <v>0</v>
      </c>
      <c r="E75" s="530">
        <v>0</v>
      </c>
      <c r="F75" s="532">
        <v>0</v>
      </c>
      <c r="G75" s="532">
        <v>0</v>
      </c>
      <c r="H75" s="532">
        <v>0</v>
      </c>
      <c r="I75" s="530">
        <v>6733</v>
      </c>
      <c r="J75" s="530">
        <v>0</v>
      </c>
      <c r="K75" s="532">
        <v>0</v>
      </c>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90733</v>
      </c>
      <c r="J76" s="1725">
        <f t="shared" si="7"/>
        <v>0</v>
      </c>
      <c r="K76" s="1725">
        <f t="shared" si="7"/>
        <v>0</v>
      </c>
      <c r="L76" s="524"/>
    </row>
    <row r="77" spans="1:12" ht="14.25" thickTop="1" thickBot="1" x14ac:dyDescent="0.25">
      <c r="A77" s="2136" t="s">
        <v>1239</v>
      </c>
      <c r="B77" s="2137"/>
      <c r="C77" s="1725">
        <f t="shared" ref="C77:K77" si="8">C44-C76</f>
        <v>59000</v>
      </c>
      <c r="D77" s="1725">
        <f t="shared" si="8"/>
        <v>0</v>
      </c>
      <c r="E77" s="1725">
        <f t="shared" si="8"/>
        <v>0</v>
      </c>
      <c r="F77" s="1725">
        <f t="shared" si="8"/>
        <v>0</v>
      </c>
      <c r="G77" s="1725">
        <f t="shared" si="8"/>
        <v>0</v>
      </c>
      <c r="H77" s="1725">
        <f t="shared" si="8"/>
        <v>0</v>
      </c>
      <c r="I77" s="1725">
        <f t="shared" si="8"/>
        <v>-5733</v>
      </c>
      <c r="J77" s="1725">
        <f t="shared" si="8"/>
        <v>0</v>
      </c>
      <c r="K77" s="1725">
        <f t="shared" si="8"/>
        <v>25000</v>
      </c>
      <c r="L77" s="347"/>
    </row>
    <row r="78" spans="1:12" ht="21.75" customHeight="1" thickTop="1" thickBot="1" x14ac:dyDescent="0.25">
      <c r="A78" s="2140" t="s">
        <v>618</v>
      </c>
      <c r="B78" s="2141"/>
      <c r="C78" s="1724">
        <f t="shared" ref="C78:K78" si="9">C20+C77</f>
        <v>78431</v>
      </c>
      <c r="D78" s="1724">
        <f t="shared" si="9"/>
        <v>2080</v>
      </c>
      <c r="E78" s="1724">
        <f t="shared" si="9"/>
        <v>0</v>
      </c>
      <c r="F78" s="1724">
        <f t="shared" si="9"/>
        <v>25148</v>
      </c>
      <c r="G78" s="1724">
        <f t="shared" si="9"/>
        <v>-207</v>
      </c>
      <c r="H78" s="1724">
        <f t="shared" si="9"/>
        <v>0</v>
      </c>
      <c r="I78" s="1724">
        <f t="shared" si="9"/>
        <v>-2963</v>
      </c>
      <c r="J78" s="1724">
        <f t="shared" si="9"/>
        <v>2966</v>
      </c>
      <c r="K78" s="1724">
        <f t="shared" si="9"/>
        <v>23194</v>
      </c>
      <c r="L78" s="533"/>
    </row>
    <row r="79" spans="1:12" ht="13.5" thickTop="1" x14ac:dyDescent="0.2">
      <c r="A79" s="1516" t="s">
        <v>2071</v>
      </c>
      <c r="B79" s="534"/>
      <c r="C79" s="478">
        <v>102289</v>
      </c>
      <c r="D79" s="535">
        <v>3807</v>
      </c>
      <c r="E79" s="535">
        <v>0</v>
      </c>
      <c r="F79" s="535">
        <v>11360</v>
      </c>
      <c r="G79" s="535">
        <v>35845</v>
      </c>
      <c r="H79" s="535">
        <v>0</v>
      </c>
      <c r="I79" s="535">
        <v>6322</v>
      </c>
      <c r="J79" s="535">
        <v>22993</v>
      </c>
      <c r="K79" s="535">
        <v>3854</v>
      </c>
      <c r="L79" s="347"/>
    </row>
    <row r="80" spans="1:12" x14ac:dyDescent="0.2">
      <c r="A80" s="2146" t="s">
        <v>1898</v>
      </c>
      <c r="B80" s="2147"/>
      <c r="C80" s="467">
        <v>0</v>
      </c>
      <c r="D80" s="467">
        <v>0</v>
      </c>
      <c r="E80" s="467">
        <v>0</v>
      </c>
      <c r="F80" s="467">
        <v>0</v>
      </c>
      <c r="G80" s="467">
        <v>0</v>
      </c>
      <c r="H80" s="467">
        <v>0</v>
      </c>
      <c r="I80" s="467">
        <v>0</v>
      </c>
      <c r="J80" s="467">
        <v>0</v>
      </c>
      <c r="K80" s="467">
        <v>0</v>
      </c>
      <c r="L80" s="347"/>
    </row>
    <row r="81" spans="1:12" ht="13.5" thickBot="1" x14ac:dyDescent="0.25">
      <c r="A81" s="2138" t="s">
        <v>2072</v>
      </c>
      <c r="B81" s="2139"/>
      <c r="C81" s="1710">
        <f>(SUM(C78:C80))</f>
        <v>180720</v>
      </c>
      <c r="D81" s="1710">
        <f>SUM(D78:D80)</f>
        <v>5887</v>
      </c>
      <c r="E81" s="1710">
        <f t="shared" ref="E81:K81" si="10">SUM(E78:E80)</f>
        <v>0</v>
      </c>
      <c r="F81" s="1710">
        <f t="shared" si="10"/>
        <v>36508</v>
      </c>
      <c r="G81" s="1710">
        <f t="shared" si="10"/>
        <v>35638</v>
      </c>
      <c r="H81" s="1710">
        <f t="shared" si="10"/>
        <v>0</v>
      </c>
      <c r="I81" s="1710">
        <f t="shared" si="10"/>
        <v>3359</v>
      </c>
      <c r="J81" s="1710">
        <f t="shared" si="10"/>
        <v>25959</v>
      </c>
      <c r="K81" s="1710">
        <f t="shared" si="10"/>
        <v>27048</v>
      </c>
      <c r="L81" s="347"/>
    </row>
    <row r="82" spans="1:12" ht="0.75" customHeight="1" thickTop="1" thickBot="1" x14ac:dyDescent="0.25">
      <c r="A82" s="536" t="s">
        <v>361</v>
      </c>
      <c r="B82" s="537"/>
      <c r="C82" s="538">
        <f>(C81-C79)</f>
        <v>78431</v>
      </c>
      <c r="D82" s="538">
        <f t="shared" ref="D82:K82" si="11">(D81-D79)</f>
        <v>2080</v>
      </c>
      <c r="E82" s="538">
        <f t="shared" si="11"/>
        <v>0</v>
      </c>
      <c r="F82" s="538">
        <f t="shared" si="11"/>
        <v>25148</v>
      </c>
      <c r="G82" s="538">
        <f t="shared" si="11"/>
        <v>-207</v>
      </c>
      <c r="H82" s="538">
        <f t="shared" si="11"/>
        <v>0</v>
      </c>
      <c r="I82" s="538">
        <f t="shared" si="11"/>
        <v>-2963</v>
      </c>
      <c r="J82" s="538">
        <f t="shared" si="11"/>
        <v>2966</v>
      </c>
      <c r="K82" s="538">
        <f t="shared" si="11"/>
        <v>23194</v>
      </c>
    </row>
    <row r="83" spans="1:12" ht="14.25" hidden="1" thickTop="1" thickBot="1" x14ac:dyDescent="0.25">
      <c r="A83" s="539" t="s">
        <v>362</v>
      </c>
      <c r="B83" s="464"/>
      <c r="C83" s="540">
        <f>C82/C81</f>
        <v>0.43399181053563524</v>
      </c>
      <c r="D83" s="540">
        <f t="shared" ref="D83:K83" si="12">D82/D81</f>
        <v>0.353320876507559</v>
      </c>
      <c r="E83" s="540" t="e">
        <f t="shared" si="12"/>
        <v>#DIV/0!</v>
      </c>
      <c r="F83" s="540">
        <f t="shared" si="12"/>
        <v>0.68883532376465428</v>
      </c>
      <c r="G83" s="540">
        <f t="shared" si="12"/>
        <v>-5.8084067568325943E-3</v>
      </c>
      <c r="H83" s="540" t="e">
        <f t="shared" si="12"/>
        <v>#DIV/0!</v>
      </c>
      <c r="I83" s="540">
        <f t="shared" si="12"/>
        <v>-0.88210777016969333</v>
      </c>
      <c r="J83" s="540">
        <f t="shared" si="12"/>
        <v>0.1142570977310374</v>
      </c>
      <c r="K83" s="540">
        <f t="shared" si="12"/>
        <v>0.85751257024548955</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&amp;L&amp;8&amp;F&amp;C&amp;8The accompanying Notes to Financial Statements are an intergral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97373</v>
      </c>
      <c r="D5" s="481">
        <v>27697</v>
      </c>
      <c r="E5" s="466">
        <v>0</v>
      </c>
      <c r="F5" s="548">
        <v>11079</v>
      </c>
      <c r="G5" s="466">
        <v>5939</v>
      </c>
      <c r="H5" s="466">
        <v>0</v>
      </c>
      <c r="I5" s="466">
        <v>2770</v>
      </c>
      <c r="J5" s="467">
        <v>29694</v>
      </c>
      <c r="K5" s="466">
        <v>2769</v>
      </c>
    </row>
    <row r="6" spans="1:12" ht="15" x14ac:dyDescent="0.2">
      <c r="A6" s="463" t="s">
        <v>1761</v>
      </c>
      <c r="B6" s="470">
        <v>1130</v>
      </c>
      <c r="C6" s="466"/>
      <c r="D6" s="466"/>
      <c r="E6" s="475"/>
      <c r="F6" s="475"/>
      <c r="G6" s="468"/>
      <c r="H6" s="468"/>
      <c r="I6" s="468"/>
      <c r="J6" s="468"/>
      <c r="K6" s="468"/>
    </row>
    <row r="7" spans="1:12" x14ac:dyDescent="0.2">
      <c r="A7" s="463" t="s">
        <v>112</v>
      </c>
      <c r="B7" s="549">
        <v>1140</v>
      </c>
      <c r="C7" s="466">
        <v>1108</v>
      </c>
      <c r="D7" s="466"/>
      <c r="E7" s="468"/>
      <c r="F7" s="467"/>
      <c r="G7" s="467"/>
      <c r="H7" s="467"/>
      <c r="I7" s="468"/>
      <c r="J7" s="468"/>
      <c r="K7" s="468"/>
    </row>
    <row r="8" spans="1:12" x14ac:dyDescent="0.2">
      <c r="A8" s="463" t="s">
        <v>433</v>
      </c>
      <c r="B8" s="470">
        <v>1150</v>
      </c>
      <c r="C8" s="475"/>
      <c r="D8" s="475"/>
      <c r="E8" s="477"/>
      <c r="F8" s="477"/>
      <c r="G8" s="481">
        <v>5939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98481</v>
      </c>
      <c r="D12" s="1729">
        <f t="shared" si="0"/>
        <v>27697</v>
      </c>
      <c r="E12" s="1729">
        <f t="shared" si="0"/>
        <v>0</v>
      </c>
      <c r="F12" s="1729">
        <f t="shared" si="0"/>
        <v>11079</v>
      </c>
      <c r="G12" s="1729">
        <f t="shared" si="0"/>
        <v>11878</v>
      </c>
      <c r="H12" s="1729">
        <f t="shared" si="0"/>
        <v>0</v>
      </c>
      <c r="I12" s="1729">
        <f t="shared" si="0"/>
        <v>2770</v>
      </c>
      <c r="J12" s="1729">
        <f t="shared" si="0"/>
        <v>29694</v>
      </c>
      <c r="K12" s="1710">
        <f t="shared" si="0"/>
        <v>2769</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2080</v>
      </c>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46106</v>
      </c>
      <c r="D16" s="466"/>
      <c r="E16" s="466"/>
      <c r="F16" s="466"/>
      <c r="G16" s="466">
        <v>1614</v>
      </c>
      <c r="H16" s="466"/>
      <c r="I16" s="466"/>
      <c r="J16" s="467"/>
      <c r="K16" s="466"/>
    </row>
    <row r="17" spans="1:11" ht="12.75" customHeight="1" x14ac:dyDescent="0.2">
      <c r="A17" s="463" t="s">
        <v>840</v>
      </c>
      <c r="B17" s="470">
        <v>1290</v>
      </c>
      <c r="C17" s="551">
        <v>82</v>
      </c>
      <c r="D17" s="466"/>
      <c r="E17" s="466"/>
      <c r="F17" s="466"/>
      <c r="G17" s="466"/>
      <c r="H17" s="466"/>
      <c r="I17" s="466"/>
      <c r="J17" s="467"/>
      <c r="K17" s="466"/>
    </row>
    <row r="18" spans="1:11" ht="12.75" customHeight="1" thickBot="1" x14ac:dyDescent="0.25">
      <c r="A18" s="1730" t="s">
        <v>558</v>
      </c>
      <c r="B18" s="1731"/>
      <c r="C18" s="1732">
        <f>SUM(C14:C17)</f>
        <v>48268</v>
      </c>
      <c r="D18" s="1732">
        <f t="shared" ref="D18:K18" si="1">SUM(D14:D17)</f>
        <v>0</v>
      </c>
      <c r="E18" s="1732">
        <f t="shared" si="1"/>
        <v>0</v>
      </c>
      <c r="F18" s="1732">
        <f t="shared" si="1"/>
        <v>0</v>
      </c>
      <c r="G18" s="1732">
        <f t="shared" si="1"/>
        <v>1614</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4433</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4433</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6733</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6733</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950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7045</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6118</v>
      </c>
      <c r="D107" s="466"/>
      <c r="E107" s="466"/>
      <c r="F107" s="466"/>
      <c r="G107" s="466"/>
      <c r="H107" s="466"/>
      <c r="I107" s="466"/>
      <c r="J107" s="467"/>
      <c r="K107" s="466"/>
    </row>
    <row r="108" spans="1:12" ht="12.75" customHeight="1" thickBot="1" x14ac:dyDescent="0.25">
      <c r="A108" s="1730" t="s">
        <v>508</v>
      </c>
      <c r="B108" s="1734"/>
      <c r="C108" s="1729">
        <f>SUM(C95:C107)</f>
        <v>14113</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172028</v>
      </c>
      <c r="D109" s="1737">
        <f t="shared" si="4"/>
        <v>27697</v>
      </c>
      <c r="E109" s="1737">
        <f t="shared" si="4"/>
        <v>0</v>
      </c>
      <c r="F109" s="1737">
        <f t="shared" si="4"/>
        <v>11079</v>
      </c>
      <c r="G109" s="1737">
        <f t="shared" si="4"/>
        <v>13492</v>
      </c>
      <c r="H109" s="1737">
        <f t="shared" si="4"/>
        <v>0</v>
      </c>
      <c r="I109" s="1737">
        <f t="shared" si="4"/>
        <v>2770</v>
      </c>
      <c r="J109" s="1737">
        <f t="shared" si="4"/>
        <v>29694</v>
      </c>
      <c r="K109" s="1724">
        <f t="shared" si="4"/>
        <v>2769</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3851</v>
      </c>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3851</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293199</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293199</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4457</v>
      </c>
      <c r="D125" s="561"/>
      <c r="E125" s="468"/>
      <c r="F125" s="466"/>
      <c r="G125" s="468"/>
      <c r="H125" s="468"/>
      <c r="I125" s="468"/>
      <c r="J125" s="468"/>
      <c r="K125" s="468"/>
    </row>
    <row r="126" spans="1:11" ht="12.75" customHeight="1" x14ac:dyDescent="0.2">
      <c r="A126" s="463" t="s">
        <v>922</v>
      </c>
      <c r="B126" s="562">
        <v>3110</v>
      </c>
      <c r="C126" s="551">
        <v>6250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10707</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486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19990</v>
      </c>
      <c r="G151" s="467"/>
      <c r="H151" s="468"/>
      <c r="I151" s="468"/>
      <c r="J151" s="468"/>
      <c r="K151" s="468"/>
    </row>
    <row r="152" spans="1:11" ht="12.75" customHeight="1" x14ac:dyDescent="0.2">
      <c r="A152" s="463" t="s">
        <v>1117</v>
      </c>
      <c r="B152" s="562">
        <v>3510</v>
      </c>
      <c r="C152" s="551"/>
      <c r="D152" s="466"/>
      <c r="E152" s="561"/>
      <c r="F152" s="466">
        <v>13702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33692</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11193</v>
      </c>
      <c r="D172" s="1744">
        <f t="shared" si="6"/>
        <v>0</v>
      </c>
      <c r="E172" s="1744">
        <f t="shared" si="6"/>
        <v>0</v>
      </c>
      <c r="F172" s="1744">
        <f t="shared" si="6"/>
        <v>33692</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304392</v>
      </c>
      <c r="D173" s="1737">
        <f>SUM(D121,D172)</f>
        <v>0</v>
      </c>
      <c r="E173" s="1737">
        <f>SUM(E121,E172)</f>
        <v>0</v>
      </c>
      <c r="F173" s="1737">
        <f t="shared" ref="F173:K173" si="7">SUM(F121,F172)</f>
        <v>33692</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19571</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10081</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29652</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39553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39553</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739</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553</v>
      </c>
      <c r="D270" s="576"/>
      <c r="E270" s="468"/>
      <c r="F270" s="576"/>
      <c r="G270" s="576"/>
      <c r="H270" s="468"/>
      <c r="I270" s="468"/>
      <c r="J270" s="468"/>
      <c r="K270" s="468"/>
    </row>
    <row r="271" spans="1:11" ht="12.75" customHeight="1" thickTop="1" thickBot="1" x14ac:dyDescent="0.25">
      <c r="A271" s="463" t="s">
        <v>395</v>
      </c>
      <c r="B271" s="470">
        <v>4992</v>
      </c>
      <c r="C271" s="575">
        <v>3639</v>
      </c>
      <c r="D271" s="576"/>
      <c r="E271" s="468"/>
      <c r="F271" s="576"/>
      <c r="G271" s="576"/>
      <c r="H271" s="468"/>
      <c r="I271" s="468"/>
      <c r="J271" s="468"/>
      <c r="K271" s="468"/>
    </row>
    <row r="272" spans="1:11" s="594" customFormat="1" ht="12.75" customHeight="1" thickTop="1" thickBot="1" x14ac:dyDescent="0.25">
      <c r="A272" s="563" t="s">
        <v>77</v>
      </c>
      <c r="B272" s="557">
        <v>4999</v>
      </c>
      <c r="C272" s="575">
        <v>6804</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80940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80940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561211</v>
      </c>
      <c r="D275" s="1737">
        <f t="shared" si="12"/>
        <v>27697</v>
      </c>
      <c r="E275" s="1737">
        <f t="shared" si="12"/>
        <v>0</v>
      </c>
      <c r="F275" s="1737">
        <f t="shared" si="12"/>
        <v>44771</v>
      </c>
      <c r="G275" s="1737">
        <f t="shared" si="12"/>
        <v>13492</v>
      </c>
      <c r="H275" s="1737">
        <f t="shared" si="12"/>
        <v>0</v>
      </c>
      <c r="I275" s="1737">
        <f t="shared" si="12"/>
        <v>2770</v>
      </c>
      <c r="J275" s="1737">
        <f t="shared" si="12"/>
        <v>29694</v>
      </c>
      <c r="K275" s="1724">
        <f t="shared" si="12"/>
        <v>2769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&amp;L&amp;8&amp;F&amp;C&amp;8The accompanying Notes to Financial Statements are an integral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C5" sqref="C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f>157183+8720</f>
        <v>165903</v>
      </c>
      <c r="D5" s="466">
        <f>17076+3891+1096</f>
        <v>22063</v>
      </c>
      <c r="E5" s="466">
        <f>22309+18+8193</f>
        <v>30520</v>
      </c>
      <c r="F5" s="466">
        <v>13156</v>
      </c>
      <c r="G5" s="466"/>
      <c r="H5" s="466">
        <v>1336</v>
      </c>
      <c r="I5" s="467"/>
      <c r="J5" s="467"/>
      <c r="K5" s="1693">
        <f>SUM(C5:J5)</f>
        <v>232978</v>
      </c>
      <c r="L5" s="466">
        <v>206700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32401</v>
      </c>
      <c r="D8" s="466">
        <v>3548</v>
      </c>
      <c r="E8" s="466">
        <v>1877</v>
      </c>
      <c r="F8" s="466"/>
      <c r="G8" s="466"/>
      <c r="H8" s="466"/>
      <c r="I8" s="467"/>
      <c r="J8" s="467"/>
      <c r="K8" s="1693">
        <f t="shared" si="0"/>
        <v>37826</v>
      </c>
      <c r="L8" s="466">
        <v>42725</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19374</v>
      </c>
      <c r="D10" s="466">
        <v>2605</v>
      </c>
      <c r="E10" s="466">
        <v>935</v>
      </c>
      <c r="F10" s="466">
        <v>20313</v>
      </c>
      <c r="G10" s="466">
        <v>5494</v>
      </c>
      <c r="H10" s="466">
        <v>270</v>
      </c>
      <c r="I10" s="467"/>
      <c r="J10" s="467"/>
      <c r="K10" s="1693">
        <f t="shared" si="0"/>
        <v>48991</v>
      </c>
      <c r="L10" s="466">
        <v>70170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4580</v>
      </c>
      <c r="D14" s="466">
        <v>388</v>
      </c>
      <c r="E14" s="466"/>
      <c r="F14" s="466">
        <v>29</v>
      </c>
      <c r="G14" s="466"/>
      <c r="H14" s="466">
        <v>250</v>
      </c>
      <c r="I14" s="467"/>
      <c r="J14" s="467"/>
      <c r="K14" s="1693">
        <f t="shared" si="0"/>
        <v>5247</v>
      </c>
      <c r="L14" s="466">
        <v>19325</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222258</v>
      </c>
      <c r="D33" s="1692">
        <f t="shared" ref="D33:L33" si="1">SUM(D5:D32)</f>
        <v>28604</v>
      </c>
      <c r="E33" s="1692">
        <f t="shared" si="1"/>
        <v>33332</v>
      </c>
      <c r="F33" s="1692">
        <f t="shared" si="1"/>
        <v>33498</v>
      </c>
      <c r="G33" s="1692">
        <f t="shared" si="1"/>
        <v>5494</v>
      </c>
      <c r="H33" s="1692">
        <f t="shared" si="1"/>
        <v>1856</v>
      </c>
      <c r="I33" s="1692">
        <f t="shared" si="1"/>
        <v>0</v>
      </c>
      <c r="J33" s="1692">
        <f t="shared" si="1"/>
        <v>0</v>
      </c>
      <c r="K33" s="1692">
        <f t="shared" si="1"/>
        <v>325042</v>
      </c>
      <c r="L33" s="1692">
        <f t="shared" si="1"/>
        <v>338920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v>2488</v>
      </c>
      <c r="F38" s="466"/>
      <c r="G38" s="466"/>
      <c r="H38" s="466"/>
      <c r="I38" s="467"/>
      <c r="J38" s="467"/>
      <c r="K38" s="1693">
        <f t="shared" si="2"/>
        <v>2488</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0</v>
      </c>
      <c r="D42" s="1692">
        <f t="shared" ref="D42:L42" si="3">SUM(D36:D41)</f>
        <v>0</v>
      </c>
      <c r="E42" s="1692">
        <f t="shared" si="3"/>
        <v>2488</v>
      </c>
      <c r="F42" s="1692">
        <f t="shared" si="3"/>
        <v>0</v>
      </c>
      <c r="G42" s="1692">
        <f t="shared" si="3"/>
        <v>0</v>
      </c>
      <c r="H42" s="1692">
        <f t="shared" si="3"/>
        <v>0</v>
      </c>
      <c r="I42" s="1692">
        <f t="shared" si="3"/>
        <v>0</v>
      </c>
      <c r="J42" s="1692">
        <f t="shared" si="3"/>
        <v>0</v>
      </c>
      <c r="K42" s="1692">
        <f t="shared" si="3"/>
        <v>2488</v>
      </c>
      <c r="L42" s="1692">
        <f t="shared" si="3"/>
        <v>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4">
        <f>SUM(C44:J44)</f>
        <v>0</v>
      </c>
      <c r="L44" s="481"/>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0</v>
      </c>
      <c r="D47" s="1692">
        <f t="shared" ref="D47:K47" si="4">SUM(D44:D46)</f>
        <v>0</v>
      </c>
      <c r="E47" s="1692">
        <f t="shared" si="4"/>
        <v>0</v>
      </c>
      <c r="F47" s="1692">
        <f t="shared" si="4"/>
        <v>0</v>
      </c>
      <c r="G47" s="1692">
        <f t="shared" si="4"/>
        <v>0</v>
      </c>
      <c r="H47" s="1692">
        <f t="shared" si="4"/>
        <v>0</v>
      </c>
      <c r="I47" s="1692">
        <f t="shared" si="4"/>
        <v>0</v>
      </c>
      <c r="J47" s="1692">
        <f t="shared" si="4"/>
        <v>0</v>
      </c>
      <c r="K47" s="1692">
        <f t="shared" si="4"/>
        <v>0</v>
      </c>
      <c r="L47" s="1692">
        <f>SUM(L44:L46)</f>
        <v>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f>909+5400+2216</f>
        <v>8525</v>
      </c>
      <c r="F49" s="481">
        <v>818</v>
      </c>
      <c r="G49" s="481"/>
      <c r="H49" s="481">
        <v>3406</v>
      </c>
      <c r="I49" s="467"/>
      <c r="J49" s="467"/>
      <c r="K49" s="1694">
        <f>SUM(C49:J49)</f>
        <v>12749</v>
      </c>
      <c r="L49" s="481">
        <v>9885</v>
      </c>
    </row>
    <row r="50" spans="1:14" x14ac:dyDescent="0.2">
      <c r="A50" s="1526" t="s">
        <v>872</v>
      </c>
      <c r="B50" s="615">
        <v>2320</v>
      </c>
      <c r="C50" s="466">
        <v>60650</v>
      </c>
      <c r="D50" s="466">
        <v>5343</v>
      </c>
      <c r="E50" s="466">
        <v>54</v>
      </c>
      <c r="F50" s="466"/>
      <c r="G50" s="466"/>
      <c r="H50" s="466">
        <v>728</v>
      </c>
      <c r="I50" s="467"/>
      <c r="J50" s="467"/>
      <c r="K50" s="1694">
        <f>SUM(C50:J50)</f>
        <v>66775</v>
      </c>
      <c r="L50" s="466">
        <v>68480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60650</v>
      </c>
      <c r="D53" s="1692">
        <f t="shared" ref="D53:L53" si="5">SUM(D49:D52)</f>
        <v>5343</v>
      </c>
      <c r="E53" s="1692">
        <f t="shared" si="5"/>
        <v>8579</v>
      </c>
      <c r="F53" s="1692">
        <f t="shared" si="5"/>
        <v>818</v>
      </c>
      <c r="G53" s="1692">
        <f t="shared" si="5"/>
        <v>0</v>
      </c>
      <c r="H53" s="1692">
        <f t="shared" si="5"/>
        <v>4134</v>
      </c>
      <c r="I53" s="1692">
        <f t="shared" si="5"/>
        <v>0</v>
      </c>
      <c r="J53" s="1692">
        <f t="shared" si="5"/>
        <v>0</v>
      </c>
      <c r="K53" s="1692">
        <f t="shared" si="5"/>
        <v>79524</v>
      </c>
      <c r="L53" s="1692">
        <f t="shared" si="5"/>
        <v>78365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31375</v>
      </c>
      <c r="D55" s="481">
        <v>5343</v>
      </c>
      <c r="E55" s="481">
        <v>300</v>
      </c>
      <c r="F55" s="481"/>
      <c r="G55" s="481"/>
      <c r="H55" s="481"/>
      <c r="I55" s="467"/>
      <c r="J55" s="467"/>
      <c r="K55" s="1694">
        <f>SUM(C55:J55)</f>
        <v>37018</v>
      </c>
      <c r="L55" s="481">
        <v>35275</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31375</v>
      </c>
      <c r="D57" s="1696">
        <f t="shared" ref="D57:K57" si="6">SUM(D55:D56)</f>
        <v>5343</v>
      </c>
      <c r="E57" s="1696">
        <f t="shared" si="6"/>
        <v>300</v>
      </c>
      <c r="F57" s="1696">
        <f t="shared" si="6"/>
        <v>0</v>
      </c>
      <c r="G57" s="1696">
        <f t="shared" si="6"/>
        <v>0</v>
      </c>
      <c r="H57" s="1696">
        <f t="shared" si="6"/>
        <v>0</v>
      </c>
      <c r="I57" s="1696">
        <f t="shared" si="6"/>
        <v>0</v>
      </c>
      <c r="J57" s="1696">
        <f t="shared" si="6"/>
        <v>0</v>
      </c>
      <c r="K57" s="1696">
        <f t="shared" si="6"/>
        <v>37018</v>
      </c>
      <c r="L57" s="1692">
        <f>SUM(L55:L56)</f>
        <v>35275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c r="D60" s="466"/>
      <c r="E60" s="466"/>
      <c r="F60" s="466"/>
      <c r="G60" s="466"/>
      <c r="H60" s="466"/>
      <c r="I60" s="467"/>
      <c r="J60" s="467"/>
      <c r="K60" s="1694">
        <f t="shared" si="7"/>
        <v>0</v>
      </c>
      <c r="L60" s="466"/>
      <c r="M60" s="610"/>
      <c r="N60" s="610"/>
    </row>
    <row r="61" spans="1:14" s="343" customFormat="1" x14ac:dyDescent="0.2">
      <c r="A61" s="1526" t="s">
        <v>206</v>
      </c>
      <c r="B61" s="615">
        <v>2540</v>
      </c>
      <c r="C61" s="466">
        <v>23410</v>
      </c>
      <c r="D61" s="466"/>
      <c r="E61" s="466"/>
      <c r="F61" s="466"/>
      <c r="G61" s="466"/>
      <c r="H61" s="466"/>
      <c r="I61" s="467"/>
      <c r="J61" s="467"/>
      <c r="K61" s="1694">
        <f t="shared" si="7"/>
        <v>23410</v>
      </c>
      <c r="L61" s="466">
        <v>22250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16018</v>
      </c>
      <c r="D63" s="466"/>
      <c r="E63" s="466">
        <v>1856</v>
      </c>
      <c r="F63" s="466">
        <v>24791</v>
      </c>
      <c r="G63" s="466"/>
      <c r="H63" s="466">
        <v>155</v>
      </c>
      <c r="I63" s="467"/>
      <c r="J63" s="467"/>
      <c r="K63" s="1694">
        <f t="shared" si="7"/>
        <v>42820</v>
      </c>
      <c r="L63" s="466">
        <v>48600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39428</v>
      </c>
      <c r="D65" s="1692">
        <f t="shared" ref="D65:L65" si="8">SUM(D59:D64)</f>
        <v>0</v>
      </c>
      <c r="E65" s="1692">
        <f t="shared" si="8"/>
        <v>1856</v>
      </c>
      <c r="F65" s="1692">
        <f t="shared" si="8"/>
        <v>24791</v>
      </c>
      <c r="G65" s="1692">
        <f t="shared" si="8"/>
        <v>0</v>
      </c>
      <c r="H65" s="1692">
        <f t="shared" si="8"/>
        <v>155</v>
      </c>
      <c r="I65" s="1692">
        <f t="shared" si="8"/>
        <v>0</v>
      </c>
      <c r="J65" s="1692">
        <f t="shared" si="8"/>
        <v>0</v>
      </c>
      <c r="K65" s="1692">
        <f t="shared" si="8"/>
        <v>66230</v>
      </c>
      <c r="L65" s="1692">
        <f t="shared" si="8"/>
        <v>70850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131453</v>
      </c>
      <c r="D74" s="1699">
        <f t="shared" ref="D74:K74" si="10">SUM(D42,D47,D53,D57,D65,D72,D73)</f>
        <v>10686</v>
      </c>
      <c r="E74" s="1699">
        <f t="shared" si="10"/>
        <v>13223</v>
      </c>
      <c r="F74" s="1699">
        <f t="shared" si="10"/>
        <v>25609</v>
      </c>
      <c r="G74" s="1699">
        <f t="shared" si="10"/>
        <v>0</v>
      </c>
      <c r="H74" s="1699">
        <f t="shared" si="10"/>
        <v>4289</v>
      </c>
      <c r="I74" s="1699">
        <f t="shared" si="10"/>
        <v>0</v>
      </c>
      <c r="J74" s="1699">
        <f t="shared" si="10"/>
        <v>0</v>
      </c>
      <c r="K74" s="1699">
        <f t="shared" si="10"/>
        <v>185260</v>
      </c>
      <c r="L74" s="1699">
        <f>SUM(L42,L47,L53,L57,L65,L72,L73)</f>
        <v>184490</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31478</v>
      </c>
      <c r="F79" s="617"/>
      <c r="G79" s="617"/>
      <c r="H79" s="466"/>
      <c r="I79" s="477"/>
      <c r="J79" s="477"/>
      <c r="K79" s="1693">
        <f t="shared" si="11"/>
        <v>31478</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31478</v>
      </c>
      <c r="F84" s="617"/>
      <c r="G84" s="617"/>
      <c r="H84" s="1692">
        <f>SUM(H78:H83)</f>
        <v>0</v>
      </c>
      <c r="I84" s="477"/>
      <c r="J84" s="477"/>
      <c r="K84" s="1692">
        <f>SUM(K78:K83)</f>
        <v>31478</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31478</v>
      </c>
      <c r="F102" s="617"/>
      <c r="G102" s="617"/>
      <c r="H102" s="1699">
        <f>SUM(H84,H92,H100,H101)</f>
        <v>0</v>
      </c>
      <c r="I102" s="477"/>
      <c r="J102" s="477"/>
      <c r="K102" s="1699">
        <f>SUM(K84,K92,K100,K101)</f>
        <v>31478</v>
      </c>
      <c r="L102" s="1699">
        <f>SUM(L84,L92,L100,L101)</f>
        <v>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353711</v>
      </c>
      <c r="D114" s="1692">
        <f t="shared" ref="D114:K114" si="13">SUM(D33,D74,D75,D102,D112,D113)</f>
        <v>39290</v>
      </c>
      <c r="E114" s="1692">
        <f t="shared" si="13"/>
        <v>78033</v>
      </c>
      <c r="F114" s="1692">
        <f t="shared" si="13"/>
        <v>59107</v>
      </c>
      <c r="G114" s="1692">
        <f t="shared" si="13"/>
        <v>5494</v>
      </c>
      <c r="H114" s="1692">
        <f>SUM(H33,H74,H75,H102,H112,H113)</f>
        <v>6145</v>
      </c>
      <c r="I114" s="1692">
        <f t="shared" si="13"/>
        <v>0</v>
      </c>
      <c r="J114" s="1692">
        <f t="shared" si="13"/>
        <v>0</v>
      </c>
      <c r="K114" s="1692">
        <f t="shared" si="13"/>
        <v>541780</v>
      </c>
      <c r="L114" s="1692">
        <f>SUM(L33,L74,L75,L102,L112,L113)</f>
        <v>523410</v>
      </c>
    </row>
    <row r="115" spans="1:14" ht="13.5" thickTop="1" x14ac:dyDescent="0.2">
      <c r="A115" s="2174" t="s">
        <v>1053</v>
      </c>
      <c r="B115" s="2175"/>
      <c r="C115" s="619"/>
      <c r="D115" s="619"/>
      <c r="E115" s="619"/>
      <c r="F115" s="619"/>
      <c r="G115" s="619"/>
      <c r="H115" s="619"/>
      <c r="I115" s="619"/>
      <c r="J115" s="619"/>
      <c r="K115" s="1706">
        <f>'Revenues 9-14'!C275-'Expenditures 15-22'!K114</f>
        <v>19431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f>6824+2100</f>
        <v>8924</v>
      </c>
      <c r="F124" s="466">
        <f>3677+5027+7990-1</f>
        <v>16693</v>
      </c>
      <c r="G124" s="466"/>
      <c r="H124" s="466"/>
      <c r="I124" s="467"/>
      <c r="J124" s="467"/>
      <c r="K124" s="1692">
        <f>SUM(C124:J124)</f>
        <v>25617</v>
      </c>
      <c r="L124" s="466">
        <v>25800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8924</v>
      </c>
      <c r="F127" s="1692">
        <f t="shared" si="14"/>
        <v>16693</v>
      </c>
      <c r="G127" s="1692">
        <f t="shared" si="14"/>
        <v>0</v>
      </c>
      <c r="H127" s="1692">
        <f t="shared" si="14"/>
        <v>0</v>
      </c>
      <c r="I127" s="1692">
        <f t="shared" si="14"/>
        <v>0</v>
      </c>
      <c r="J127" s="1692">
        <f t="shared" si="14"/>
        <v>0</v>
      </c>
      <c r="K127" s="1692">
        <f t="shared" si="14"/>
        <v>25617</v>
      </c>
      <c r="L127" s="1692">
        <f t="shared" si="14"/>
        <v>25800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8924</v>
      </c>
      <c r="F129" s="1699">
        <f t="shared" si="15"/>
        <v>16693</v>
      </c>
      <c r="G129" s="1699">
        <f t="shared" si="15"/>
        <v>0</v>
      </c>
      <c r="H129" s="1699">
        <f t="shared" si="15"/>
        <v>0</v>
      </c>
      <c r="I129" s="1699">
        <f t="shared" si="15"/>
        <v>0</v>
      </c>
      <c r="J129" s="1699">
        <f t="shared" si="15"/>
        <v>0</v>
      </c>
      <c r="K129" s="1699">
        <f t="shared" si="15"/>
        <v>25617</v>
      </c>
      <c r="L129" s="1699">
        <f t="shared" si="15"/>
        <v>25800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2">
        <f>SUM(C129,C130,C139,C149,C150)</f>
        <v>0</v>
      </c>
      <c r="D151" s="1692">
        <f t="shared" ref="D151:K151" si="16">SUM(D129,D130,D139,D149,D150)</f>
        <v>0</v>
      </c>
      <c r="E151" s="1692">
        <f t="shared" si="16"/>
        <v>8924</v>
      </c>
      <c r="F151" s="1692">
        <f t="shared" si="16"/>
        <v>16693</v>
      </c>
      <c r="G151" s="1692">
        <f t="shared" si="16"/>
        <v>0</v>
      </c>
      <c r="H151" s="1692">
        <f t="shared" si="16"/>
        <v>0</v>
      </c>
      <c r="I151" s="1692">
        <f t="shared" si="16"/>
        <v>0</v>
      </c>
      <c r="J151" s="1692">
        <f t="shared" si="16"/>
        <v>0</v>
      </c>
      <c r="K151" s="1692">
        <f t="shared" si="16"/>
        <v>25617</v>
      </c>
      <c r="L151" s="1692">
        <f>SUM(L129,L130,L139,L149,L150)</f>
        <v>25800</v>
      </c>
    </row>
    <row r="152" spans="1:14" ht="12.75" customHeight="1" thickTop="1" x14ac:dyDescent="0.2">
      <c r="A152" s="2194" t="s">
        <v>1240</v>
      </c>
      <c r="B152" s="2195"/>
      <c r="C152" s="619"/>
      <c r="D152" s="619"/>
      <c r="E152" s="619"/>
      <c r="F152" s="619"/>
      <c r="G152" s="619"/>
      <c r="H152" s="619"/>
      <c r="I152" s="619"/>
      <c r="J152" s="617"/>
      <c r="K152" s="1706">
        <f>'Revenues 9-14'!D275-'Expenditures 15-22'!K151</f>
        <v>2080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74" t="s">
        <v>1053</v>
      </c>
      <c r="B175" s="2175"/>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8539</v>
      </c>
      <c r="D182" s="466"/>
      <c r="E182" s="466">
        <f>884+3810+988</f>
        <v>5682</v>
      </c>
      <c r="F182" s="466">
        <f>40+4992</f>
        <v>5032</v>
      </c>
      <c r="G182" s="466"/>
      <c r="H182" s="466">
        <v>370</v>
      </c>
      <c r="I182" s="467"/>
      <c r="J182" s="467"/>
      <c r="K182" s="1693">
        <f>SUM(C182:J182)</f>
        <v>19623</v>
      </c>
      <c r="L182" s="466">
        <v>25750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8539</v>
      </c>
      <c r="D184" s="1699">
        <f t="shared" ref="D184:J184" si="17">SUM(D180,D182,D183)</f>
        <v>0</v>
      </c>
      <c r="E184" s="1699">
        <f t="shared" si="17"/>
        <v>5682</v>
      </c>
      <c r="F184" s="1699">
        <f t="shared" si="17"/>
        <v>5032</v>
      </c>
      <c r="G184" s="1699">
        <f t="shared" si="17"/>
        <v>0</v>
      </c>
      <c r="H184" s="1699">
        <f t="shared" si="17"/>
        <v>370</v>
      </c>
      <c r="I184" s="1699">
        <f t="shared" si="17"/>
        <v>0</v>
      </c>
      <c r="J184" s="1699">
        <f t="shared" si="17"/>
        <v>0</v>
      </c>
      <c r="K184" s="1699">
        <f>SUM(K180,K182,K183)</f>
        <v>19623</v>
      </c>
      <c r="L184" s="1699">
        <f>SUM(L180, L182:L183)</f>
        <v>25750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8539</v>
      </c>
      <c r="D210" s="1692">
        <f>SUM(D184,D185)</f>
        <v>0</v>
      </c>
      <c r="E210" s="1692">
        <f>SUM(E184,E185,E196)</f>
        <v>5682</v>
      </c>
      <c r="F210" s="1692">
        <f>SUM(F184,F185)</f>
        <v>5032</v>
      </c>
      <c r="G210" s="1692">
        <f>SUM(G184,G185)</f>
        <v>0</v>
      </c>
      <c r="H210" s="1692">
        <f>SUM(H184,H185,H196,H208,H209)</f>
        <v>370</v>
      </c>
      <c r="I210" s="1692">
        <f>SUM(I184,I185)</f>
        <v>0</v>
      </c>
      <c r="J210" s="1692">
        <f>SUM(J184,J185)</f>
        <v>0</v>
      </c>
      <c r="K210" s="1693">
        <f>SUM(K184,K185,K196,K208,K209)</f>
        <v>19623</v>
      </c>
      <c r="L210" s="1692">
        <f>SUM(L184,L185,L196,L208,L209)</f>
        <v>25750</v>
      </c>
    </row>
    <row r="211" spans="1:14" ht="13.5" thickTop="1" x14ac:dyDescent="0.2">
      <c r="A211" s="2174" t="s">
        <v>1053</v>
      </c>
      <c r="B211" s="2175"/>
      <c r="C211" s="619"/>
      <c r="D211" s="619"/>
      <c r="E211" s="619"/>
      <c r="F211" s="619"/>
      <c r="G211" s="619"/>
      <c r="H211" s="619"/>
      <c r="I211" s="617"/>
      <c r="J211" s="617"/>
      <c r="K211" s="1706">
        <f>'Revenues 9-14'!F275-'Expenditures 15-22'!K210</f>
        <v>25148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2563</v>
      </c>
      <c r="E215" s="617"/>
      <c r="F215" s="617"/>
      <c r="G215" s="617"/>
      <c r="H215" s="617"/>
      <c r="I215" s="617"/>
      <c r="J215" s="617"/>
      <c r="K215" s="1693">
        <f>D215</f>
        <v>2563</v>
      </c>
      <c r="L215" s="466">
        <v>2500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498</v>
      </c>
      <c r="E217" s="617"/>
      <c r="F217" s="617"/>
      <c r="G217" s="617"/>
      <c r="H217" s="617"/>
      <c r="I217" s="617"/>
      <c r="J217" s="617"/>
      <c r="K217" s="1693">
        <f t="shared" si="19"/>
        <v>498</v>
      </c>
      <c r="L217" s="466">
        <v>1775</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262</v>
      </c>
      <c r="E223" s="617"/>
      <c r="F223" s="617"/>
      <c r="G223" s="617"/>
      <c r="H223" s="617"/>
      <c r="I223" s="617"/>
      <c r="J223" s="617"/>
      <c r="K223" s="1693">
        <f t="shared" si="19"/>
        <v>262</v>
      </c>
      <c r="L223" s="466">
        <v>100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3323</v>
      </c>
      <c r="E229" s="617"/>
      <c r="F229" s="617"/>
      <c r="G229" s="617"/>
      <c r="H229" s="617"/>
      <c r="I229" s="617"/>
      <c r="J229" s="617"/>
      <c r="K229" s="1692">
        <f>SUM(K215:K228)</f>
        <v>3323</v>
      </c>
      <c r="L229" s="1692">
        <f>SUM(L215:L228)</f>
        <v>4375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v>75</v>
      </c>
    </row>
    <row r="246" spans="1:12" x14ac:dyDescent="0.2">
      <c r="A246" s="1526" t="s">
        <v>872</v>
      </c>
      <c r="B246" s="615">
        <v>2320</v>
      </c>
      <c r="C246" s="617"/>
      <c r="D246" s="466">
        <v>4268</v>
      </c>
      <c r="E246" s="617"/>
      <c r="F246" s="617"/>
      <c r="G246" s="617"/>
      <c r="H246" s="617"/>
      <c r="I246" s="617"/>
      <c r="J246" s="617"/>
      <c r="K246" s="1694">
        <f t="shared" ref="K246:K256" si="21">D246</f>
        <v>4268</v>
      </c>
      <c r="L246" s="466">
        <v>3500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4268</v>
      </c>
      <c r="E257" s="617"/>
      <c r="F257" s="617"/>
      <c r="G257" s="617"/>
      <c r="H257" s="617"/>
      <c r="I257" s="617"/>
      <c r="J257" s="617"/>
      <c r="K257" s="1692">
        <f>SUM(K245:K256)</f>
        <v>4268</v>
      </c>
      <c r="L257" s="1692">
        <f>SUM(L245:L256)</f>
        <v>3575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455</v>
      </c>
      <c r="E259" s="617"/>
      <c r="F259" s="617"/>
      <c r="G259" s="617"/>
      <c r="H259" s="617"/>
      <c r="I259" s="617"/>
      <c r="J259" s="617"/>
      <c r="K259" s="1694">
        <f>D259</f>
        <v>455</v>
      </c>
      <c r="L259" s="481">
        <v>500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455</v>
      </c>
      <c r="E261" s="617"/>
      <c r="F261" s="617"/>
      <c r="G261" s="617"/>
      <c r="H261" s="617"/>
      <c r="I261" s="617"/>
      <c r="J261" s="617"/>
      <c r="K261" s="1692">
        <f>SUM(K259:K260)</f>
        <v>455</v>
      </c>
      <c r="L261" s="1692">
        <f>SUM(L259:L260)</f>
        <v>500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3008</v>
      </c>
      <c r="E266" s="617"/>
      <c r="F266" s="617"/>
      <c r="G266" s="617"/>
      <c r="H266" s="617"/>
      <c r="I266" s="617"/>
      <c r="J266" s="617"/>
      <c r="K266" s="1694">
        <f t="shared" si="22"/>
        <v>3008</v>
      </c>
      <c r="L266" s="466">
        <v>2350</v>
      </c>
    </row>
    <row r="267" spans="1:14" x14ac:dyDescent="0.2">
      <c r="A267" s="1526" t="s">
        <v>1010</v>
      </c>
      <c r="B267" s="615">
        <v>2550</v>
      </c>
      <c r="C267" s="617"/>
      <c r="D267" s="466">
        <v>616</v>
      </c>
      <c r="E267" s="617"/>
      <c r="F267" s="617"/>
      <c r="G267" s="617"/>
      <c r="H267" s="617"/>
      <c r="I267" s="617"/>
      <c r="J267" s="617"/>
      <c r="K267" s="1694">
        <f t="shared" si="22"/>
        <v>616</v>
      </c>
      <c r="L267" s="466">
        <v>100</v>
      </c>
    </row>
    <row r="268" spans="1:14" x14ac:dyDescent="0.2">
      <c r="A268" s="1526" t="s">
        <v>102</v>
      </c>
      <c r="B268" s="615">
        <v>2560</v>
      </c>
      <c r="C268" s="617"/>
      <c r="D268" s="466">
        <v>2029</v>
      </c>
      <c r="E268" s="617"/>
      <c r="F268" s="617"/>
      <c r="G268" s="617"/>
      <c r="H268" s="617"/>
      <c r="I268" s="617"/>
      <c r="J268" s="617"/>
      <c r="K268" s="1694">
        <f t="shared" si="22"/>
        <v>2029</v>
      </c>
      <c r="L268" s="466">
        <v>1750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5653</v>
      </c>
      <c r="E270" s="617"/>
      <c r="F270" s="617"/>
      <c r="G270" s="617"/>
      <c r="H270" s="617"/>
      <c r="I270" s="617"/>
      <c r="J270" s="617"/>
      <c r="K270" s="1692">
        <f>SUM(K263:K269)</f>
        <v>5653</v>
      </c>
      <c r="L270" s="1692">
        <f>SUM(L263:L269)</f>
        <v>4200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10376</v>
      </c>
      <c r="E279" s="617"/>
      <c r="F279" s="617"/>
      <c r="G279" s="617"/>
      <c r="H279" s="617"/>
      <c r="I279" s="617"/>
      <c r="J279" s="617"/>
      <c r="K279" s="1699">
        <f>SUM(K238,K243,K257,K261,K270,K277,K278)</f>
        <v>10376</v>
      </c>
      <c r="L279" s="1699">
        <f>SUM(L238,L243,L257,L261,L270,L277,L278)</f>
        <v>8275</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13699</v>
      </c>
      <c r="E295" s="617"/>
      <c r="F295" s="617"/>
      <c r="G295" s="617"/>
      <c r="H295" s="1692">
        <f>H293</f>
        <v>0</v>
      </c>
      <c r="I295" s="617"/>
      <c r="J295" s="617"/>
      <c r="K295" s="1692">
        <f>SUM(K229,K279,K280,K285,K293,K294)</f>
        <v>13699</v>
      </c>
      <c r="L295" s="1692">
        <f>SUM(L229,L279,L280,L285,L293,L294)</f>
        <v>12650</v>
      </c>
    </row>
    <row r="296" spans="1:14" ht="13.5" thickTop="1" x14ac:dyDescent="0.2">
      <c r="A296" s="2174" t="s">
        <v>1053</v>
      </c>
      <c r="B296" s="2175"/>
      <c r="C296" s="617"/>
      <c r="D296" s="619"/>
      <c r="E296" s="617"/>
      <c r="F296" s="617"/>
      <c r="G296" s="617"/>
      <c r="H296" s="688"/>
      <c r="I296" s="617"/>
      <c r="J296" s="617"/>
      <c r="K296" s="1706">
        <f>'Revenues 9-14'!G275-'Expenditures 15-22'!K295</f>
        <v>-207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7089</v>
      </c>
      <c r="F320" s="467"/>
      <c r="G320" s="467"/>
      <c r="H320" s="467"/>
      <c r="I320" s="467"/>
      <c r="J320" s="467"/>
      <c r="K320" s="1693">
        <f t="shared" ref="K320:K327" si="24">SUM(C320:J320)</f>
        <v>7089</v>
      </c>
      <c r="L320" s="467">
        <v>5000</v>
      </c>
      <c r="M320" s="666"/>
      <c r="N320" s="666"/>
    </row>
    <row r="321" spans="1:14" s="675" customFormat="1" x14ac:dyDescent="0.2">
      <c r="A321" s="1541" t="s">
        <v>318</v>
      </c>
      <c r="B321" s="698" t="s">
        <v>301</v>
      </c>
      <c r="C321" s="467"/>
      <c r="D321" s="467"/>
      <c r="E321" s="467">
        <v>1120</v>
      </c>
      <c r="F321" s="467"/>
      <c r="G321" s="467"/>
      <c r="H321" s="467"/>
      <c r="I321" s="467"/>
      <c r="J321" s="467"/>
      <c r="K321" s="1693">
        <f t="shared" si="24"/>
        <v>1120</v>
      </c>
      <c r="L321" s="467">
        <v>6525</v>
      </c>
      <c r="M321" s="666"/>
      <c r="N321" s="666"/>
    </row>
    <row r="322" spans="1:14" s="675" customFormat="1" x14ac:dyDescent="0.2">
      <c r="A322" s="1541" t="s">
        <v>256</v>
      </c>
      <c r="B322" s="698" t="s">
        <v>302</v>
      </c>
      <c r="C322" s="467"/>
      <c r="D322" s="467"/>
      <c r="E322" s="467">
        <v>10218</v>
      </c>
      <c r="F322" s="467"/>
      <c r="G322" s="467"/>
      <c r="H322" s="467"/>
      <c r="I322" s="467"/>
      <c r="J322" s="467"/>
      <c r="K322" s="1693">
        <f t="shared" si="24"/>
        <v>10218</v>
      </c>
      <c r="L322" s="467">
        <v>10075</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8301</v>
      </c>
      <c r="F327" s="467"/>
      <c r="G327" s="467"/>
      <c r="H327" s="467"/>
      <c r="I327" s="467"/>
      <c r="J327" s="467"/>
      <c r="K327" s="1693">
        <f t="shared" si="24"/>
        <v>8301</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v>2500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26728</v>
      </c>
      <c r="F330" s="1692">
        <f t="shared" si="25"/>
        <v>0</v>
      </c>
      <c r="G330" s="1692">
        <f t="shared" si="25"/>
        <v>0</v>
      </c>
      <c r="H330" s="1692">
        <f t="shared" si="25"/>
        <v>0</v>
      </c>
      <c r="I330" s="1692">
        <f t="shared" si="25"/>
        <v>0</v>
      </c>
      <c r="J330" s="1692">
        <f t="shared" si="25"/>
        <v>0</v>
      </c>
      <c r="K330" s="1692">
        <f>SUM(K319:K329)</f>
        <v>26728</v>
      </c>
      <c r="L330" s="1692">
        <f>SUM(L319:L329)</f>
        <v>24100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26728</v>
      </c>
      <c r="F342" s="1692">
        <f>SUM(F330)</f>
        <v>0</v>
      </c>
      <c r="G342" s="1692">
        <f>SUM(G330)</f>
        <v>0</v>
      </c>
      <c r="H342" s="1692">
        <f>SUM(H330,H334,H340)</f>
        <v>0</v>
      </c>
      <c r="I342" s="1692">
        <f>SUM(I330)</f>
        <v>0</v>
      </c>
      <c r="J342" s="1692">
        <f>SUM(J330)</f>
        <v>0</v>
      </c>
      <c r="K342" s="1692">
        <f>SUM(K330,K334,K340)</f>
        <v>26728</v>
      </c>
      <c r="L342" s="1699">
        <f>SUM(L330,L340,L341)</f>
        <v>24100</v>
      </c>
    </row>
    <row r="343" spans="1:14" ht="12.75" customHeight="1" thickTop="1" x14ac:dyDescent="0.2">
      <c r="A343" s="2187" t="s">
        <v>1053</v>
      </c>
      <c r="B343" s="2188"/>
      <c r="C343" s="617"/>
      <c r="D343" s="617"/>
      <c r="E343" s="617"/>
      <c r="F343" s="617"/>
      <c r="G343" s="617"/>
      <c r="H343" s="617"/>
      <c r="I343" s="617"/>
      <c r="J343" s="617"/>
      <c r="K343" s="1706">
        <f>'Revenues 9-14'!J275-'Expenditures 15-22'!K342</f>
        <v>2966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f>4575</f>
        <v>4575</v>
      </c>
      <c r="F349" s="466"/>
      <c r="G349" s="466"/>
      <c r="H349" s="466"/>
      <c r="I349" s="467"/>
      <c r="J349" s="467"/>
      <c r="K349" s="1693">
        <f>SUM(C349:J349)</f>
        <v>4575</v>
      </c>
      <c r="L349" s="466">
        <v>2110</v>
      </c>
    </row>
    <row r="350" spans="1:14" ht="12.75" customHeight="1" thickBot="1" x14ac:dyDescent="0.25">
      <c r="A350" s="1690" t="s">
        <v>743</v>
      </c>
      <c r="B350" s="1691" t="s">
        <v>35</v>
      </c>
      <c r="C350" s="1692">
        <f>SUM(C348:C349)</f>
        <v>0</v>
      </c>
      <c r="D350" s="1692">
        <f t="shared" ref="D350:L350" si="26">SUM(D348:D349)</f>
        <v>0</v>
      </c>
      <c r="E350" s="1692">
        <f t="shared" si="26"/>
        <v>4575</v>
      </c>
      <c r="F350" s="1692">
        <f t="shared" si="26"/>
        <v>0</v>
      </c>
      <c r="G350" s="1692">
        <f t="shared" si="26"/>
        <v>0</v>
      </c>
      <c r="H350" s="1692">
        <f t="shared" si="26"/>
        <v>0</v>
      </c>
      <c r="I350" s="1692">
        <f t="shared" si="26"/>
        <v>0</v>
      </c>
      <c r="J350" s="1692">
        <f t="shared" si="26"/>
        <v>0</v>
      </c>
      <c r="K350" s="1692">
        <f t="shared" si="26"/>
        <v>4575</v>
      </c>
      <c r="L350" s="1692">
        <f t="shared" si="26"/>
        <v>2110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4575</v>
      </c>
      <c r="F352" s="1692">
        <f t="shared" si="27"/>
        <v>0</v>
      </c>
      <c r="G352" s="1692">
        <f t="shared" si="27"/>
        <v>0</v>
      </c>
      <c r="H352" s="1692">
        <f t="shared" si="27"/>
        <v>0</v>
      </c>
      <c r="I352" s="1692">
        <f t="shared" si="27"/>
        <v>0</v>
      </c>
      <c r="J352" s="1692">
        <f t="shared" si="27"/>
        <v>0</v>
      </c>
      <c r="K352" s="1692">
        <f t="shared" si="27"/>
        <v>4575</v>
      </c>
      <c r="L352" s="1692">
        <f t="shared" si="27"/>
        <v>2110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4575</v>
      </c>
      <c r="F367" s="1692">
        <f t="shared" si="28"/>
        <v>0</v>
      </c>
      <c r="G367" s="1692">
        <f t="shared" si="28"/>
        <v>0</v>
      </c>
      <c r="H367" s="1692">
        <f t="shared" si="28"/>
        <v>0</v>
      </c>
      <c r="I367" s="1692">
        <f t="shared" si="28"/>
        <v>0</v>
      </c>
      <c r="J367" s="1692">
        <f t="shared" si="28"/>
        <v>0</v>
      </c>
      <c r="K367" s="1692">
        <f t="shared" si="28"/>
        <v>4575</v>
      </c>
      <c r="L367" s="1692">
        <f t="shared" si="28"/>
        <v>2110</v>
      </c>
    </row>
    <row r="368" spans="1:14" ht="13.5" thickTop="1" x14ac:dyDescent="0.2">
      <c r="A368" s="2174" t="s">
        <v>1053</v>
      </c>
      <c r="B368" s="2175"/>
      <c r="C368" s="655"/>
      <c r="D368" s="655"/>
      <c r="E368" s="627"/>
      <c r="F368" s="627"/>
      <c r="G368" s="627"/>
      <c r="H368" s="627"/>
      <c r="I368" s="627"/>
      <c r="J368" s="624"/>
      <c r="K368" s="1693">
        <f>'Revenues 9-14'!K275-'Expenditures 15-22'!K367</f>
        <v>-1806</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&amp;L&amp;8&amp;F&amp;C&amp;8The accompanying Notes to Financial Statements are an integral part of this statement.</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purl.org/dc/terms/"/>
    <ds:schemaRef ds:uri="http://purl.org/dc/dcmitype/"/>
    <ds:schemaRef ds:uri="d21dc803-237d-4c68-8692-8d731fd29118"/>
    <ds:schemaRef ds:uri="http://www.w3.org/XML/1998/namespace"/>
    <ds:schemaRef ds:uri="http://purl.org/dc/elements/1.1/"/>
    <ds:schemaRef ds:uri="http://schemas.microsoft.com/office/2006/documentManagement/types"/>
    <ds:schemaRef ds:uri="6ce3111e-7420-4802-b50a-75d4e9a0b980"/>
    <ds:schemaRef ds:uri="http://schemas.openxmlformats.org/package/2006/metadata/core-properties"/>
    <ds:schemaRef ds:uri="http://schemas.microsoft.com/office/infopath/2007/PartnerControls"/>
    <ds:schemaRef ds:uri="4d435f69-8686-490b-bd6d-b153bf22ab5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2018-08-31T20:12:06Z</cp:lastPrinted>
  <dcterms:created xsi:type="dcterms:W3CDTF">2003-10-29T19:06:34Z</dcterms:created>
  <dcterms:modified xsi:type="dcterms:W3CDTF">2018-12-17T14:28:00Z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