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45" windowWidth="27705" windowHeight="128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c r="B5107" i="106"/>
  <c r="D5107" i="106" s="1"/>
  <c r="B5108" i="106"/>
  <c r="D5108" i="106" s="1"/>
  <c r="B5109" i="106"/>
  <c r="D5109" i="106" s="1"/>
  <c r="B5110" i="106"/>
  <c r="D5110" i="106"/>
  <c r="B5111" i="106"/>
  <c r="D5111" i="106" s="1"/>
  <c r="B5113" i="106"/>
  <c r="D5113" i="106" s="1"/>
  <c r="B5114" i="106"/>
  <c r="D5114" i="106" s="1"/>
  <c r="B5115" i="106"/>
  <c r="D5115" i="106" s="1"/>
  <c r="B5116" i="106"/>
  <c r="D5116" i="106"/>
  <c r="B5117" i="106"/>
  <c r="D5117" i="106"/>
  <c r="B5118" i="106"/>
  <c r="D5118" i="106"/>
  <c r="B5119" i="106"/>
  <c r="D5119" i="106" s="1"/>
  <c r="B5122" i="106"/>
  <c r="D5122" i="106"/>
  <c r="B5123" i="106"/>
  <c r="D5123" i="106" s="1"/>
  <c r="B5124" i="106"/>
  <c r="D5124" i="106" s="1"/>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s="1"/>
  <c r="B6302" i="106"/>
  <c r="D6302" i="106" s="1"/>
  <c r="B6303" i="106"/>
  <c r="D6303" i="106" s="1"/>
  <c r="B6304" i="106"/>
  <c r="D6304" i="106" s="1"/>
  <c r="B6305" i="106"/>
  <c r="D6305" i="106"/>
  <c r="B6307" i="106"/>
  <c r="D6307" i="106"/>
  <c r="B6308" i="106"/>
  <c r="D6308" i="106" s="1"/>
  <c r="B6309" i="106"/>
  <c r="D6309" i="106" s="1"/>
  <c r="B6310" i="106"/>
  <c r="D6310" i="106"/>
  <c r="B6311" i="106"/>
  <c r="D6311" i="106"/>
  <c r="B6312" i="106"/>
  <c r="D6312" i="106" s="1"/>
  <c r="B6313" i="106"/>
  <c r="D6313" i="106" s="1"/>
  <c r="B6314" i="106"/>
  <c r="D6314" i="106"/>
  <c r="B6315" i="106"/>
  <c r="D6315" i="106"/>
  <c r="B6316" i="106"/>
  <c r="D6316" i="106" s="1"/>
  <c r="B6317" i="106"/>
  <c r="D6317" i="106" s="1"/>
  <c r="B6319" i="106"/>
  <c r="D6319" i="106"/>
  <c r="B6320" i="106"/>
  <c r="D6320" i="106"/>
  <c r="B6321" i="106"/>
  <c r="D6321" i="106" s="1"/>
  <c r="B6322" i="106"/>
  <c r="D6322" i="106" s="1"/>
  <c r="B6323" i="106"/>
  <c r="D6323" i="106"/>
  <c r="B6324" i="106"/>
  <c r="D6324" i="106"/>
  <c r="B6325" i="106"/>
  <c r="D6325" i="106" s="1"/>
  <c r="B6326" i="106"/>
  <c r="D6326" i="106" s="1"/>
  <c r="B6327" i="106"/>
  <c r="D6327" i="106"/>
  <c r="B6328" i="106"/>
  <c r="D6328" i="106"/>
  <c r="B6329" i="106"/>
  <c r="D6329" i="106" s="1"/>
  <c r="B6330" i="106"/>
  <c r="D6330" i="106" s="1"/>
  <c r="B6331" i="106"/>
  <c r="D6331" i="106"/>
  <c r="B6332" i="106"/>
  <c r="D6332" i="106"/>
  <c r="B6333" i="106"/>
  <c r="D6333" i="106" s="1"/>
  <c r="B6334" i="106"/>
  <c r="D6334" i="106" s="1"/>
  <c r="B6335" i="106"/>
  <c r="D6335" i="106"/>
  <c r="B6336" i="106"/>
  <c r="D6336" i="106"/>
  <c r="B6337" i="106"/>
  <c r="D6337" i="106" s="1"/>
  <c r="B6338" i="106"/>
  <c r="D6338" i="106" s="1"/>
  <c r="B6339" i="106"/>
  <c r="D6339" i="106"/>
  <c r="B6340" i="106"/>
  <c r="D6340" i="106"/>
  <c r="B6341" i="106"/>
  <c r="D6341" i="106" s="1"/>
  <c r="B6342" i="106"/>
  <c r="D6342" i="106" s="1"/>
  <c r="B6343" i="106"/>
  <c r="D6343" i="106"/>
  <c r="B6344" i="106"/>
  <c r="D6344" i="106"/>
  <c r="B6345" i="106"/>
  <c r="D6345" i="106" s="1"/>
  <c r="B6346" i="106"/>
  <c r="D6346" i="106" s="1"/>
  <c r="B6347" i="106"/>
  <c r="D6347" i="106"/>
  <c r="B6348" i="106"/>
  <c r="D6348" i="106"/>
  <c r="B6349" i="106"/>
  <c r="D6349" i="106" s="1"/>
  <c r="B6350" i="106"/>
  <c r="D6350" i="106" s="1"/>
  <c r="B6353" i="106"/>
  <c r="D6353" i="106"/>
  <c r="B6354" i="106"/>
  <c r="D6354" i="106"/>
  <c r="B6355" i="106"/>
  <c r="D6355" i="106" s="1"/>
  <c r="B6356" i="106"/>
  <c r="D6356" i="106" s="1"/>
  <c r="B6358" i="106"/>
  <c r="D6358" i="106"/>
  <c r="B6359" i="106"/>
  <c r="D6359" i="106"/>
  <c r="B6360" i="106"/>
  <c r="D6360" i="106" s="1"/>
  <c r="B6361" i="106"/>
  <c r="D6361" i="106" s="1"/>
  <c r="B6362" i="106"/>
  <c r="D6362" i="106"/>
  <c r="B6363" i="106"/>
  <c r="D6363" i="106"/>
  <c r="B6364" i="106"/>
  <c r="D6364" i="106" s="1"/>
  <c r="B6365" i="106"/>
  <c r="D6365" i="106" s="1"/>
  <c r="B6366" i="106"/>
  <c r="D6366" i="106"/>
  <c r="B6367" i="106"/>
  <c r="D6367" i="106"/>
  <c r="B6368" i="106"/>
  <c r="D6368" i="106" s="1"/>
  <c r="B6369" i="106"/>
  <c r="D6369" i="106" s="1"/>
  <c r="B6370" i="106"/>
  <c r="D6370" i="106"/>
  <c r="B6371" i="106"/>
  <c r="D6371" i="106"/>
  <c r="B6372" i="106"/>
  <c r="D6372" i="106" s="1"/>
  <c r="B6373" i="106"/>
  <c r="D6373" i="106" s="1"/>
  <c r="B6374" i="106"/>
  <c r="D6374" i="106"/>
  <c r="B6375" i="106"/>
  <c r="D6375" i="106"/>
  <c r="B6376" i="106"/>
  <c r="D6376" i="106" s="1"/>
  <c r="B6377" i="106"/>
  <c r="D6377" i="106" s="1"/>
  <c r="B6378" i="106"/>
  <c r="D6378" i="106"/>
  <c r="B6379" i="106"/>
  <c r="D6379" i="106"/>
  <c r="B6380" i="106"/>
  <c r="D6380" i="106" s="1"/>
  <c r="B6381" i="106"/>
  <c r="D6381" i="106" s="1"/>
  <c r="B6382" i="106"/>
  <c r="D6382" i="106"/>
  <c r="B6383" i="106"/>
  <c r="D6383" i="106"/>
  <c r="B6384" i="106"/>
  <c r="D6384" i="106" s="1"/>
  <c r="B6385" i="106"/>
  <c r="D6385" i="106" s="1"/>
  <c r="B6386" i="106"/>
  <c r="D6386" i="106"/>
  <c r="B6387" i="106"/>
  <c r="D6387" i="106"/>
  <c r="B6388" i="106"/>
  <c r="D6388" i="106" s="1"/>
  <c r="B6389" i="106"/>
  <c r="D6389" i="106" s="1"/>
  <c r="B6390" i="106"/>
  <c r="D6390" i="106"/>
  <c r="B6391" i="106"/>
  <c r="D6391" i="106"/>
  <c r="B6392" i="106"/>
  <c r="D6392" i="106" s="1"/>
  <c r="B6393" i="106"/>
  <c r="D6393" i="106" s="1"/>
  <c r="B6394" i="106"/>
  <c r="D6394" i="106"/>
  <c r="B6395" i="106"/>
  <c r="D6395" i="106"/>
  <c r="B6398" i="106"/>
  <c r="D6398" i="106" s="1"/>
  <c r="B6399" i="106"/>
  <c r="D6399" i="106" s="1"/>
  <c r="B6401" i="106"/>
  <c r="D6401" i="106"/>
  <c r="B6402" i="106"/>
  <c r="D6402" i="106"/>
  <c r="B6403" i="106"/>
  <c r="D6403" i="106" s="1"/>
  <c r="B6404" i="106"/>
  <c r="D6404" i="106" s="1"/>
  <c r="B6405" i="106"/>
  <c r="D6405" i="106"/>
  <c r="B6406" i="106"/>
  <c r="D6406" i="106"/>
  <c r="B6407" i="106"/>
  <c r="D6407" i="106" s="1"/>
  <c r="B6408" i="106"/>
  <c r="D6408" i="106" s="1"/>
  <c r="B6410" i="106"/>
  <c r="D6410" i="106"/>
  <c r="B6411" i="106"/>
  <c r="D6411" i="106"/>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c r="B6618" i="106"/>
  <c r="D6618" i="106"/>
  <c r="B6619" i="106"/>
  <c r="D6619" i="106" s="1"/>
  <c r="B6620" i="106"/>
  <c r="D6620" i="106" s="1"/>
  <c r="B6621" i="106"/>
  <c r="D6621" i="106"/>
  <c r="B6622" i="106"/>
  <c r="D6622" i="106"/>
  <c r="B6623" i="106"/>
  <c r="D6623" i="106" s="1"/>
  <c r="B6624" i="106"/>
  <c r="D6624" i="106" s="1"/>
  <c r="B6625" i="106"/>
  <c r="D6625" i="106"/>
  <c r="B6626" i="106"/>
  <c r="D6626" i="106"/>
  <c r="B6627" i="106"/>
  <c r="D6627" i="106" s="1"/>
  <c r="B6628" i="106"/>
  <c r="D6628" i="106" s="1"/>
  <c r="B6629" i="106"/>
  <c r="D6629" i="106"/>
  <c r="B6630" i="106"/>
  <c r="D6630" i="106"/>
  <c r="B6631" i="106"/>
  <c r="D6631" i="106" s="1"/>
  <c r="B6632" i="106"/>
  <c r="D6632" i="106" s="1"/>
  <c r="B6633" i="106"/>
  <c r="D6633" i="106"/>
  <c r="B6634" i="106"/>
  <c r="D6634" i="106"/>
  <c r="B6635" i="106"/>
  <c r="D6635" i="106" s="1"/>
  <c r="B6636" i="106"/>
  <c r="D6636" i="106" s="1"/>
  <c r="B6637" i="106"/>
  <c r="D6637" i="106"/>
  <c r="B6638" i="106"/>
  <c r="D6638" i="106"/>
  <c r="B6639" i="106"/>
  <c r="D6639" i="106" s="1"/>
  <c r="B6640" i="106"/>
  <c r="D6640" i="106" s="1"/>
  <c r="B6641" i="106"/>
  <c r="D6641" i="106"/>
  <c r="B6642" i="106"/>
  <c r="D6642" i="106"/>
  <c r="B6643" i="106"/>
  <c r="D6643" i="106" s="1"/>
  <c r="B6644" i="106"/>
  <c r="D6644" i="106" s="1"/>
  <c r="B6645" i="106"/>
  <c r="D6645" i="106"/>
  <c r="B6646" i="106"/>
  <c r="D6646" i="106"/>
  <c r="B6647" i="106"/>
  <c r="D6647" i="106" s="1"/>
  <c r="B6648" i="106"/>
  <c r="D6648" i="106" s="1"/>
  <c r="B6649" i="106"/>
  <c r="D6649" i="106"/>
  <c r="B6650" i="106"/>
  <c r="D6650" i="106"/>
  <c r="B6651" i="106"/>
  <c r="D6651" i="106" s="1"/>
  <c r="B6652" i="106"/>
  <c r="D6652" i="106" s="1"/>
  <c r="B6653" i="106"/>
  <c r="D6653" i="106"/>
  <c r="B6654" i="106"/>
  <c r="D6654" i="106"/>
  <c r="B6655" i="106"/>
  <c r="D6655" i="106" s="1"/>
  <c r="B6656" i="106"/>
  <c r="D6656" i="106" s="1"/>
  <c r="B6657" i="106"/>
  <c r="D6657" i="106"/>
  <c r="B6658" i="106"/>
  <c r="D6658" i="106"/>
  <c r="B6659" i="106"/>
  <c r="D6659" i="106" s="1"/>
  <c r="B6660" i="106"/>
  <c r="D6660" i="106" s="1"/>
  <c r="B6661" i="106"/>
  <c r="D6661" i="106"/>
  <c r="B6662" i="106"/>
  <c r="D6662" i="106"/>
  <c r="B6663" i="106"/>
  <c r="D6663" i="106" s="1"/>
  <c r="B6664" i="106"/>
  <c r="D6664" i="106" s="1"/>
  <c r="B6665" i="106"/>
  <c r="D6665" i="106"/>
  <c r="B6666" i="106"/>
  <c r="D6666" i="106"/>
  <c r="B6667" i="106"/>
  <c r="D6667" i="106" s="1"/>
  <c r="B6668" i="106"/>
  <c r="D6668" i="106" s="1"/>
  <c r="B6669" i="106"/>
  <c r="D6669" i="106"/>
  <c r="B6670" i="106"/>
  <c r="D6670" i="106"/>
  <c r="B6671" i="106"/>
  <c r="D6671" i="106" s="1"/>
  <c r="B6672" i="106"/>
  <c r="D6672" i="106" s="1"/>
  <c r="B6673" i="106"/>
  <c r="D6673" i="106"/>
  <c r="B6674" i="106"/>
  <c r="D6674" i="106"/>
  <c r="B6675" i="106"/>
  <c r="D6675" i="106" s="1"/>
  <c r="B6676" i="106"/>
  <c r="D6676" i="106" s="1"/>
  <c r="B6677" i="106"/>
  <c r="D6677" i="106"/>
  <c r="B6678" i="106"/>
  <c r="D6678" i="106"/>
  <c r="B6679" i="106"/>
  <c r="D6679" i="106" s="1"/>
  <c r="B6680" i="106"/>
  <c r="D6680" i="106" s="1"/>
  <c r="B6681" i="106"/>
  <c r="D6681" i="106"/>
  <c r="B6682" i="106"/>
  <c r="D6682" i="106"/>
  <c r="B6683" i="106"/>
  <c r="D6683" i="106" s="1"/>
  <c r="B6684" i="106"/>
  <c r="D6684" i="106" s="1"/>
  <c r="B6685" i="106"/>
  <c r="D6685" i="106"/>
  <c r="B6686" i="106"/>
  <c r="D6686" i="106"/>
  <c r="B6687" i="106"/>
  <c r="D6687" i="106" s="1"/>
  <c r="B6688" i="106"/>
  <c r="D6688" i="106" s="1"/>
  <c r="B6689" i="106"/>
  <c r="D6689" i="106"/>
  <c r="B6690" i="106"/>
  <c r="D6690" i="106"/>
  <c r="B6691" i="106"/>
  <c r="D6691" i="106" s="1"/>
  <c r="B6692" i="106"/>
  <c r="D6692" i="106" s="1"/>
  <c r="B6693" i="106"/>
  <c r="D6693" i="106"/>
  <c r="B6694" i="106"/>
  <c r="D6694" i="106"/>
  <c r="B6695" i="106"/>
  <c r="D6695" i="106" s="1"/>
  <c r="B6696" i="106"/>
  <c r="D6696" i="106" s="1"/>
  <c r="B6697" i="106"/>
  <c r="D6697" i="106"/>
  <c r="B6698" i="106"/>
  <c r="D6698" i="106"/>
  <c r="B6699" i="106"/>
  <c r="D6699" i="106" s="1"/>
  <c r="B6700" i="106"/>
  <c r="D6700" i="106" s="1"/>
  <c r="B6701" i="106"/>
  <c r="D6701" i="106"/>
  <c r="B6702" i="106"/>
  <c r="D6702" i="106"/>
  <c r="B6703" i="106"/>
  <c r="D6703" i="106" s="1"/>
  <c r="B6704" i="106"/>
  <c r="D6704" i="106" s="1"/>
  <c r="B6705" i="106"/>
  <c r="D6705" i="106"/>
  <c r="B6706" i="106"/>
  <c r="D6706" i="106"/>
  <c r="B6707" i="106"/>
  <c r="D6707" i="106" s="1"/>
  <c r="B6708" i="106"/>
  <c r="D6708" i="106" s="1"/>
  <c r="B6709" i="106"/>
  <c r="D6709" i="106"/>
  <c r="B6710" i="106"/>
  <c r="D6710" i="106"/>
  <c r="B6711" i="106"/>
  <c r="D6711" i="106" s="1"/>
  <c r="B6712" i="106"/>
  <c r="D6712" i="106" s="1"/>
  <c r="B6713" i="106"/>
  <c r="D6713" i="106"/>
  <c r="B6714" i="106"/>
  <c r="D6714" i="106"/>
  <c r="B6715" i="106"/>
  <c r="D6715" i="106" s="1"/>
  <c r="B6716" i="106"/>
  <c r="D6716" i="106" s="1"/>
  <c r="B6717" i="106"/>
  <c r="D6717" i="106"/>
  <c r="B6718" i="106"/>
  <c r="D6718" i="106"/>
  <c r="B6719" i="106"/>
  <c r="D6719" i="106" s="1"/>
  <c r="B6720" i="106"/>
  <c r="D6720" i="106" s="1"/>
  <c r="B6721" i="106"/>
  <c r="D6721" i="106"/>
  <c r="B6722" i="106"/>
  <c r="D6722" i="106"/>
  <c r="B6723" i="106"/>
  <c r="D6723" i="106" s="1"/>
  <c r="B6724" i="106"/>
  <c r="D6724" i="106" s="1"/>
  <c r="B6725" i="106"/>
  <c r="D6725" i="106"/>
  <c r="B6726" i="106"/>
  <c r="D6726" i="106"/>
  <c r="B6727" i="106"/>
  <c r="D6727" i="106" s="1"/>
  <c r="B6728" i="106"/>
  <c r="D6728" i="106"/>
  <c r="B6729" i="106"/>
  <c r="D6729" i="106"/>
  <c r="B6730" i="106"/>
  <c r="D6730" i="106" s="1"/>
  <c r="B6731" i="106"/>
  <c r="D6731" i="106" s="1"/>
  <c r="B6732" i="106"/>
  <c r="D6732" i="106"/>
  <c r="B6733" i="106"/>
  <c r="D6733" i="106"/>
  <c r="B6734" i="106"/>
  <c r="D6734" i="106" s="1"/>
  <c r="B6735" i="106"/>
  <c r="D6735" i="106" s="1"/>
  <c r="B6736" i="106"/>
  <c r="D6736" i="106"/>
  <c r="B6737" i="106"/>
  <c r="D6737" i="106"/>
  <c r="B6738" i="106"/>
  <c r="D6738" i="106" s="1"/>
  <c r="B6739" i="106"/>
  <c r="D6739" i="106" s="1"/>
  <c r="B6740" i="106"/>
  <c r="D6740" i="106"/>
  <c r="B6741" i="106"/>
  <c r="D6741" i="106"/>
  <c r="B6742" i="106"/>
  <c r="D6742" i="106" s="1"/>
  <c r="B6743" i="106"/>
  <c r="D6743" i="106" s="1"/>
  <c r="B6744" i="106"/>
  <c r="D6744" i="106"/>
  <c r="B6745" i="106"/>
  <c r="D6745" i="106"/>
  <c r="B6746" i="106"/>
  <c r="D6746" i="106" s="1"/>
  <c r="B6747" i="106"/>
  <c r="D6747" i="106" s="1"/>
  <c r="B6748" i="106"/>
  <c r="D6748" i="106"/>
  <c r="B6749" i="106"/>
  <c r="D6749" i="106"/>
  <c r="B6750" i="106"/>
  <c r="D6750" i="106" s="1"/>
  <c r="B6751" i="106"/>
  <c r="D6751" i="106" s="1"/>
  <c r="B6752" i="106"/>
  <c r="D6752" i="106"/>
  <c r="B6753" i="106"/>
  <c r="D6753" i="106"/>
  <c r="B6754" i="106"/>
  <c r="D6754" i="106" s="1"/>
  <c r="B6755" i="106"/>
  <c r="D6755" i="106" s="1"/>
  <c r="B6756" i="106"/>
  <c r="D6756" i="106"/>
  <c r="B6757" i="106"/>
  <c r="D6757" i="106"/>
  <c r="B6758" i="106"/>
  <c r="D6758" i="106" s="1"/>
  <c r="B6759" i="106"/>
  <c r="D6759" i="106" s="1"/>
  <c r="B6760" i="106"/>
  <c r="D6760" i="106"/>
  <c r="B6761" i="106"/>
  <c r="D6761" i="106"/>
  <c r="B6762" i="106"/>
  <c r="D6762" i="106" s="1"/>
  <c r="B6763" i="106"/>
  <c r="D6763" i="106" s="1"/>
  <c r="B6764" i="106"/>
  <c r="D6764" i="106"/>
  <c r="B6765" i="106"/>
  <c r="D6765" i="106"/>
  <c r="B6766" i="106"/>
  <c r="D6766" i="106" s="1"/>
  <c r="B6767" i="106"/>
  <c r="D6767" i="106" s="1"/>
  <c r="B6768" i="106"/>
  <c r="D6768" i="106"/>
  <c r="B6769" i="106"/>
  <c r="D6769" i="106"/>
  <c r="B6770" i="106"/>
  <c r="D6770" i="106" s="1"/>
  <c r="B6771" i="106"/>
  <c r="D6771" i="106" s="1"/>
  <c r="B6772" i="106"/>
  <c r="D6772" i="106"/>
  <c r="B6773" i="106"/>
  <c r="D6773" i="106"/>
  <c r="B6774" i="106"/>
  <c r="D6774" i="106" s="1"/>
  <c r="B6775" i="106"/>
  <c r="D6775" i="106" s="1"/>
  <c r="B6776" i="106"/>
  <c r="D6776" i="106"/>
  <c r="B6777" i="106"/>
  <c r="D6777" i="106"/>
  <c r="B6778" i="106"/>
  <c r="D6778" i="106" s="1"/>
  <c r="B6779" i="106"/>
  <c r="D6779" i="106" s="1"/>
  <c r="B6780" i="106"/>
  <c r="D6780" i="106"/>
  <c r="B6781" i="106"/>
  <c r="D6781" i="106"/>
  <c r="B6782" i="106"/>
  <c r="D6782" i="106" s="1"/>
  <c r="B6783" i="106"/>
  <c r="D6783" i="106" s="1"/>
  <c r="B6784" i="106"/>
  <c r="D6784" i="106"/>
  <c r="B6785" i="106"/>
  <c r="D6785" i="106"/>
  <c r="B6786" i="106"/>
  <c r="D6786" i="106" s="1"/>
  <c r="B6787" i="106"/>
  <c r="D6787" i="106" s="1"/>
  <c r="B6788" i="106"/>
  <c r="D6788" i="106"/>
  <c r="B6789" i="106"/>
  <c r="D6789" i="106"/>
  <c r="B6790" i="106"/>
  <c r="D6790" i="106" s="1"/>
  <c r="B6791" i="106"/>
  <c r="D6791" i="106" s="1"/>
  <c r="B6792" i="106"/>
  <c r="D6792" i="106"/>
  <c r="B6793" i="106"/>
  <c r="D6793" i="106"/>
  <c r="B6794" i="106"/>
  <c r="D6794" i="106" s="1"/>
  <c r="B6795" i="106"/>
  <c r="D6795" i="106" s="1"/>
  <c r="B6796" i="106"/>
  <c r="D6796" i="106"/>
  <c r="B6797" i="106"/>
  <c r="D6797" i="106"/>
  <c r="B6798" i="106"/>
  <c r="D6798" i="106" s="1"/>
  <c r="B6799" i="106"/>
  <c r="D6799" i="106" s="1"/>
  <c r="B6800" i="106"/>
  <c r="D6800" i="106"/>
  <c r="B6801" i="106"/>
  <c r="D6801" i="106"/>
  <c r="B6802" i="106"/>
  <c r="D6802" i="106" s="1"/>
  <c r="B6803" i="106"/>
  <c r="D6803" i="106" s="1"/>
  <c r="B6804" i="106"/>
  <c r="D6804" i="106"/>
  <c r="B6805" i="106"/>
  <c r="D6805" i="106"/>
  <c r="B6806" i="106"/>
  <c r="D6806" i="106" s="1"/>
  <c r="B6807" i="106"/>
  <c r="D6807" i="106" s="1"/>
  <c r="B6808" i="106"/>
  <c r="D6808" i="106"/>
  <c r="B6809" i="106"/>
  <c r="D6809" i="106"/>
  <c r="B6810" i="106"/>
  <c r="D6810" i="106" s="1"/>
  <c r="B6811" i="106"/>
  <c r="D6811" i="106" s="1"/>
  <c r="B6812" i="106"/>
  <c r="D6812" i="106"/>
  <c r="B6813" i="106"/>
  <c r="D6813" i="106"/>
  <c r="B6814" i="106"/>
  <c r="D6814" i="106" s="1"/>
  <c r="B6815" i="106"/>
  <c r="D6815" i="106" s="1"/>
  <c r="B6816" i="106"/>
  <c r="D6816" i="106"/>
  <c r="B6817" i="106"/>
  <c r="D6817" i="106"/>
  <c r="B6818" i="106"/>
  <c r="D6818" i="106" s="1"/>
  <c r="B6819" i="106"/>
  <c r="D6819" i="106" s="1"/>
  <c r="B6820" i="106"/>
  <c r="D6820" i="106"/>
  <c r="B6821" i="106"/>
  <c r="D6821" i="106"/>
  <c r="B6822" i="106"/>
  <c r="D6822" i="106" s="1"/>
  <c r="B6823" i="106"/>
  <c r="D6823" i="106" s="1"/>
  <c r="B6824" i="106"/>
  <c r="D6824" i="106"/>
  <c r="B6825" i="106"/>
  <c r="D6825" i="106"/>
  <c r="B6826" i="106"/>
  <c r="D6826" i="106" s="1"/>
  <c r="B6827" i="106"/>
  <c r="D6827" i="106" s="1"/>
  <c r="B6828" i="106"/>
  <c r="D6828" i="106"/>
  <c r="B6829" i="106"/>
  <c r="D6829" i="106"/>
  <c r="B6830" i="106"/>
  <c r="D6830" i="106" s="1"/>
  <c r="B6831" i="106"/>
  <c r="D6831" i="106" s="1"/>
  <c r="B6832" i="106"/>
  <c r="D6832" i="106"/>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31" i="108"/>
  <c r="F36" i="108"/>
  <c r="F37" i="108"/>
  <c r="G28" i="108"/>
  <c r="E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7"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H18" i="5"/>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s="1"/>
  <c r="D5232" i="106" s="1"/>
  <c r="D184" i="5"/>
  <c r="B5425" i="106"/>
  <c r="D5425" i="106" s="1"/>
  <c r="F184" i="5"/>
  <c r="B5658" i="106"/>
  <c r="D5658" i="106" s="1"/>
  <c r="G184" i="5"/>
  <c r="B5784" i="106"/>
  <c r="D5784" i="106" s="1"/>
  <c r="H184" i="5"/>
  <c r="B5908" i="106" s="1"/>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F131" i="34"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D22" i="37"/>
  <c r="H22" i="37"/>
  <c r="J22" i="37"/>
  <c r="L22" i="37"/>
  <c r="D24" i="37"/>
  <c r="B4270" i="106" s="1"/>
  <c r="D4270" i="106" s="1"/>
  <c r="L5" i="11"/>
  <c r="B2056" i="106" s="1"/>
  <c r="D2056" i="106" s="1"/>
  <c r="D5" i="7"/>
  <c r="B1761" i="106" s="1"/>
  <c r="D1761" i="106" s="1"/>
  <c r="F128" i="34"/>
  <c r="F127" i="34"/>
  <c r="B5752" i="106"/>
  <c r="D5752" i="106" s="1"/>
  <c r="B5599" i="106"/>
  <c r="D5599" i="106" s="1"/>
  <c r="C172" i="5"/>
  <c r="B5214" i="106" s="1"/>
  <c r="D5214" i="106" s="1"/>
  <c r="F106" i="34"/>
  <c r="B1746" i="106"/>
  <c r="D1746" i="106" s="1"/>
  <c r="D11" i="7"/>
  <c r="B1768" i="106" s="1"/>
  <c r="D1768" i="106" s="1"/>
  <c r="D15" i="7"/>
  <c r="B1772" i="106" s="1"/>
  <c r="D1772" i="106" s="1"/>
  <c r="B3621" i="106" l="1"/>
  <c r="D3621" i="106" s="1"/>
  <c r="C367" i="29"/>
  <c r="B1996" i="106"/>
  <c r="D1996" i="106" s="1"/>
  <c r="I26" i="12"/>
  <c r="B7741" i="106" s="1"/>
  <c r="D7741" i="106" s="1"/>
  <c r="K274" i="5"/>
  <c r="E109" i="5"/>
  <c r="E4" i="4" s="1"/>
  <c r="B2630" i="106" s="1"/>
  <c r="D2630" i="106" s="1"/>
  <c r="C342" i="29"/>
  <c r="B7216" i="106" s="1"/>
  <c r="D7216" i="106" s="1"/>
  <c r="D9" i="7"/>
  <c r="B1767" i="106" s="1"/>
  <c r="D1767" i="106" s="1"/>
  <c r="F111" i="34"/>
  <c r="D13" i="7"/>
  <c r="B3726" i="106" s="1"/>
  <c r="D3726" i="106" s="1"/>
  <c r="B7041" i="106"/>
  <c r="D7041" i="106" s="1"/>
  <c r="B4414" i="106"/>
  <c r="D4414" i="106" s="1"/>
  <c r="L342" i="29"/>
  <c r="F50" i="34"/>
  <c r="H342" i="29"/>
  <c r="G352" i="29"/>
  <c r="B3619" i="106"/>
  <c r="D3619" i="106" s="1"/>
  <c r="G210" i="29"/>
  <c r="E174" i="29"/>
  <c r="B1309" i="106" s="1"/>
  <c r="D1309" i="106" s="1"/>
  <c r="K28" i="118"/>
  <c r="O27" i="118" s="1"/>
  <c r="O29" i="118" s="1"/>
  <c r="K41" i="3"/>
  <c r="B3568" i="106" s="1"/>
  <c r="D3568" i="106" s="1"/>
  <c r="H173" i="5"/>
  <c r="F130" i="34"/>
  <c r="B5096" i="106"/>
  <c r="D5096" i="106" s="1"/>
  <c r="B7235" i="106"/>
  <c r="D7235" i="106" s="1"/>
  <c r="D6103" i="106"/>
  <c r="C129" i="29"/>
  <c r="F136" i="34"/>
  <c r="H109" i="5"/>
  <c r="I129" i="29"/>
  <c r="B7037" i="106" s="1"/>
  <c r="D7037" i="106" s="1"/>
  <c r="F77" i="4"/>
  <c r="B3255" i="106" s="1"/>
  <c r="D3255" i="106" s="1"/>
  <c r="G172" i="5"/>
  <c r="D17" i="7"/>
  <c r="B4104" i="106" s="1"/>
  <c r="D4104" i="106" s="1"/>
  <c r="D5" i="4"/>
  <c r="B3406" i="106" s="1"/>
  <c r="D3406" i="106" s="1"/>
  <c r="G109" i="5"/>
  <c r="B6024" i="106" s="1"/>
  <c r="D6024" i="106" s="1"/>
  <c r="I342" i="29"/>
  <c r="B7222" i="106" s="1"/>
  <c r="D7222" i="106" s="1"/>
  <c r="L15" i="11"/>
  <c r="B3459" i="106" s="1"/>
  <c r="D3459" i="106" s="1"/>
  <c r="L13" i="11"/>
  <c r="B2060" i="106" s="1"/>
  <c r="D2060" i="106" s="1"/>
  <c r="N22" i="3"/>
  <c r="B283" i="106" s="1"/>
  <c r="D283" i="106" s="1"/>
  <c r="K350" i="29"/>
  <c r="B1410" i="106"/>
  <c r="D1410" i="106" s="1"/>
  <c r="G29" i="108"/>
  <c r="K184" i="29"/>
  <c r="F13" i="4" s="1"/>
  <c r="B2596" i="106" s="1"/>
  <c r="D2596" i="106" s="1"/>
  <c r="B1329" i="106"/>
  <c r="D1329" i="106" s="1"/>
  <c r="F61" i="34"/>
  <c r="G30" i="108"/>
  <c r="E30" i="108"/>
  <c r="F28" i="108"/>
  <c r="F41" i="108" s="1"/>
  <c r="G43" i="108" s="1"/>
  <c r="E28" i="108"/>
  <c r="C173" i="5"/>
  <c r="B5223" i="106" s="1"/>
  <c r="D5223" i="106" s="1"/>
  <c r="B5878" i="106"/>
  <c r="D5878" i="106" s="1"/>
  <c r="B6025" i="106"/>
  <c r="D6025" i="106" s="1"/>
  <c r="H4" i="4"/>
  <c r="B2655" i="106" s="1"/>
  <c r="D2655" i="106" s="1"/>
  <c r="B5730" i="106"/>
  <c r="D5730" i="106" s="1"/>
  <c r="C109" i="5"/>
  <c r="B5121" i="106" s="1"/>
  <c r="D5121" i="106" s="1"/>
  <c r="D12" i="7"/>
  <c r="B1769" i="106" s="1"/>
  <c r="D1769" i="106" s="1"/>
  <c r="G4" i="4"/>
  <c r="B2603" i="106" s="1"/>
  <c r="D2603" i="106" s="1"/>
  <c r="D7" i="7"/>
  <c r="B1763" i="106" s="1"/>
  <c r="D1763" i="106" s="1"/>
  <c r="D109" i="5"/>
  <c r="D4" i="7"/>
  <c r="B1760" i="106" s="1"/>
  <c r="D1760" i="106" s="1"/>
  <c r="D54" i="36"/>
  <c r="D52" i="36"/>
  <c r="B4268" i="106"/>
  <c r="D4268" i="106" s="1"/>
  <c r="D31" i="36"/>
  <c r="D11" i="37"/>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H367" i="29" l="1"/>
  <c r="B3660" i="106" s="1"/>
  <c r="D3660" i="106" s="1"/>
  <c r="B5906" i="106"/>
  <c r="D5906" i="106" s="1"/>
  <c r="H6" i="4"/>
  <c r="H275" i="5"/>
  <c r="I151" i="29"/>
  <c r="F59" i="34" s="1"/>
  <c r="C6" i="4"/>
  <c r="B2553" i="106" s="1"/>
  <c r="D2553" i="106" s="1"/>
  <c r="B1365" i="106"/>
  <c r="D1365" i="106" s="1"/>
  <c r="F65" i="34"/>
  <c r="F275" i="5"/>
  <c r="B5720" i="106" s="1"/>
  <c r="D5720" i="106" s="1"/>
  <c r="G173" i="5"/>
  <c r="B5770" i="106"/>
  <c r="D5770" i="106" s="1"/>
  <c r="B3649" i="106"/>
  <c r="D3649" i="106" s="1"/>
  <c r="G367" i="29"/>
  <c r="B3650" i="106" s="1"/>
  <c r="D3650" i="106" s="1"/>
  <c r="L16" i="11"/>
  <c r="B2061" i="106" s="1"/>
  <c r="D2061" i="106" s="1"/>
  <c r="B3670" i="106"/>
  <c r="D3670" i="106" s="1"/>
  <c r="K352" i="29"/>
  <c r="K342" i="29"/>
  <c r="F13" i="34" s="1"/>
  <c r="C114" i="29"/>
  <c r="B757" i="106" s="1"/>
  <c r="D757" i="106" s="1"/>
  <c r="C4" i="4"/>
  <c r="B2551" i="106" s="1"/>
  <c r="D2551" i="106" s="1"/>
  <c r="D19" i="7"/>
  <c r="B1775" i="106" s="1"/>
  <c r="D1775" i="106" s="1"/>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B7051" i="106" l="1"/>
  <c r="D7051" i="106" s="1"/>
  <c r="B2656" i="106"/>
  <c r="D2656" i="106" s="1"/>
  <c r="H8" i="4"/>
  <c r="B5778" i="106"/>
  <c r="D5778" i="106" s="1"/>
  <c r="G6" i="4"/>
  <c r="B2604" i="106" s="1"/>
  <c r="D2604" i="106" s="1"/>
  <c r="K13" i="4"/>
  <c r="B3572" i="106" s="1"/>
  <c r="D3572" i="106" s="1"/>
  <c r="B3672" i="106"/>
  <c r="D3672" i="106" s="1"/>
  <c r="K367" i="29"/>
  <c r="B3678" i="106" s="1"/>
  <c r="D3678" i="106" s="1"/>
  <c r="J17" i="4"/>
  <c r="J20" i="4" s="1"/>
  <c r="E41" i="108"/>
  <c r="E44" i="108" s="1"/>
  <c r="E45" i="108" s="1"/>
  <c r="G41" i="108"/>
  <c r="G44" i="108" s="1"/>
  <c r="G45" i="108" s="1"/>
  <c r="F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19" i="4" l="1"/>
  <c r="B6229" i="106" s="1"/>
  <c r="D6229" i="106" s="1"/>
  <c r="H10" i="4"/>
  <c r="B4127" i="106" s="1"/>
  <c r="D4127" i="106" s="1"/>
  <c r="B2658" i="106"/>
  <c r="D2658" i="106" s="1"/>
  <c r="D8" i="4"/>
  <c r="K368" i="29"/>
  <c r="B3681" i="106" s="1"/>
  <c r="D3681"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<sst xmlns="http://schemas.openxmlformats.org/spreadsheetml/2006/main" count="5064" uniqueCount="2108">
  <si>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</si>
  <si>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</si>
  <si>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</si>
  <si>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</si>
  <si>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</si>
  <si>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</si>
  <si>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</si>
  <si>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</si>
  <si>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</si>
  <si>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</si>
  <si>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</si>
  <si>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</si>
  <si>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</si>
  <si>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</si>
  <si>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</si>
  <si>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</si>
  <si>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</si>
  <si>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</si>
  <si>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</si>
  <si>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</si>
  <si>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</si>
  <si>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</si>
  <si>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</si>
  <si>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</si>
  <si>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</si>
  <si>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</si>
  <si>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</si>
  <si>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</si>
  <si>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</si>
  <si>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</si>
  <si>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</si>
  <si>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</si>
  <si>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</si>
  <si>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</si>
  <si>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</si>
  <si>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</si>
  <si>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</si>
  <si>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</si>
  <si>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</si>
  <si>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</si>
  <si>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</si>
  <si>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</si>
  <si>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</si>
  <si>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</si>
  <si>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</si>
  <si>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</si>
  <si>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</si>
  <si>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</si>
  <si>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</si>
  <si>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</si>
  <si>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</si>
  <si>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</si>
  <si>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</si>
  <si>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</si>
  <si>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</si>
  <si>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</si>
  <si>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</si>
  <si>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</si>
  <si>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</si>
  <si>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</si>
  <si>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</si>
  <si>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</si>
  <si>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</si>
  <si>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</si>
  <si>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</si>
  <si>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</si>
  <si>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</si>
  <si>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</si>
  <si>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</si>
  <si>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</si>
  <si>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</si>
  <si>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</si>
  <si>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</si>
  <si>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</si>
  <si>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</si>
  <si>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</si>
  <si>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</si>
  <si>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</si>
  <si>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</si>
  <si>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</si>
  <si>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</si>
  <si>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</si>
  <si>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</si>
  <si>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</si>
  <si>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</si>
  <si>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</si>
  <si>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</si>
  <si>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</si>
  <si>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</si>
  <si>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</si>
  <si>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</si>
  <si>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</si>
  <si>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</si>
  <si>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</si>
  <si>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</si>
  <si>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</si>
  <si>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</si>
  <si>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</si>
  <si>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</si>
  <si>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</si>
  <si>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</si>
  <si>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</si>
  <si>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</si>
  <si>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</si>
  <si>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</si>
  <si>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</si>
  <si>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</si>
  <si>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</si>
  <si>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</si>
  <si>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</si>
  <si>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</si>
  <si>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</si>
  <si>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</si>
  <si>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</si>
  <si>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</si>
  <si>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</si>
  <si>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</si>
  <si>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</si>
  <si>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</si>
  <si>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</si>
  <si>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</si>
  <si>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</si>
  <si>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</si>
  <si>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</si>
  <si>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</si>
  <si>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</si>
  <si>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</si>
  <si>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</si>
  <si>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</si>
  <si>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</si>
  <si>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</si>
  <si>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</si>
  <si>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</si>
  <si>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</si>
  <si>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</si>
  <si>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</si>
  <si>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</si>
  <si>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</si>
  <si>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</si>
  <si>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</si>
  <si>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</si>
  <si>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</si>
  <si>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</si>
  <si>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</si>
  <si>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</si>
  <si>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</si>
  <si>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</si>
  <si>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</si>
  <si>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</si>
  <si>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</si>
  <si>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</si>
  <si>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</si>
  <si>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</si>
  <si>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</si>
  <si>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</si>
  <si>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</si>
  <si>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</si>
  <si>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</si>
  <si>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</si>
  <si>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</si>
  <si>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</si>
  <si>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</si>
  <si>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</si>
  <si>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</si>
  <si>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</si>
  <si>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</si>
  <si>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</si>
  <si>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</si>
  <si>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</si>
  <si>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</si>
  <si>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</si>
  <si>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</si>
  <si>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</si>
  <si>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</si>
  <si>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</si>
  <si>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</si>
  <si>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</si>
  <si>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</si>
  <si>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</si>
  <si>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</si>
  <si>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</si>
  <si>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</si>
  <si>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</si>
  <si>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</si>
  <si>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</si>
  <si>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</si>
  <si>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</si>
  <si>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</si>
  <si>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</si>
  <si>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</si>
  <si>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</si>
  <si>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</si>
  <si>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</si>
  <si>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</si>
  <si>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</si>
  <si>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</si>
  <si>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</si>
  <si>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</si>
  <si>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</si>
  <si>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</si>
  <si>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</si>
  <si>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</si>
  <si>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</si>
  <si>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</si>
  <si>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</si>
  <si>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</si>
  <si>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</si>
  <si>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</si>
  <si>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</si>
  <si>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</si>
  <si>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</si>
  <si>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</si>
  <si>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</si>
  <si>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</si>
  <si>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</si>
  <si>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</si>
  <si>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</si>
  <si>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</si>
  <si>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</si>
  <si>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</si>
  <si>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</si>
  <si>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</si>
  <si>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</si>
  <si>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</si>
  <si>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</si>
  <si>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</si>
  <si>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</si>
  <si>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</si>
  <si>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</si>
  <si>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</si>
  <si>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</si>
  <si>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</si>
  <si>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</si>
  <si>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</si>
  <si>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</si>
  <si>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</si>
  <si>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</si>
  <si>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</si>
  <si>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</si>
  <si>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</si>
  <si>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</si>
  <si>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</si>
  <si>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</si>
  <si>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</si>
  <si>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</si>
  <si>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</si>
  <si>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</si>
  <si>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</si>
  <si>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</si>
  <si>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</si>
  <si>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</si>
  <si>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</si>
  <si>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</si>
  <si>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</si>
  <si>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</si>
  <si>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</si>
  <si>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</si>
  <si>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</si>
  <si>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</si>
  <si>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</si>
  <si>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</si>
  <si>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</si>
  <si>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</si>
  <si>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</si>
  <si>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</si>
  <si>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</si>
  <si>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</si>
  <si>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</si>
  <si>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</si>
  <si>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</si>
  <si>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</si>
  <si>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</si>
  <si>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</si>
  <si>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</si>
  <si>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</si>
  <si>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</si>
  <si>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</si>
  <si>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</si>
  <si>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</si>
  <si>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</si>
  <si>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</si>
  <si>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</si>
  <si>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</si>
  <si>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</si>
  <si>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</si>
  <si>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</si>
  <si>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</si>
  <si>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</si>
  <si>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</si>
  <si>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</si>
  <si>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</si>
  <si>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</si>
  <si>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</si>
  <si>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</si>
  <si>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</si>
  <si>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</si>
  <si>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</si>
  <si>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</si>
  <si>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</si>
  <si>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</si>
  <si>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</si>
  <si>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</si>
  <si>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</si>
  <si>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</si>
  <si>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</si>
  <si>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</si>
  <si>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</si>
  <si>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</si>
  <si>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</si>
  <si>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</si>
  <si>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</si>
  <si>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</si>
  <si>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</si>
  <si>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</si>
  <si>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</si>
  <si>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</si>
  <si>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</si>
  <si>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</si>
  <si>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</si>
  <si>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</si>
  <si>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</si>
  <si>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</si>
  <si>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</si>
  <si>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</si>
  <si>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</si>
  <si>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</si>
  <si>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</si>
  <si>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</si>
  <si>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</si>
  <si>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</si>
  <si>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</si>
  <si>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</si>
  <si>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</si>
  <si>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</si>
  <si>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</si>
  <si>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</si>
  <si>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</si>
  <si>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</si>
  <si>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</si>
  <si>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</si>
  <si>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</si>
  <si>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</si>
  <si>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</si>
  <si>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</si>
  <si>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</si>
  <si>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</si>
  <si>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</si>
  <si>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</si>
  <si>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</si>
  <si>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</si>
  <si>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</si>
  <si>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</si>
  <si>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</si>
  <si>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</si>
  <si>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</si>
  <si>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</si>
  <si>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</si>
  <si>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</si>
  <si>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</si>
  <si>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</si>
  <si>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</si>
  <si>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</si>
  <si>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</si>
  <si>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</si>
  <si>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</si>
  <si>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</si>
  <si>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</si>
  <si>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</si>
  <si>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</si>
  <si>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</si>
  <si>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</si>
  <si>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</si>
  <si>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</si>
  <si>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</si>
  <si>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</si>
  <si>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</si>
  <si>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</si>
  <si>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</si>
  <si>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</si>
  <si>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</si>
  <si>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</si>
  <si>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</si>
  <si>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</si>
  <si>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</si>
  <si>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</si>
  <si>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</si>
  <si>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</si>
  <si>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</si>
  <si>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</si>
  <si>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</si>
  <si>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</si>
  <si>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</si>
  <si>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</si>
  <si>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</si>
  <si>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</si>
  <si>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</si>
  <si>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</si>
  <si>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</si>
  <si>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</si>
  <si>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</si>
  <si>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</si>
  <si>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</si>
  <si>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</si>
  <si>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</si>
  <si>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</si>
  <si>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</si>
  <si>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</si>
  <si>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</si>
  <si>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</si>
  <si>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</si>
  <si>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</si>
  <si>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</si>
  <si>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</si>
  <si>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</si>
  <si>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</si>
  <si>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</si>
  <si>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</si>
  <si>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</si>
  <si>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</si>
  <si>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</si>
  <si>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</si>
  <si>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</si>
  <si>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</si>
  <si>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</si>
  <si>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</si>
  <si>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</si>
  <si>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</si>
  <si>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</si>
  <si>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</si>
  <si>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</si>
  <si>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</si>
  <si>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</si>
  <si>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</si>
  <si>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</si>
  <si>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</si>
  <si>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</si>
  <si>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</si>
  <si>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</si>
  <si>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</si>
  <si>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</si>
  <si>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</si>
  <si>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</si>
  <si>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</si>
  <si>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</si>
  <si>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</si>
  <si>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</si>
  <si>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</si>
  <si>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</si>
  <si>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</si>
  <si>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</si>
  <si>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</si>
  <si>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</si>
  <si>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</si>
  <si>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</si>
  <si>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</si>
  <si>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</si>
  <si>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</si>
  <si>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</si>
  <si>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</si>
  <si>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</si>
  <si>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</si>
  <si>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</si>
  <si>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</si>
  <si>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</si>
  <si>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</si>
  <si>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</si>
  <si>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</si>
  <si>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</si>
  <si>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</si>
  <si>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</si>
  <si>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</si>
  <si>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</si>
  <si>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</si>
  <si>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</si>
  <si>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</si>
  <si>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</si>
  <si>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</si>
  <si>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</si>
  <si>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</si>
  <si>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</si>
  <si>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</si>
  <si>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</si>
  <si>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</si>
  <si>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</si>
  <si>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</si>
  <si>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</si>
  <si>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</si>
  <si>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</si>
  <si>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</si>
  <si>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</si>
  <si>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</si>
  <si>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</si>
  <si>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</si>
  <si>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</si>
  <si>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</si>
  <si>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</si>
  <si>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</si>
  <si>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</si>
  <si>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</si>
  <si>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</si>
  <si>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</si>
  <si>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</si>
  <si>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</si>
  <si>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</si>
  <si>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</si>
  <si>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</si>
  <si>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</si>
  <si>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</si>
  <si>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</si>
  <si>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</si>
  <si>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</si>
  <si>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</si>
  <si>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</si>
  <si>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</si>
  <si>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</si>
  <si>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</si>
  <si>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</si>
  <si>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</si>
  <si>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</si>
  <si>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</si>
  <si>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</si>
  <si>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</si>
  <si>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</si>
  <si>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</si>
  <si>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</si>
  <si>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</si>
  <si>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</si>
  <si>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</si>
  <si>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</si>
  <si>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</si>
  <si>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</si>
  <si>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</si>
  <si>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</si>
  <si>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</si>
  <si>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</si>
  <si>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</si>
  <si>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</si>
  <si>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</si>
  <si>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</si>
  <si>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</si>
  <si>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</si>
  <si>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</si>
  <si>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</si>
  <si>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</si>
  <si>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</si>
  <si>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</si>
  <si>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</si>
  <si>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</si>
  <si>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</si>
  <si>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</si>
  <si>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</si>
  <si>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</si>
  <si>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</si>
  <si>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</si>
  <si>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</si>
  <si>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</si>
  <si>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</si>
  <si>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</si>
  <si>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</si>
  <si>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</si>
  <si>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</si>
  <si>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</si>
  <si>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</si>
  <si>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</si>
  <si>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</si>
  <si>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</si>
  <si>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</si>
  <si>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</si>
  <si>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</si>
  <si>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</si>
  <si>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</si>
  <si>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</si>
  <si>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</si>
  <si>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</si>
  <si>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</si>
  <si>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</si>
  <si>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</si>
  <si>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</si>
  <si>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</si>
  <si>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</si>
  <si>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</si>
  <si>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</si>
  <si>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</si>
  <si>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</si>
  <si>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</si>
  <si>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</si>
  <si>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</si>
  <si>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</si>
  <si>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</si>
  <si>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</si>
  <si>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</si>
  <si>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</si>
  <si>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</si>
  <si>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</si>
  <si>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</si>
  <si>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</si>
  <si>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</si>
  <si>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</si>
  <si>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</si>
  <si>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</si>
  <si>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</si>
  <si>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</si>
  <si>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</si>
  <si>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</si>
  <si>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</si>
  <si>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</si>
  <si>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</si>
  <si>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</si>
  <si>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</si>
  <si>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</si>
  <si>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</si>
  <si>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</si>
  <si>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</si>
  <si>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</si>
  <si>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</si>
  <si>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</si>
  <si>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</si>
  <si>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</si>
  <si>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</si>
  <si>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</si>
  <si>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</si>
  <si>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</si>
  <si>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</si>
  <si>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</si>
  <si>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</si>
  <si>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</si>
  <si>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</si>
  <si>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</si>
  <si>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</si>
  <si>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</si>
  <si>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</si>
  <si>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</si>
  <si>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</si>
  <si>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</si>
  <si>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</si>
  <si>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</si>
  <si>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</si>
  <si>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</si>
  <si>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</si>
  <si>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</si>
  <si>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</si>
  <si>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</si>
  <si>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</si>
  <si>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</si>
  <si>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</si>
  <si>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</si>
  <si>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</si>
  <si>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</si>
  <si>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</si>
  <si>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</si>
  <si>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</si>
  <si>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</si>
  <si>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</si>
  <si>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</si>
  <si>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</si>
  <si>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</si>
  <si>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</si>
  <si>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</si>
  <si>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</si>
  <si>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</si>
  <si>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</si>
  <si>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</si>
  <si>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</si>
  <si>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</si>
  <si>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</si>
  <si>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</si>
  <si>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</si>
  <si>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</si>
  <si>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</si>
  <si>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</si>
  <si>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</si>
  <si>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</si>
  <si>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</si>
  <si>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</si>
  <si>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</si>
  <si>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</si>
  <si>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</si>
  <si>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</si>
  <si>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</si>
  <si>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</si>
  <si>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</si>
  <si>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</si>
  <si>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</si>
  <si>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</si>
  <si>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</si>
  <si>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</si>
  <si>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</si>
  <si>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</si>
  <si>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</si>
  <si>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</si>
  <si>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</si>
  <si>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</si>
  <si>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</si>
  <si>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</si>
  <si>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</si>
  <si>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</si>
  <si>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</si>
  <si>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</si>
  <si>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</si>
  <si>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</si>
  <si>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</si>
  <si>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</si>
  <si>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</si>
  <si>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</si>
  <si>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</si>
  <si>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</si>
  <si>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</si>
  <si>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</si>
  <si>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</si>
  <si>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</si>
  <si>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</si>
  <si>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</si>
  <si>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</si>
  <si>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</si>
  <si>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</si>
  <si>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</si>
  <si>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</si>
  <si>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</si>
  <si>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</si>
  <si>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</si>
  <si>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</si>
  <si>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</si>
  <si>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</si>
  <si>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</si>
  <si>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</si>
  <si>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</si>
  <si>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</si>
  <si>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</si>
  <si>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</si>
  <si>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</si>
  <si>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</si>
  <si>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</si>
  <si>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</si>
  <si>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</si>
  <si>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</si>
  <si>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</si>
  <si>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</si>
  <si>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</si>
  <si>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</si>
  <si>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</si>
  <si>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</si>
  <si>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</si>
  <si>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</si>
  <si>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</si>
  <si>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</si>
  <si>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</si>
  <si>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</si>
  <si>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</si>
  <si>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</si>
  <si>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</si>
  <si>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</si>
  <si>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</si>
  <si>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</si>
  <si>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</si>
  <si>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</si>
  <si>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</si>
  <si>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</si>
  <si>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</si>
  <si>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</si>
  <si>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</si>
  <si>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</si>
  <si>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</si>
  <si>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</si>
  <si>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</si>
  <si>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</si>
  <si>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</si>
  <si>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</si>
  <si>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</si>
  <si>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</si>
  <si>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</si>
  <si>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</si>
  <si>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</si>
  <si>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</si>
  <si>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</si>
  <si>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</si>
  <si>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</si>
  <si>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</si>
  <si>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</si>
  <si>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</si>
  <si>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</si>
  <si>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</si>
  <si>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</si>
  <si>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</si>
  <si>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</si>
  <si>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</si>
  <si>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</si>
  <si>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</si>
  <si>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</si>
  <si>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</si>
  <si>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</si>
  <si>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</si>
  <si>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</si>
  <si>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</si>
  <si>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</si>
  <si>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</si>
  <si>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</si>
  <si>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</si>
  <si>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</si>
  <si>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</si>
  <si>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</si>
  <si>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</si>
  <si>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</si>
  <si>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</si>
  <si>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</si>
  <si>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</si>
  <si>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</si>
  <si>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</si>
  <si>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</si>
  <si>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</si>
  <si>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</si>
  <si>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</si>
  <si>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</si>
  <si>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</si>
  <si>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</si>
  <si>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</si>
  <si>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</si>
  <si>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</si>
  <si>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</si>
  <si>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</si>
  <si>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</si>
  <si>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</si>
  <si>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</si>
  <si>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</si>
  <si>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</si>
  <si>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</si>
  <si>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</si>
  <si>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</si>
  <si>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</si>
  <si>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</si>
  <si>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</si>
  <si>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</si>
  <si>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</si>
  <si>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</si>
  <si>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</si>
  <si>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</si>
  <si>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</si>
  <si>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</si>
  <si>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</si>
  <si>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</si>
  <si>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</si>
  <si>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</si>
  <si>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</si>
  <si>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</si>
  <si>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</si>
  <si>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</si>
  <si>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</si>
  <si>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</si>
  <si>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</si>
  <si>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</si>
  <si>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</si>
  <si>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</si>
  <si>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</si>
  <si>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</si>
  <si>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</si>
  <si>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</si>
  <si>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</si>
  <si>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</si>
  <si>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</si>
  <si>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</si>
  <si>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</si>
  <si>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</si>
  <si>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</si>
  <si>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</si>
  <si>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</si>
  <si>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</si>
  <si>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</si>
  <si>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</si>
  <si>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</si>
  <si>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</si>
  <si>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</si>
  <si>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</si>
  <si>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</si>
  <si>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</si>
  <si>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</si>
  <si>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</si>
  <si>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</si>
  <si>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</si>
  <si>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</si>
  <si>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</si>
  <si>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</si>
  <si>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</si>
  <si>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</si>
  <si>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</si>
  <si>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</si>
  <si>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</si>
  <si>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</si>
  <si>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</si>
  <si>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</si>
  <si>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</si>
  <si>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</si>
  <si>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</si>
  <si>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</si>
  <si>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</si>
  <si>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</si>
  <si>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</si>
  <si>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</si>
  <si>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</si>
  <si>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</si>
  <si>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</si>
  <si>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</si>
  <si>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</si>
  <si>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</si>
  <si>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</si>
  <si>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</si>
  <si>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</si>
  <si>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</si>
  <si>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</si>
  <si>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</si>
  <si>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</si>
  <si>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</si>
  <si>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</si>
  <si>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</si>
  <si>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</si>
  <si>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</si>
  <si>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</si>
  <si>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</si>
  <si>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</si>
  <si>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</si>
  <si>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</si>
  <si>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</si>
  <si>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</si>
  <si>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</si>
  <si>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</si>
  <si>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</si>
  <si>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</si>
  <si>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</si>
  <si>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</si>
  <si>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</si>
  <si>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</si>
  <si>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</si>
  <si>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</si>
  <si>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</si>
  <si>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</si>
  <si>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</si>
  <si>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</si>
  <si>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</si>
  <si>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</si>
  <si>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</si>
  <si>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</si>
  <si>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</si>
  <si>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</si>
  <si>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</si>
  <si>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</si>
  <si>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</si>
  <si>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</si>
  <si>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</si>
  <si>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</si>
  <si>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</si>
  <si>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</si>
  <si>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</si>
  <si>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</si>
  <si>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</si>
  <si>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</si>
  <si>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</si>
  <si>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</si>
  <si>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</si>
  <si>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</si>
  <si>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</si>
  <si>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</si>
  <si>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</si>
  <si>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</si>
  <si>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</si>
  <si>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</si>
  <si>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</si>
  <si>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</si>
  <si>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</si>
  <si>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</si>
  <si>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</si>
  <si>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</si>
  <si>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</si>
  <si>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</si>
  <si>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</si>
  <si>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</si>
  <si>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</si>
  <si>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</si>
  <si>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</si>
  <si>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</si>
  <si>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</si>
  <si>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</si>
  <si>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</si>
  <si>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</si>
  <si>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</si>
  <si>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</si>
  <si>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</si>
  <si>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</si>
  <si>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</si>
  <si>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</si>
  <si>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</si>
  <si>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</si>
  <si>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</si>
  <si>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</si>
  <si>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</si>
  <si>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</si>
  <si>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</si>
  <si>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</si>
  <si>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</si>
  <si>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</si>
  <si>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</si>
  <si>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</si>
  <si>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</si>
  <si>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</si>
  <si>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</si>
  <si>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</si>
  <si>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</si>
  <si>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</si>
  <si>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</si>
  <si>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</si>
  <si>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</si>
  <si>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</si>
  <si>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</si>
  <si>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</si>
  <si>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</si>
  <si>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</si>
  <si>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</si>
  <si>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</si>
  <si>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</si>
  <si>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</si>
  <si>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</si>
  <si>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</si>
  <si>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</si>
  <si>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</si>
  <si>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</si>
  <si>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</si>
  <si>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</si>
  <si>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</si>
  <si>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</si>
  <si>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</si>
  <si>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</si>
  <si>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</si>
  <si>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</si>
  <si>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</si>
  <si>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</si>
  <si>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</si>
  <si>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</si>
  <si>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</si>
  <si>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</si>
  <si>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</si>
  <si>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</si>
  <si>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</si>
  <si>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</si>
  <si>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</si>
  <si>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</si>
  <si>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</si>
  <si>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</si>
  <si>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</si>
  <si>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</si>
  <si>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</si>
  <si>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</si>
  <si>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</si>
  <si>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</si>
  <si>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</si>
  <si>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</si>
  <si>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</si>
  <si>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</si>
  <si>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</si>
  <si>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</si>
  <si>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</si>
  <si>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</si>
  <si>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</si>
  <si>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</si>
  <si>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</si>
  <si>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</si>
  <si>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</si>
  <si>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</si>
  <si>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</si>
  <si>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</si>
  <si>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</si>
  <si>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</si>
  <si>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</si>
  <si>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</si>
  <si>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</si>
  <si>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</si>
  <si>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</si>
  <si>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</si>
  <si>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</si>
  <si>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</si>
  <si>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</si>
  <si>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</si>
  <si>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</si>
  <si>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</si>
  <si>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</si>
  <si>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</si>
  <si>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</si>
  <si>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</si>
  <si>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</si>
  <si>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</si>
  <si>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</si>
  <si>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</si>
  <si>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</si>
  <si>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</si>
  <si>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</si>
  <si>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</si>
  <si>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</si>
  <si>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</si>
  <si>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</si>
  <si>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</si>
  <si>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</si>
  <si>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</si>
  <si>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</si>
  <si>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</si>
  <si>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</si>
  <si>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</si>
  <si>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</si>
  <si>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</si>
  <si>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</si>
  <si>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</si>
  <si>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</si>
  <si>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</si>
  <si>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</si>
  <si>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</si>
  <si>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</si>
  <si>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</si>
  <si>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</si>
  <si>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</si>
  <si>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</si>
  <si>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</si>
  <si>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</si>
  <si>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</si>
  <si>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</si>
  <si>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</si>
  <si>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</si>
  <si>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</si>
  <si>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</si>
  <si>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</si>
  <si>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</si>
  <si>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</si>
  <si>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</si>
  <si>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</si>
  <si>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</si>
  <si>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</si>
  <si>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</si>
  <si>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</si>
  <si>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</si>
  <si>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</si>
  <si>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</si>
  <si>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</si>
  <si>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</si>
  <si>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</si>
  <si>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</si>
  <si>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</si>
  <si>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</si>
  <si>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</si>
  <si>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</si>
  <si>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</si>
  <si>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</si>
  <si>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</si>
  <si>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</si>
  <si>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</si>
  <si>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</si>
  <si>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</si>
  <si>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</si>
  <si>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</si>
  <si>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</si>
  <si>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</si>
  <si>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</si>
  <si>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</si>
  <si>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</si>
  <si>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</si>
  <si>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</si>
  <si>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</si>
  <si>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</si>
  <si>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</si>
  <si>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</si>
  <si>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</si>
  <si>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</si>
  <si>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</si>
  <si>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</si>
  <si>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</si>
  <si>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</si>
  <si>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</si>
  <si>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</si>
  <si>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</si>
  <si>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</si>
  <si>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</si>
  <si>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</si>
  <si>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</si>
  <si>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</si>
  <si>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</si>
  <si>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</si>
  <si>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</si>
  <si>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</si>
  <si>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</si>
  <si>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</si>
  <si>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</si>
  <si>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</si>
  <si>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</si>
  <si>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</si>
  <si>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</si>
  <si>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</si>
  <si>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</si>
  <si>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</si>
  <si>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</si>
  <si>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</si>
  <si>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</si>
  <si>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</si>
  <si>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</si>
  <si>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</si>
  <si>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</si>
  <si>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</si>
  <si>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</si>
  <si>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</si>
  <si>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</si>
  <si>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</si>
  <si>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</si>
  <si>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</si>
  <si>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</si>
  <si>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</si>
  <si>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</si>
  <si>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</si>
  <si>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</si>
  <si>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</si>
  <si>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</si>
  <si>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</si>
  <si>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</si>
  <si>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</si>
  <si>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</si>
  <si>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</si>
  <si>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</si>
  <si>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</si>
  <si>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</si>
  <si>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</si>
  <si>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</si>
  <si>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</si>
  <si>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</si>
  <si>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</si>
  <si>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</si>
  <si>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</si>
  <si>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</si>
  <si>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</si>
  <si>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</si>
  <si>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</si>
  <si>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</si>
  <si>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</si>
  <si>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</si>
  <si>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</si>
  <si>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</si>
  <si>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</si>
  <si>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</si>
  <si>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</si>
  <si>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</si>
  <si>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</si>
  <si>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</si>
  <si>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</si>
  <si>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</si>
  <si>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</si>
  <si>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</si>
  <si>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</si>
  <si>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</si>
  <si>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</si>
  <si>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</si>
  <si>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</si>
  <si>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</si>
  <si>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</si>
  <si>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</si>
  <si>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</si>
  <si>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</si>
  <si>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</si>
  <si>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</si>
  <si>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</si>
  <si>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</si>
  <si>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</si>
  <si>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</si>
  <si>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</si>
  <si>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</si>
  <si>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</si>
  <si>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</si>
  <si>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</si>
  <si>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</si>
  <si>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</si>
  <si>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</si>
  <si>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</si>
  <si>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</si>
  <si>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</si>
  <si>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</si>
  <si>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</si>
  <si>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</si>
  <si>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</si>
  <si>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</si>
  <si>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</si>
  <si>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</si>
  <si>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</si>
  <si>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</si>
  <si>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</si>
  <si>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</si>
  <si>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</si>
  <si>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</si>
  <si>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</si>
  <si>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</si>
  <si>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</si>
  <si>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</si>
  <si>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</si>
  <si>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</si>
  <si>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</si>
  <si>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</si>
  <si>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</si>
  <si>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</si>
  <si>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</si>
  <si>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</si>
  <si>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</si>
  <si>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</si>
  <si>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</si>
  <si>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</si>
  <si>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</si>
  <si>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</si>
  <si>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</si>
  <si>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</si>
  <si>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</si>
  <si>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</si>
  <si>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</si>
  <si>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</si>
  <si>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</si>
  <si>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</si>
  <si>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</si>
  <si>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</si>
  <si>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</si>
  <si>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</si>
  <si>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</si>
  <si>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</si>
  <si>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</si>
  <si>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</si>
  <si>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</si>
  <si>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</si>
  <si>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</si>
  <si>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</si>
  <si>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</si>
  <si>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</si>
  <si>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</si>
  <si>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</si>
  <si>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</si>
  <si>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</si>
  <si>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</si>
  <si>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</si>
  <si>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</si>
  <si>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</si>
  <si>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</si>
  <si>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</si>
  <si>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</si>
  <si>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</si>
  <si>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</si>
  <si>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</si>
  <si>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</si>
  <si>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</si>
  <si>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</si>
  <si>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</si>
  <si>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</si>
  <si>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</si>
  <si>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</si>
  <si>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</si>
  <si>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</si>
  <si>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</si>
  <si>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</si>
  <si>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</si>
  <si>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</si>
  <si>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</si>
  <si>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</si>
  <si>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</si>
  <si>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</si>
  <si>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</si>
  <si>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</si>
  <si>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</si>
  <si>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</si>
  <si>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</si>
  <si>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</si>
  <si>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</si>
  <si>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</si>
  <si>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</si>
  <si>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</si>
  <si>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</si>
  <si>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</si>
  <si>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</si>
  <si>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</si>
  <si>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</si>
  <si>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</si>
  <si>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</si>
  <si>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</si>
  <si>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</si>
  <si>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</si>
  <si>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</si>
  <si>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</si>
  <si>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</si>
  <si>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</si>
  <si>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</si>
  <si>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</si>
  <si>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</si>
  <si>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</si>
  <si>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</si>
  <si>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</si>
  <si>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</si>
  <si>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</si>
  <si>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</si>
  <si>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</si>
  <si>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</si>
  <si>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</si>
  <si>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</si>
  <si>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</si>
  <si>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</si>
  <si>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</si>
  <si>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</si>
  <si>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</si>
  <si>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</si>
  <si>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</si>
  <si>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</si>
  <si>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</si>
  <si>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</si>
  <si>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</si>
  <si>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</si>
  <si>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</si>
  <si>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</si>
  <si>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</si>
  <si>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</si>
  <si>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</si>
  <si>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</si>
  <si>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</si>
  <si>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</si>
  <si>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</si>
  <si>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</si>
  <si>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</si>
  <si>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</si>
  <si>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</si>
  <si>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</si>
  <si>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</si>
  <si>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</si>
  <si>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</si>
  <si>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</si>
  <si>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</si>
  <si>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</si>
  <si>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</si>
  <si>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</si>
  <si>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</si>
  <si>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</si>
  <si>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</si>
  <si>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</si>
  <si>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</si>
  <si>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</si>
  <si>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</si>
  <si>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</si>
  <si>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</si>
  <si>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</si>
  <si>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</si>
  <si>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</si>
  <si>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</si>
  <si>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</si>
  <si>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</si>
  <si>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</si>
  <si>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</si>
  <si>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</si>
  <si>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</si>
  <si>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</si>
  <si>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</si>
  <si>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</si>
  <si>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</si>
  <si>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</si>
  <si>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</si>
  <si>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</si>
  <si>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</si>
  <si>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</si>
  <si>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</si>
  <si>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</si>
  <si>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</si>
  <si>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</si>
  <si>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</si>
  <si>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</si>
  <si>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</si>
  <si>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</si>
  <si>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</si>
  <si>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</si>
  <si>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</si>
  <si>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</si>
  <si>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</si>
  <si>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</si>
  <si>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</si>
  <si>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</si>
  <si>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</si>
  <si>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</si>
  <si>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</si>
  <si>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</si>
  <si>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</si>
  <si>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</si>
  <si>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</si>
  <si>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</si>
  <si>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</si>
  <si>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</si>
  <si>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</si>
  <si>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</si>
  <si>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</si>
  <si>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</si>
  <si>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</si>
  <si>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</si>
  <si>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</si>
  <si>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</si>
  <si>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</si>
  <si>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</si>
  <si>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</si>
  <si>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</si>
  <si>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</si>
  <si>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</si>
  <si>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</si>
  <si>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</si>
  <si>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</si>
  <si>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</si>
  <si>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</si>
  <si>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</si>
  <si>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</si>
  <si>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</si>
  <si>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</si>
  <si>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</si>
  <si>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</si>
  <si>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</si>
  <si>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</si>
  <si>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</si>
  <si>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</si>
  <si>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</si>
  <si>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</si>
  <si>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</si>
  <si>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</si>
  <si>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</si>
  <si>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</si>
  <si>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</si>
  <si>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</si>
  <si>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</si>
  <si>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</si>
  <si>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</si>
  <si>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</si>
  <si>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</si>
  <si>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</si>
  <si>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</si>
  <si>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</si>
  <si>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</si>
  <si>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</si>
  <si>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</si>
  <si>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</si>
  <si>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</si>
  <si>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</si>
  <si>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</si>
  <si>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</si>
  <si>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</si>
  <si>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</si>
  <si>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</si>
  <si>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</si>
  <si>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</si>
  <si>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</si>
  <si>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</si>
  <si>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</si>
  <si>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</si>
  <si>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</si>
  <si>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</si>
  <si>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</si>
  <si>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</si>
  <si>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</si>
  <si>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</si>
  <si>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</si>
  <si>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</si>
  <si>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</si>
  <si>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</si>
  <si>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</si>
  <si>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</si>
  <si>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</si>
  <si>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</si>
  <si>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</si>
  <si>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</si>
  <si>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</si>
  <si>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</si>
  <si>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</si>
  <si>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</si>
  <si>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</si>
  <si>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</si>
  <si>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</si>
  <si>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</si>
  <si>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</si>
  <si>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</si>
  <si>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</si>
  <si>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</si>
  <si>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</si>
  <si>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</si>
  <si>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</si>
  <si>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</si>
  <si>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</si>
  <si>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</si>
  <si>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</si>
  <si>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</si>
  <si>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</si>
  <si>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</si>
  <si>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</si>
  <si>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</si>
  <si>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</si>
  <si>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</si>
  <si>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</si>
  <si>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</si>
  <si>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</si>
  <si>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</si>
  <si>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</si>
  <si>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</si>
  <si>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</si>
  <si>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</si>
  <si>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</si>
  <si>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</si>
  <si>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</si>
  <si>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</si>
  <si>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</si>
  <si>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</si>
  <si>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</si>
  <si>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</si>
  <si>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</si>
  <si>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</si>
  <si>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</si>
  <si>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</si>
  <si>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</si>
  <si>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</si>
  <si>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</si>
  <si>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</si>
  <si>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</si>
  <si>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</si>
  <si>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</si>
  <si>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</si>
  <si>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</si>
  <si>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</si>
  <si>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</si>
  <si>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</si>
  <si>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</si>
  <si>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</si>
  <si>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</si>
  <si>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</si>
  <si>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</si>
  <si>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</si>
  <si>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</si>
  <si>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</si>
  <si>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</si>
  <si>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</si>
  <si>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</si>
  <si>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</si>
  <si>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</si>
  <si>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</si>
  <si>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</si>
  <si>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</si>
  <si>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</si>
  <si>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</si>
  <si>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</si>
  <si>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</si>
  <si>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</si>
  <si>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</si>
  <si>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</si>
  <si>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</si>
  <si>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</si>
  <si>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</si>
  <si>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</si>
  <si>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</si>
  <si>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</si>
  <si>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</si>
  <si>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</si>
  <si>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</si>
  <si>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</si>
  <si>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</si>
  <si>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</si>
  <si>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</si>
  <si>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</si>
  <si>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</si>
  <si>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</si>
  <si>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</si>
  <si>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</si>
  <si>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</si>
  <si>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</si>
  <si>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</si>
  <si>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</si>
  <si>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</si>
  <si>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</si>
  <si>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</si>
  <si>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</si>
  <si>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</si>
  <si>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</si>
  <si>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</si>
  <si>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</si>
  <si>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</si>
  <si>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</si>
  <si>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</si>
  <si>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</si>
  <si>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</si>
  <si>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</si>
  <si>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</si>
  <si>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</si>
  <si>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</si>
  <si>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</si>
  <si>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</si>
  <si>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</si>
  <si>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</si>
  <si>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</si>
  <si>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</si>
  <si>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</si>
  <si>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</si>
  <si>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</si>
  <si>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</si>
  <si>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</si>
  <si>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</si>
  <si>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</si>
  <si>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</si>
  <si>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</si>
  <si>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</si>
  <si>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</si>
  <si>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</si>
  <si>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</si>
  <si>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</si>
  <si>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</si>
  <si>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</si>
  <si>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</si>
  <si>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</si>
  <si>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</si>
  <si>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</si>
  <si>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</si>
  <si>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</si>
  <si>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</si>
  <si>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</si>
  <si>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</si>
  <si>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</si>
  <si>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</si>
  <si>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</si>
  <si>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</si>
  <si>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</si>
  <si>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</si>
  <si>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</si>
  <si>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</si>
  <si>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</si>
  <si>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</si>
  <si>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</si>
  <si>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</si>
  <si>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</si>
  <si>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</si>
  <si>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</si>
  <si>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</si>
  <si>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</si>
  <si>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</si>
  <si>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</si>
  <si>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</si>
  <si>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</si>
  <si>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</si>
  <si>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</si>
  <si>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</si>
  <si>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</si>
  <si>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</si>
  <si>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</si>
  <si>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</si>
  <si>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</si>
  <si>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</si>
  <si>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</si>
  <si>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</si>
  <si>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</si>
  <si>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</si>
  <si>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</si>
  <si>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</si>
  <si>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</si>
  <si>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</si>
  <si>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</si>
  <si>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</si>
  <si>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</si>
  <si>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</si>
  <si>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</si>
  <si>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</si>
  <si>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</si>
  <si>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</si>
  <si>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</si>
  <si>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</si>
  <si>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</si>
  <si>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</si>
  <si>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</si>
  <si>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</si>
  <si>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</si>
  <si>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</si>
  <si>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</si>
  <si>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</si>
  <si>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</si>
  <si>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</si>
  <si>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</si>
  <si>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</si>
  <si>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</si>
  <si>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</si>
  <si>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</si>
  <si>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</si>
  <si>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</si>
  <si>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</si>
  <si>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</si>
  <si>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</si>
  <si>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</si>
  <si>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</si>
  <si>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</si>
  <si>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</si>
  <si>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</si>
  <si>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</si>
  <si>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</si>
  <si>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</si>
  <si>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</si>
  <si>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</si>
  <si>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</si>
  <si>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</si>
  <si>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</si>
  <si>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</si>
  <si>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</si>
  <si>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</si>
  <si>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</si>
  <si>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</si>
  <si>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</si>
  <si>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</si>
  <si>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</si>
  <si>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</si>
  <si>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</si>
  <si>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</si>
  <si>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</si>
  <si>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</si>
  <si>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</si>
  <si>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</si>
  <si>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</si>
  <si>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</si>
  <si>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</si>
  <si>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</si>
  <si>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</si>
  <si>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</si>
  <si>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</si>
  <si>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</si>
  <si>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</si>
  <si>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</si>
  <si>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</si>
  <si>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</si>
  <si>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</si>
  <si>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</si>
  <si>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</si>
  <si>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</si>
  <si>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</si>
  <si>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</si>
  <si>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</si>
  <si>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</si>
  <si>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</si>
  <si>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</si>
  <si>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</si>
  <si>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</si>
  <si>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</si>
  <si>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</si>
  <si>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</si>
  <si>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</si>
  <si>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</si>
  <si>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</si>
  <si>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</si>
  <si>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</si>
  <si>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</si>
  <si>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</si>
  <si>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</si>
  <si>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</si>
  <si>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</si>
  <si>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</si>
  <si>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</si>
  <si>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</si>
  <si>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</si>
  <si>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</si>
  <si>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</si>
  <si>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</si>
  <si>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</si>
  <si>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</si>
  <si>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</si>
  <si>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</si>
  <si>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</si>
  <si>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</si>
  <si>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</si>
  <si>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</si>
  <si>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</si>
  <si>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</si>
  <si>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</si>
  <si>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</si>
  <si>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</si>
  <si>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</si>
  <si>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</si>
  <si>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</si>
  <si>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</si>
  <si>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</si>
  <si>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</si>
  <si>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</si>
  <si>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</si>
  <si>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</si>
  <si>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</si>
  <si>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</si>
  <si>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</si>
  <si>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</si>
  <si>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</si>
  <si>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</si>
  <si>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</si>
  <si>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</si>
  <si>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</si>
  <si>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</si>
  <si>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</si>
  <si>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</si>
  <si>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</si>
  <si>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</si>
  <si>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</si>
  <si>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</si>
  <si>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</si>
  <si>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</si>
  <si>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</si>
  <si>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</si>
  <si>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</si>
  <si>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</si>
  <si>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</si>
  <si>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</si>
  <si>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</si>
  <si>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</si>
  <si>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</si>
  <si>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</si>
  <si>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</si>
  <si>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</si>
  <si>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</si>
  <si>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</si>
  <si>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</si>
  <si>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</si>
  <si>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</si>
  <si>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</si>
  <si>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</si>
  <si>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</si>
  <si>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</si>
  <si>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</si>
  <si>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</si>
  <si>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</si>
  <si>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</si>
  <si>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</si>
  <si>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</si>
  <si>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</si>
  <si>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</si>
  <si>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</si>
  <si>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</si>
  <si>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</si>
  <si>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</si>
  <si>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</si>
  <si>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</si>
  <si>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</si>
  <si>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</si>
  <si>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</si>
  <si>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</si>
  <si>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</si>
  <si>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</si>
  <si>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</si>
  <si>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</si>
  <si>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</si>
  <si>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</si>
  <si>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</si>
  <si>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</si>
  <si>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</si>
  <si>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</si>
  <si>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</si>
  <si>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</si>
  <si>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</si>
  <si>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</si>
  <si>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</si>
  <si>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</si>
  <si>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</si>
  <si>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</si>
  <si>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</si>
  <si>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</si>
  <si>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</si>
  <si>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</si>
  <si>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</si>
  <si>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</si>
  <si>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</si>
  <si>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</si>
  <si>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</si>
  <si>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</si>
  <si>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</si>
  <si>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</si>
  <si>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</si>
  <si>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</si>
  <si>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</si>
  <si>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</si>
  <si>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</si>
  <si>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</si>
  <si>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</si>
  <si>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</si>
  <si>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</si>
  <si>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</si>
  <si>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</si>
  <si>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</si>
  <si>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</si>
  <si>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</si>
  <si>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</si>
  <si>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</si>
  <si>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</si>
  <si>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</si>
  <si>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</si>
  <si>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</si>
  <si>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</si>
  <si>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</si>
  <si>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</si>
  <si>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</si>
  <si>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</si>
  <si>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</si>
  <si>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</si>
  <si>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</si>
  <si>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</si>
  <si>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</si>
  <si>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</si>
  <si>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</si>
  <si>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</si>
  <si>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</si>
  <si>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</si>
  <si>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</si>
  <si>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</si>
  <si>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</si>
  <si>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</si>
  <si>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</si>
  <si>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</si>
  <si>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</si>
  <si>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</si>
  <si>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</si>
  <si>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</si>
  <si>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</si>
  <si>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</si>
  <si>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</si>
  <si>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</si>
  <si>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</si>
  <si>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</si>
  <si>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</si>
  <si>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</si>
  <si>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</si>
  <si>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</si>
  <si>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</si>
  <si>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</si>
  <si>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</si>
  <si>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</si>
  <si>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</si>
  <si>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</si>
  <si>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</si>
  <si>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</si>
  <si>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</si>
  <si>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</si>
  <si>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</si>
  <si>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</si>
  <si>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</si>
  <si>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</si>
  <si>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</si>
  <si>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</si>
  <si>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</si>
  <si>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</si>
  <si>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</si>
  <si>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</si>
  <si>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</si>
  <si>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</si>
  <si>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</si>
  <si>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</si>
  <si>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</si>
  <si>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</si>
  <si>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</si>
  <si>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</si>
  <si>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</si>
  <si>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</si>
  <si>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</si>
  <si>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</si>
  <si>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</si>
  <si>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</si>
  <si>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</si>
  <si>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</si>
  <si>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</si>
  <si>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</si>
  <si>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</si>
  <si>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</si>
  <si>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</si>
  <si>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</si>
  <si>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</si>
  <si>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</si>
  <si>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</si>
  <si>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</si>
  <si>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</si>
  <si>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</si>
  <si>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</si>
  <si>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</si>
  <si>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</si>
  <si>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</si>
  <si>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</si>
  <si>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</si>
  <si>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</si>
  <si>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</si>
  <si>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</si>
  <si>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</si>
  <si>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</si>
  <si>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</si>
  <si>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</si>
  <si>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</si>
  <si>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</si>
  <si>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21-044-0320-03</t>
  </si>
  <si>
    <t>Johnson</t>
  </si>
  <si>
    <t>New Simpson Hill School District #32</t>
  </si>
  <si>
    <t>95 Tunnel Hill Road</t>
  </si>
  <si>
    <t>Tunnel Hill</t>
  </si>
  <si>
    <t>Joe Nighswander</t>
  </si>
  <si>
    <t>618-658-9066</t>
  </si>
  <si>
    <t>618-658-5034</t>
  </si>
  <si>
    <t>Cindy A. Bobell, CPA</t>
  </si>
  <si>
    <t>10653 Khoury League Road</t>
  </si>
  <si>
    <t>Marion</t>
  </si>
  <si>
    <t>IL</t>
  </si>
  <si>
    <t>618-997-9711</t>
  </si>
  <si>
    <t>618-997-8014</t>
  </si>
  <si>
    <t>065-022629</t>
  </si>
  <si>
    <t>2016 G.O. Refunding Bonds</t>
  </si>
  <si>
    <t>None</t>
  </si>
  <si>
    <t>Goreville Unit 1: Cypress Grade School #64</t>
  </si>
  <si>
    <t>JAMP Special Education Cooperative</t>
  </si>
  <si>
    <t>Page 11 Line 106 Acct # 1993 Column 10 - Reimbursement for Shared Personnel</t>
  </si>
  <si>
    <t>Page 11 Line 107 Acct # 1999 Column 10 - Erate; Column 20 - School Facilities Occupational Tax</t>
  </si>
  <si>
    <t>Page 12 Line 171 Acct # 3999 Column 10 - State Library Grant</t>
  </si>
  <si>
    <t>Page 14 Line 272 Acct # 4999 Column 10 - REAP</t>
  </si>
  <si>
    <t>Page 18 Line 171 Acct # 5400 Column 30 - Bond Admin Fee</t>
  </si>
  <si>
    <t>The District expenditures exceeded the budgeted expenditures in several funds.</t>
  </si>
  <si>
    <t>Budget to actual comparisons should be prepared and analyzed during the year and transfers and amendments should be made as necessary.</t>
  </si>
  <si>
    <t>The District will make transfers and amendments to the budget as necessary.</t>
  </si>
  <si>
    <t>Due to the size of the organization, there is a lack of segregation of duties.</t>
  </si>
  <si>
    <t>The requirement to have two signatures on the checks would be a good internal control and would help to create a segregation of duties.</t>
  </si>
  <si>
    <t>The District will make every effort within its means to segregate duties and strengthen internal controls.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</si>
</sst>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360E1B24-4FC0-4BAC-B134-61881A71126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B5" sqref="B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t="s">
        <v>2078</v>
      </c>
      <c r="B13" s="2036"/>
      <c r="C13" s="2036"/>
      <c r="D13" s="2036"/>
      <c r="E13" s="2036"/>
      <c r="F13" s="2036"/>
      <c r="G13" s="2036"/>
      <c r="H13" s="2037"/>
      <c r="I13" s="31"/>
      <c r="J13" s="30"/>
      <c r="K13" s="28"/>
      <c r="L13" s="30"/>
      <c r="M13" s="30"/>
      <c r="N13" s="30"/>
      <c r="O13" s="30"/>
      <c r="P13" s="30"/>
      <c r="Q13" s="30"/>
      <c r="R13" s="30"/>
      <c r="S13" s="30"/>
      <c r="T13" s="2040" t="s">
        <v>2086</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2079</v>
      </c>
      <c r="B15" s="2038"/>
      <c r="C15" s="2038"/>
      <c r="D15" s="2038"/>
      <c r="E15" s="2038"/>
      <c r="F15" s="2038"/>
      <c r="G15" s="2038"/>
      <c r="H15" s="2039"/>
      <c r="T15" s="2044" t="s">
        <v>2086</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2080</v>
      </c>
      <c r="B17" s="1995"/>
      <c r="C17" s="1995"/>
      <c r="D17" s="1995"/>
      <c r="E17" s="1995"/>
      <c r="F17" s="1995"/>
      <c r="G17" s="1995"/>
      <c r="H17" s="2020"/>
      <c r="T17" s="2051" t="s">
        <v>2087</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2081</v>
      </c>
      <c r="B19" s="1980"/>
      <c r="C19" s="1980"/>
      <c r="D19" s="1980"/>
      <c r="E19" s="1980"/>
      <c r="F19" s="1980"/>
      <c r="G19" s="1980"/>
      <c r="H19" s="1960"/>
      <c r="I19" s="30"/>
      <c r="J19" s="99"/>
      <c r="K19" s="40"/>
      <c r="L19" s="38"/>
      <c r="M19" s="112" t="s">
        <v>333</v>
      </c>
      <c r="P19" s="27"/>
      <c r="Q19" s="27"/>
      <c r="R19" s="27"/>
      <c r="S19" s="31"/>
      <c r="T19" s="2034" t="s">
        <v>2088</v>
      </c>
      <c r="U19" s="1959"/>
      <c r="V19" s="1959"/>
      <c r="W19" s="1960"/>
      <c r="X19" s="2049" t="s">
        <v>2089</v>
      </c>
      <c r="Y19" s="2050"/>
      <c r="Z19" s="2047">
        <v>62959</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2082</v>
      </c>
      <c r="B21" s="1959"/>
      <c r="C21" s="1959"/>
      <c r="D21" s="1959"/>
      <c r="E21" s="1959"/>
      <c r="F21" s="1959"/>
      <c r="G21" s="1959"/>
      <c r="H21" s="1960"/>
      <c r="I21" s="2014" t="s">
        <v>699</v>
      </c>
      <c r="J21" s="2009"/>
      <c r="K21" s="2009"/>
      <c r="L21" s="2009"/>
      <c r="M21" s="2009"/>
      <c r="N21" s="2009"/>
      <c r="O21" s="2009"/>
      <c r="P21" s="2009"/>
      <c r="Q21" s="2009"/>
      <c r="R21" s="2009"/>
      <c r="S21" s="2015"/>
      <c r="T21" s="2058" t="s">
        <v>2090</v>
      </c>
      <c r="U21" s="2059"/>
      <c r="V21" s="2059"/>
      <c r="W21" s="2059"/>
      <c r="X21" s="2064" t="s">
        <v>2091</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c r="B23" s="2012"/>
      <c r="C23" s="2012"/>
      <c r="D23" s="2012"/>
      <c r="E23" s="2012"/>
      <c r="F23" s="2012"/>
      <c r="G23" s="2012"/>
      <c r="H23" s="2013"/>
      <c r="T23" s="1994" t="s">
        <v>2092</v>
      </c>
      <c r="U23" s="2057"/>
      <c r="V23" s="2057"/>
      <c r="W23" s="2057"/>
      <c r="X23" s="2061">
        <v>44469</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62972</v>
      </c>
      <c r="B25" s="1959"/>
      <c r="C25" s="1959"/>
      <c r="D25" s="1959"/>
      <c r="E25" s="1959"/>
      <c r="F25" s="1959"/>
      <c r="G25" s="1959"/>
      <c r="H25" s="1960"/>
      <c r="I25" s="113"/>
      <c r="J25" s="1983"/>
      <c r="K25" s="1983"/>
      <c r="L25" s="1983"/>
      <c r="M25" s="1983"/>
      <c r="N25" s="1983"/>
      <c r="O25" s="1983"/>
      <c r="P25" s="1983"/>
      <c r="Q25" s="1983"/>
      <c r="R25" s="1983"/>
      <c r="S25" s="1984"/>
      <c r="T25" s="2054"/>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2083</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2084</v>
      </c>
      <c r="B42" s="1978"/>
      <c r="C42" s="1979"/>
      <c r="D42" s="1977" t="s">
        <v>2085</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&amp;F&amp;RB-i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5" sqref="T25:AA2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176797</v>
      </c>
      <c r="C4" s="1546"/>
      <c r="D4" s="1774">
        <f>B4-C4</f>
        <v>176797</v>
      </c>
      <c r="E4" s="1546"/>
      <c r="F4" s="1774">
        <f>E4-C4</f>
        <v>0</v>
      </c>
    </row>
    <row r="5" spans="1:6" ht="13.7" customHeight="1" x14ac:dyDescent="0.2">
      <c r="A5" s="716" t="s">
        <v>925</v>
      </c>
      <c r="B5" s="1772">
        <f>'Revenues 9-14'!D5</f>
        <v>48045</v>
      </c>
      <c r="C5" s="585"/>
      <c r="D5" s="1775">
        <f t="shared" ref="D5:D18" si="0">B5-C5</f>
        <v>48045</v>
      </c>
      <c r="E5" s="585"/>
      <c r="F5" s="1775">
        <f>E5-C5</f>
        <v>0</v>
      </c>
    </row>
    <row r="6" spans="1:6" ht="13.7" customHeight="1" x14ac:dyDescent="0.2">
      <c r="A6" s="716" t="s">
        <v>431</v>
      </c>
      <c r="B6" s="1772">
        <f>'Revenues 9-14'!E5</f>
        <v>98435</v>
      </c>
      <c r="C6" s="585"/>
      <c r="D6" s="1775">
        <f t="shared" si="0"/>
        <v>98435</v>
      </c>
      <c r="E6" s="585"/>
      <c r="F6" s="1775">
        <f t="shared" ref="F6:F18" si="1">E6-C6</f>
        <v>0</v>
      </c>
    </row>
    <row r="7" spans="1:6" ht="13.7" customHeight="1" x14ac:dyDescent="0.2">
      <c r="A7" s="716" t="s">
        <v>157</v>
      </c>
      <c r="B7" s="1772">
        <f>'Revenues 9-14'!F5</f>
        <v>23061</v>
      </c>
      <c r="C7" s="585"/>
      <c r="D7" s="1775">
        <f t="shared" si="0"/>
        <v>23061</v>
      </c>
      <c r="E7" s="585"/>
      <c r="F7" s="1775">
        <f t="shared" si="1"/>
        <v>0</v>
      </c>
    </row>
    <row r="8" spans="1:6" ht="13.7" customHeight="1" x14ac:dyDescent="0.2">
      <c r="A8" s="716" t="s">
        <v>1241</v>
      </c>
      <c r="B8" s="1772">
        <f>'Revenues 9-14'!G5</f>
        <v>44526</v>
      </c>
      <c r="C8" s="585"/>
      <c r="D8" s="1775">
        <f t="shared" si="0"/>
        <v>44526</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9609</v>
      </c>
      <c r="C10" s="585"/>
      <c r="D10" s="1775">
        <f t="shared" si="0"/>
        <v>9609</v>
      </c>
      <c r="E10" s="585"/>
      <c r="F10" s="1775">
        <f t="shared" si="1"/>
        <v>0</v>
      </c>
    </row>
    <row r="11" spans="1:6" x14ac:dyDescent="0.2">
      <c r="A11" s="716" t="s">
        <v>429</v>
      </c>
      <c r="B11" s="1772">
        <f>'Revenues 9-14'!J5</f>
        <v>77630</v>
      </c>
      <c r="C11" s="585"/>
      <c r="D11" s="1775">
        <f t="shared" si="0"/>
        <v>77630</v>
      </c>
      <c r="E11" s="585"/>
      <c r="F11" s="1775">
        <f t="shared" si="1"/>
        <v>0</v>
      </c>
    </row>
    <row r="12" spans="1:6" ht="13.7" customHeight="1" x14ac:dyDescent="0.2">
      <c r="A12" s="716" t="s">
        <v>159</v>
      </c>
      <c r="B12" s="1772">
        <f>'Revenues 9-14'!K5</f>
        <v>9609</v>
      </c>
      <c r="C12" s="585"/>
      <c r="D12" s="1775">
        <f t="shared" si="0"/>
        <v>9609</v>
      </c>
      <c r="E12" s="585"/>
      <c r="F12" s="1775">
        <f t="shared" si="1"/>
        <v>0</v>
      </c>
    </row>
    <row r="13" spans="1:6" ht="13.7" customHeight="1" x14ac:dyDescent="0.2">
      <c r="A13" s="716" t="s">
        <v>993</v>
      </c>
      <c r="B13" s="1772">
        <f>SUM('Revenues 9-14'!C6:D6)</f>
        <v>9577</v>
      </c>
      <c r="C13" s="585"/>
      <c r="D13" s="1775">
        <f t="shared" si="0"/>
        <v>9577</v>
      </c>
      <c r="E13" s="585"/>
      <c r="F13" s="1775">
        <f t="shared" si="1"/>
        <v>0</v>
      </c>
    </row>
    <row r="14" spans="1:6" ht="13.7" customHeight="1" x14ac:dyDescent="0.2">
      <c r="A14" s="716" t="s">
        <v>430</v>
      </c>
      <c r="B14" s="1772">
        <f>SUM('Revenues 9-14'!C7:D7,'Revenues 9-14'!F7:H7)</f>
        <v>3747</v>
      </c>
      <c r="C14" s="585"/>
      <c r="D14" s="1775">
        <f t="shared" si="0"/>
        <v>3747</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44526</v>
      </c>
      <c r="C16" s="585"/>
      <c r="D16" s="1775">
        <f t="shared" si="0"/>
        <v>44526</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545562</v>
      </c>
      <c r="C19" s="1773">
        <f>SUM(C4:C18)</f>
        <v>0</v>
      </c>
      <c r="D19" s="1773">
        <f>SUM(D4:D18)</f>
        <v>545562</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T25" sqref="T25:AA2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9" t="s">
        <v>2036</v>
      </c>
      <c r="D2" s="724" t="s">
        <v>2043</v>
      </c>
      <c r="E2" s="724" t="s">
        <v>2044</v>
      </c>
      <c r="F2" s="1909" t="s">
        <v>2037</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2093</v>
      </c>
      <c r="B31" s="734">
        <v>42615</v>
      </c>
      <c r="C31" s="735">
        <v>345000</v>
      </c>
      <c r="D31" s="736">
        <v>3</v>
      </c>
      <c r="E31" s="735">
        <v>345000</v>
      </c>
      <c r="F31" s="735"/>
      <c r="G31" s="735"/>
      <c r="H31" s="735">
        <v>90000</v>
      </c>
      <c r="I31" s="1778">
        <f>((E31+F31)-H31)+G31</f>
        <v>255000</v>
      </c>
      <c r="J31" s="735">
        <v>226827</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345000</v>
      </c>
      <c r="D49" s="746"/>
      <c r="E49" s="1778">
        <f t="shared" ref="E49:J49" si="2">SUM(E31:E48)</f>
        <v>345000</v>
      </c>
      <c r="F49" s="1778">
        <f t="shared" si="2"/>
        <v>0</v>
      </c>
      <c r="G49" s="1778">
        <f t="shared" si="2"/>
        <v>0</v>
      </c>
      <c r="H49" s="1778">
        <f t="shared" si="2"/>
        <v>90000</v>
      </c>
      <c r="I49" s="1778">
        <f t="shared" si="2"/>
        <v>255000</v>
      </c>
      <c r="J49" s="1778">
        <f t="shared" si="2"/>
        <v>226827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E30" sqref="E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3747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1158</v>
      </c>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3747</v>
      </c>
      <c r="I12" s="1780">
        <f>SUM(I5:I11)</f>
        <v>0</v>
      </c>
      <c r="J12" s="1780">
        <f>SUM(J5:J11)</f>
        <v>1158</v>
      </c>
      <c r="K12" s="1780">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0</v>
      </c>
      <c r="I23" s="1780">
        <f>SUM(I14:I16,I21,I22)</f>
        <v>0</v>
      </c>
      <c r="J23" s="1780">
        <f>SUM(J14:J16,J21,J22)</f>
        <v>0</v>
      </c>
      <c r="K23" s="1780">
        <f>SUM(K14:K16,K21,K22)</f>
        <v>0</v>
      </c>
    </row>
    <row r="24" spans="1:11" ht="14.25" thickTop="1" thickBot="1" x14ac:dyDescent="0.25">
      <c r="A24" s="2265" t="s">
        <v>2024</v>
      </c>
      <c r="B24" s="2264"/>
      <c r="C24" s="2264"/>
      <c r="D24" s="2264"/>
      <c r="E24" s="2264"/>
      <c r="F24" s="1784"/>
      <c r="G24" s="1785">
        <f>SUM(G3,G12)-G23</f>
        <v>0</v>
      </c>
      <c r="H24" s="1785">
        <f>SUM(H3,H12)-H23</f>
        <v>3747</v>
      </c>
      <c r="I24" s="1785">
        <f>SUM(I3,I12)-I23</f>
        <v>0</v>
      </c>
      <c r="J24" s="1785">
        <f>SUM(J3,J12)-J23</f>
        <v>1158</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3747</v>
      </c>
      <c r="I26" s="1780">
        <f>I24-I25</f>
        <v>0</v>
      </c>
      <c r="J26" s="1780">
        <f>J24-J25</f>
        <v>1158</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30" sqref="E3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7000</v>
      </c>
      <c r="D5" s="842"/>
      <c r="E5" s="842"/>
      <c r="F5" s="1782">
        <f>(C5+D5)-E5</f>
        <v>7000</v>
      </c>
      <c r="G5" s="838"/>
      <c r="H5" s="843"/>
      <c r="I5" s="843"/>
      <c r="J5" s="843"/>
      <c r="K5" s="794"/>
      <c r="L5" s="1791">
        <f>F5-K5</f>
        <v>7000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3948516</v>
      </c>
      <c r="D8" s="845"/>
      <c r="E8" s="845"/>
      <c r="F8" s="1782">
        <f>(C8+D8)-E8</f>
        <v>3948516</v>
      </c>
      <c r="G8" s="844">
        <v>50</v>
      </c>
      <c r="H8" s="766">
        <v>1403014</v>
      </c>
      <c r="I8" s="766">
        <v>79586</v>
      </c>
      <c r="J8" s="766"/>
      <c r="K8" s="1791">
        <f>(H8+I8)-J8</f>
        <v>1482600</v>
      </c>
      <c r="L8" s="1791">
        <f>F8-K8</f>
        <v>2465916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248248</v>
      </c>
      <c r="D10" s="847"/>
      <c r="E10" s="847"/>
      <c r="F10" s="1786">
        <f>(C10+D10)-E10</f>
        <v>248248</v>
      </c>
      <c r="G10" s="844">
        <v>20</v>
      </c>
      <c r="H10" s="848">
        <v>209645</v>
      </c>
      <c r="I10" s="848">
        <v>9875</v>
      </c>
      <c r="J10" s="848"/>
      <c r="K10" s="1791">
        <f>(H10+I10)-J10</f>
        <v>219520</v>
      </c>
      <c r="L10" s="1791">
        <f>F10-K10</f>
        <v>28728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568433</v>
      </c>
      <c r="D12" s="845">
        <v>31664</v>
      </c>
      <c r="E12" s="845"/>
      <c r="F12" s="1782">
        <f>(C12+D12)-E12</f>
        <v>600097</v>
      </c>
      <c r="G12" s="844">
        <v>10</v>
      </c>
      <c r="H12" s="766">
        <v>522965</v>
      </c>
      <c r="I12" s="766">
        <v>16015</v>
      </c>
      <c r="J12" s="766"/>
      <c r="K12" s="1791">
        <f>(H12+I12)-J12</f>
        <v>538980</v>
      </c>
      <c r="L12" s="1791">
        <f>F12-K12</f>
        <v>61117</v>
      </c>
    </row>
    <row r="13" spans="1:14" ht="14.25" thickTop="1" thickBot="1" x14ac:dyDescent="0.25">
      <c r="A13" s="849" t="s">
        <v>1184</v>
      </c>
      <c r="B13" s="841">
        <v>252</v>
      </c>
      <c r="C13" s="845">
        <v>535210</v>
      </c>
      <c r="D13" s="845">
        <v>70047</v>
      </c>
      <c r="E13" s="845">
        <v>82460</v>
      </c>
      <c r="F13" s="1782">
        <f>(C13+D13)-E13</f>
        <v>522797</v>
      </c>
      <c r="G13" s="844">
        <v>5</v>
      </c>
      <c r="H13" s="766">
        <v>458283</v>
      </c>
      <c r="I13" s="766">
        <v>45061</v>
      </c>
      <c r="J13" s="766">
        <v>82460</v>
      </c>
      <c r="K13" s="1791">
        <f>(H13+I13)-J13</f>
        <v>420884</v>
      </c>
      <c r="L13" s="1791">
        <f>F13-K13</f>
        <v>101913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5307407</v>
      </c>
      <c r="D16" s="1782">
        <f>SUM(D3,D5:D6,D8:D10,D12:D15)</f>
        <v>101711</v>
      </c>
      <c r="E16" s="1782">
        <f>SUM(E3,E5:E6,E8:E10,E12:E15)</f>
        <v>82460</v>
      </c>
      <c r="F16" s="1782">
        <f>SUM(F3,F5:F6,F8:F10,F12:F15)</f>
        <v>5326658</v>
      </c>
      <c r="G16" s="844"/>
      <c r="H16" s="1782">
        <f>SUM(H3,H6,H8:H10,H12:H14,)</f>
        <v>2593907</v>
      </c>
      <c r="I16" s="1782">
        <f>SUM(I3,I6,I8:I10,I12:I14,)</f>
        <v>150537</v>
      </c>
      <c r="J16" s="1782">
        <f>SUM(J3,J6,J8:J10,J12:J14,)</f>
        <v>82460</v>
      </c>
      <c r="K16" s="1782">
        <f>(H16+I16)-J16</f>
        <v>2661984</v>
      </c>
      <c r="L16" s="1782">
        <f>F16-K16</f>
        <v>2664674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150537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2" activePane="bottomLeft" state="frozen"/>
      <selection activeCell="E30" sqref="E30"/>
      <selection pane="bottomLeft" activeCell="E30" sqref="E3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1809539</v>
      </c>
      <c r="G8" s="866"/>
    </row>
    <row r="9" spans="1:7" x14ac:dyDescent="0.2">
      <c r="A9" s="870" t="s">
        <v>480</v>
      </c>
      <c r="B9" s="871" t="s">
        <v>1988</v>
      </c>
      <c r="C9" s="872"/>
      <c r="D9" s="870" t="s">
        <v>522</v>
      </c>
      <c r="E9" s="869"/>
      <c r="F9" s="1935">
        <f>'Expenditures 15-22'!K151</f>
        <v>48774</v>
      </c>
      <c r="G9" s="873"/>
    </row>
    <row r="10" spans="1:7" x14ac:dyDescent="0.2">
      <c r="A10" s="870" t="s">
        <v>520</v>
      </c>
      <c r="B10" s="871" t="s">
        <v>1989</v>
      </c>
      <c r="C10" s="872"/>
      <c r="D10" s="870" t="s">
        <v>522</v>
      </c>
      <c r="E10" s="869"/>
      <c r="F10" s="1935">
        <f>'Expenditures 15-22'!K174</f>
        <v>110163</v>
      </c>
      <c r="G10" s="873"/>
    </row>
    <row r="11" spans="1:7" x14ac:dyDescent="0.2">
      <c r="A11" s="870" t="s">
        <v>481</v>
      </c>
      <c r="B11" s="871" t="s">
        <v>1990</v>
      </c>
      <c r="C11" s="872"/>
      <c r="D11" s="870" t="s">
        <v>522</v>
      </c>
      <c r="E11" s="869"/>
      <c r="F11" s="1935">
        <f>'Expenditures 15-22'!K210</f>
        <v>193592</v>
      </c>
      <c r="G11" s="873"/>
    </row>
    <row r="12" spans="1:7" x14ac:dyDescent="0.2">
      <c r="A12" s="870" t="s">
        <v>482</v>
      </c>
      <c r="B12" s="871" t="s">
        <v>1991</v>
      </c>
      <c r="C12" s="872"/>
      <c r="D12" s="870" t="s">
        <v>522</v>
      </c>
      <c r="E12" s="869"/>
      <c r="F12" s="1935">
        <f>'Expenditures 15-22'!K295</f>
        <v>94173</v>
      </c>
      <c r="G12" s="873"/>
    </row>
    <row r="13" spans="1:7" x14ac:dyDescent="0.2">
      <c r="A13" s="870" t="s">
        <v>108</v>
      </c>
      <c r="B13" s="871" t="s">
        <v>1992</v>
      </c>
      <c r="C13" s="872"/>
      <c r="D13" s="870" t="s">
        <v>522</v>
      </c>
      <c r="E13" s="869"/>
      <c r="F13" s="1935">
        <f>'Expenditures 15-22'!K342</f>
        <v>63397</v>
      </c>
      <c r="G13" s="874"/>
    </row>
    <row r="14" spans="1:7" ht="12" customHeight="1" thickBot="1" x14ac:dyDescent="0.25">
      <c r="A14" s="1792"/>
      <c r="B14" s="1793"/>
      <c r="C14" s="1794"/>
      <c r="D14" s="1795" t="s">
        <v>522</v>
      </c>
      <c r="E14" s="1796" t="s">
        <v>1015</v>
      </c>
      <c r="F14" s="1797">
        <f>SUM(F8:F13)</f>
        <v>2319638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90858</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30855</v>
      </c>
      <c r="G53" s="866"/>
    </row>
    <row r="54" spans="1:7" x14ac:dyDescent="0.2">
      <c r="A54" s="870" t="s">
        <v>479</v>
      </c>
      <c r="B54" s="870" t="s">
        <v>1552</v>
      </c>
      <c r="C54" s="890" t="s">
        <v>1039</v>
      </c>
      <c r="D54" s="886" t="s">
        <v>1157</v>
      </c>
      <c r="E54" s="869"/>
      <c r="F54" s="1939">
        <f>'Expenditures 15-22'!G114</f>
        <v>13999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19066</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90000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70047</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4626</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319451</v>
      </c>
      <c r="G76" s="866"/>
    </row>
    <row r="77" spans="1:8" s="894" customFormat="1" ht="12" customHeight="1" thickTop="1" thickBot="1" x14ac:dyDescent="0.25">
      <c r="A77" s="1801"/>
      <c r="B77" s="1798"/>
      <c r="C77" s="1794"/>
      <c r="D77" s="1799" t="s">
        <v>2011</v>
      </c>
      <c r="E77" s="1796"/>
      <c r="F77" s="1802">
        <f>(F14-F76)</f>
        <v>2000187</v>
      </c>
      <c r="G77" s="870"/>
    </row>
    <row r="78" spans="1:8" s="894" customFormat="1" ht="12" customHeight="1" thickTop="1" x14ac:dyDescent="0.2">
      <c r="A78" s="1803"/>
      <c r="B78" s="1798"/>
      <c r="C78" s="1794"/>
      <c r="D78" s="1799" t="s">
        <v>2057</v>
      </c>
      <c r="E78" s="1796"/>
      <c r="F78" s="899">
        <v>195.89</v>
      </c>
      <c r="G78" s="900"/>
      <c r="H78" s="870"/>
    </row>
    <row r="79" spans="1:8" s="894" customFormat="1" ht="12" customHeight="1" thickBot="1" x14ac:dyDescent="0.25">
      <c r="A79" s="1804"/>
      <c r="B79" s="1798"/>
      <c r="C79" s="1794"/>
      <c r="D79" s="1799" t="s">
        <v>2012</v>
      </c>
      <c r="E79" s="1796" t="s">
        <v>1015</v>
      </c>
      <c r="F79" s="1805">
        <f>IF(F78&gt;0,F77/F78," Complete Line 78")</f>
        <v>10210.766246362755</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19931</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2886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51501</v>
      </c>
      <c r="G104" s="913"/>
    </row>
    <row r="105" spans="1:7" x14ac:dyDescent="0.2">
      <c r="A105" s="909" t="s">
        <v>524</v>
      </c>
      <c r="B105" s="909" t="s">
        <v>842</v>
      </c>
      <c r="C105" s="914">
        <v>3100</v>
      </c>
      <c r="D105" s="920" t="str">
        <f>'Revenues 9-14'!A131</f>
        <v>Total Special Education</v>
      </c>
      <c r="E105" s="907"/>
      <c r="F105" s="1811">
        <f>SUM('Revenues 9-14'!C131:D131,'Revenues 9-14'!F131)</f>
        <v>39410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908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171882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60752</v>
      </c>
      <c r="G129" s="931"/>
    </row>
    <row r="130" spans="1:7" x14ac:dyDescent="0.2">
      <c r="A130" s="928" t="s">
        <v>689</v>
      </c>
      <c r="B130" s="928" t="s">
        <v>804</v>
      </c>
      <c r="C130" s="933">
        <v>4300</v>
      </c>
      <c r="D130" s="934" t="str">
        <f>'Revenues 9-14'!A211</f>
        <v>Total Title I</v>
      </c>
      <c r="E130" s="907"/>
      <c r="F130" s="1811">
        <f>SUM('Revenues 9-14'!C211,'Revenues 9-14'!D211,'Revenues 9-14'!F211,'Revenues 9-14'!G211)</f>
        <v>92929</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5740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19075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18805</v>
      </c>
      <c r="G174" s="928"/>
    </row>
    <row r="175" spans="1:7" x14ac:dyDescent="0.2">
      <c r="A175" s="1944" t="s">
        <v>5</v>
      </c>
      <c r="B175" s="1945" t="s">
        <v>2056</v>
      </c>
      <c r="C175" s="1946">
        <v>3100</v>
      </c>
      <c r="D175" s="1947" t="s">
        <v>2059</v>
      </c>
      <c r="E175" s="907"/>
      <c r="F175" s="1931">
        <v>70865</v>
      </c>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556184</v>
      </c>
    </row>
    <row r="179" spans="1:7" ht="12" customHeight="1" x14ac:dyDescent="0.2">
      <c r="A179" s="1792"/>
      <c r="B179" s="1806"/>
      <c r="C179" s="1807"/>
      <c r="D179" s="1808" t="s">
        <v>2014</v>
      </c>
      <c r="E179" s="1809"/>
      <c r="F179" s="1811">
        <f>'PCTC-OEPP 27-28'!F77-F178</f>
        <v>1444003</v>
      </c>
    </row>
    <row r="180" spans="1:7" ht="12" customHeight="1" x14ac:dyDescent="0.2">
      <c r="A180" s="1792"/>
      <c r="B180" s="1806"/>
      <c r="C180" s="1807"/>
      <c r="D180" s="1808" t="s">
        <v>1924</v>
      </c>
      <c r="E180" s="1809"/>
      <c r="F180" s="1811">
        <f>'Cap Outlay Deprec 26'!I18</f>
        <v>150537</v>
      </c>
    </row>
    <row r="181" spans="1:7" ht="12" customHeight="1" x14ac:dyDescent="0.2">
      <c r="A181" s="1792"/>
      <c r="B181" s="1806"/>
      <c r="C181" s="1807"/>
      <c r="D181" s="1808" t="s">
        <v>2015</v>
      </c>
      <c r="E181" s="1809"/>
      <c r="F181" s="1811">
        <f>F179+F180</f>
        <v>1594540</v>
      </c>
    </row>
    <row r="182" spans="1:7" ht="12" customHeight="1" x14ac:dyDescent="0.2">
      <c r="A182" s="1792"/>
      <c r="B182" s="1812"/>
      <c r="C182" s="1807"/>
      <c r="D182" s="1808" t="str">
        <f>D78</f>
        <v>9 Month ADA from District Average Daily Attendance/Prior General State Aid Inquiry 2017-2018</v>
      </c>
      <c r="E182" s="1809"/>
      <c r="F182" s="1813">
        <f>'PCTC-OEPP 27-28'!F78</f>
        <v>195.89</v>
      </c>
      <c r="G182" s="931"/>
    </row>
    <row r="183" spans="1:7" ht="12" customHeight="1" thickBot="1" x14ac:dyDescent="0.25">
      <c r="A183" s="1792"/>
      <c r="B183" s="1812"/>
      <c r="C183" s="1807"/>
      <c r="D183" s="1808" t="s">
        <v>2016</v>
      </c>
      <c r="E183" s="1809" t="s">
        <v>1626</v>
      </c>
      <c r="F183" s="1814">
        <f>F181/F182</f>
        <v>8139.9765174332542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E30" sqref="E30"/>
      <selection pane="bottomLeft" activeCell="A31" sqref="A3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2094</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30" sqref="E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4" t="s">
        <v>1944</v>
      </c>
      <c r="B11" s="2305"/>
      <c r="C11" s="2305"/>
      <c r="D11" s="2306"/>
      <c r="E11" s="978">
        <v>8920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1094568</v>
      </c>
      <c r="F19" s="1822"/>
      <c r="G19" s="1824">
        <f>'Expenditures 15-22'!K33-SUM('Expenditures 15-22'!G33,'Expenditures 15-22'!I33)+'Expenditures 15-22'!D229</f>
        <v>1094568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161847</v>
      </c>
      <c r="F21" s="1825"/>
      <c r="G21" s="1828">
        <f>'Expenditures 15-22'!K42-SUM('Expenditures 15-22'!G42,'Expenditures 15-22'!I42)+'Expenditures 15-22'!K120-SUM('Expenditures 15-22'!G120,'Expenditures 15-22'!I120)+'Expenditures 15-22'!K180-SUM('Expenditures 15-22'!G180,'Expenditures 15-22'!I180)+'Expenditures 15-22'!D238</f>
        <v>161847</v>
      </c>
      <c r="H21" s="988"/>
      <c r="I21" s="162"/>
    </row>
    <row r="22" spans="1:9" s="669" customFormat="1" ht="12" customHeight="1" x14ac:dyDescent="0.2">
      <c r="A22" s="995" t="s">
        <v>585</v>
      </c>
      <c r="B22" s="996"/>
      <c r="C22" s="994">
        <v>2200</v>
      </c>
      <c r="D22" s="1825"/>
      <c r="E22" s="1827">
        <f>'Expenditures 15-22'!K47-SUM('Expenditures 15-22'!G47,'Expenditures 15-22'!I47)+'Expenditures 15-22'!D243</f>
        <v>14593</v>
      </c>
      <c r="F22" s="1825"/>
      <c r="G22" s="1828">
        <f>'Expenditures 15-22'!K47-SUM('Expenditures 15-22'!G47,'Expenditures 15-22'!I47)+'Expenditures 15-22'!D243</f>
        <v>14593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169260</v>
      </c>
      <c r="F23" s="1825"/>
      <c r="G23" s="1827">
        <f>'Expenditures 15-22'!K53-SUM('Expenditures 15-22'!G53,'Expenditures 15-22'!I53)+'Expenditures 15-22'!D257+'Expenditures 15-22'!K330-SUM('Expenditures 15-22'!G330,'Expenditures 15-22'!I330)</f>
        <v>169260</v>
      </c>
      <c r="H23" s="988"/>
      <c r="I23" s="162"/>
    </row>
    <row r="24" spans="1:9" s="669" customFormat="1" ht="12" customHeight="1" x14ac:dyDescent="0.2">
      <c r="A24" s="995" t="s">
        <v>587</v>
      </c>
      <c r="B24" s="996"/>
      <c r="C24" s="994">
        <v>2400</v>
      </c>
      <c r="D24" s="1825"/>
      <c r="E24" s="1827">
        <f>'Expenditures 15-22'!K57-SUM('Expenditures 15-22'!G57,'Expenditures 15-22'!I57)+'Expenditures 15-22'!D261</f>
        <v>76015</v>
      </c>
      <c r="F24" s="1825"/>
      <c r="G24" s="1828">
        <f>'Expenditures 15-22'!K57-SUM('Expenditures 15-22'!G57,'Expenditures 15-22'!I57)+'Expenditures 15-22'!D261</f>
        <v>76015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95575</v>
      </c>
      <c r="E27" s="1827">
        <f>E8</f>
        <v>0</v>
      </c>
      <c r="F27" s="1827">
        <f>'Expenditures 15-22'!K60-SUM('Expenditures 15-22'!G60,'Expenditures 15-22'!I60)+'Expenditures 15-22'!D264-E8</f>
        <v>95575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173465</v>
      </c>
      <c r="F28" s="1829">
        <f>'Expenditures 15-22'!K61-SUM('Expenditures 15-22'!G61,'Expenditures 15-22'!I61)+'Expenditures 15-22'!K124-SUM('Expenditures 15-22'!G124,'Expenditures 15-22'!I124)+'Expenditures 15-22'!D266-E9</f>
        <v>173465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135297</v>
      </c>
      <c r="F29" s="1825"/>
      <c r="G29" s="1828">
        <f>'Expenditures 15-22'!K62-SUM('Expenditures 15-22'!G62,'Expenditures 15-22'!I62)+'Expenditures 15-22'!K125-SUM('Expenditures 15-22'!G125,'Expenditures 15-22'!I125)+'Expenditures 15-22'!K182-SUM('Expenditures 15-22'!G182,'Expenditures 15-22'!I182)+'Expenditures 15-22'!D267</f>
        <v>135297</v>
      </c>
      <c r="H29" s="986"/>
    </row>
    <row r="30" spans="1:9" ht="12" customHeight="1" x14ac:dyDescent="0.2">
      <c r="A30" s="995" t="s">
        <v>102</v>
      </c>
      <c r="B30" s="998"/>
      <c r="C30" s="994">
        <v>2560</v>
      </c>
      <c r="D30" s="1825"/>
      <c r="E30" s="1827">
        <f>'Expenditures 15-22'!K63-SUM('Expenditures 15-22'!G63,'Expenditures 15-22'!I63)+'Expenditures 15-22'!D268-E10</f>
        <v>105230</v>
      </c>
      <c r="F30" s="1825"/>
      <c r="G30" s="1827">
        <f>'Expenditures 15-22'!K63-SUM('Expenditures 15-22'!G63,'Expenditures 15-22'!I63)+'Expenditures 15-22'!D268-E10</f>
        <v>105230</v>
      </c>
    </row>
    <row r="31" spans="1:9" ht="12" customHeight="1" x14ac:dyDescent="0.2">
      <c r="A31" s="995" t="s">
        <v>103</v>
      </c>
      <c r="B31" s="998"/>
      <c r="C31" s="994">
        <v>2570</v>
      </c>
      <c r="D31" s="1827">
        <f>'Expenditures 15-22'!K64-SUM('Expenditures 15-22'!G64,'Expenditures 15-22'!I64)+'Expenditures 15-22'!D269-E12</f>
        <v>49658</v>
      </c>
      <c r="E31" s="1827">
        <f>E12</f>
        <v>0</v>
      </c>
      <c r="F31" s="1827">
        <f>'Expenditures 15-22'!K64-SUM('Expenditures 15-22'!G64,'Expenditures 15-22'!I64)+'Expenditures 15-22'!D269-E12</f>
        <v>49658</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145233</v>
      </c>
      <c r="E41" s="1829">
        <f>SUM(E19:E40)</f>
        <v>1930275</v>
      </c>
      <c r="F41" s="1829">
        <f>SUM(F19:F39)</f>
        <v>318698</v>
      </c>
      <c r="G41" s="1829">
        <f>SUM(G19:G40)</f>
        <v>1756810</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145233</v>
      </c>
      <c r="F43" s="1830" t="s">
        <v>495</v>
      </c>
      <c r="G43" s="1831">
        <f>F41</f>
        <v>318698</v>
      </c>
    </row>
    <row r="44" spans="1:7" ht="12" customHeight="1" x14ac:dyDescent="0.2">
      <c r="A44" s="988"/>
      <c r="B44" s="162"/>
      <c r="C44" s="1002"/>
      <c r="D44" s="1830" t="s">
        <v>494</v>
      </c>
      <c r="E44" s="1831">
        <f>E41</f>
        <v>1930275</v>
      </c>
      <c r="F44" s="1830" t="s">
        <v>494</v>
      </c>
      <c r="G44" s="1831">
        <f>G41</f>
        <v>1756810</v>
      </c>
    </row>
    <row r="45" spans="1:7" ht="12" customHeight="1" x14ac:dyDescent="0.2">
      <c r="A45" s="988"/>
      <c r="B45" s="162"/>
      <c r="C45" s="162"/>
      <c r="D45" s="1832" t="s">
        <v>1063</v>
      </c>
      <c r="E45" s="1833">
        <f>(E43/E44)</f>
        <v>7.5239538407739837E-2</v>
      </c>
      <c r="F45" s="1832" t="s">
        <v>1063</v>
      </c>
      <c r="G45" s="1833">
        <f>(G43/G44)</f>
        <v>0.18140720965841498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E30" sqref="E30"/>
      <selection pane="bottomLeft" activeCell="E30" sqref="E3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1" t="s">
        <v>1446</v>
      </c>
      <c r="B1" s="2321"/>
      <c r="C1" s="2321"/>
      <c r="D1" s="2321"/>
      <c r="E1" s="2321"/>
      <c r="F1" s="232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2" t="s">
        <v>1627</v>
      </c>
      <c r="B5" s="2323"/>
      <c r="C5" s="2324"/>
      <c r="D5" s="2324"/>
      <c r="E5" s="2324"/>
      <c r="F5" s="2324"/>
    </row>
    <row r="6" spans="1:10" ht="12" customHeight="1" x14ac:dyDescent="0.25">
      <c r="A6" s="1875"/>
      <c r="B6" s="1876"/>
      <c r="C6" s="2325" t="str">
        <f>COVER!A17</f>
        <v>New Simpson Hill School District #32</v>
      </c>
      <c r="D6" s="2325"/>
      <c r="E6" s="2325"/>
      <c r="F6" s="1877"/>
    </row>
    <row r="7" spans="1:10" ht="11.25" customHeight="1" thickBot="1" x14ac:dyDescent="0.3">
      <c r="A7" s="1875"/>
      <c r="B7" s="1876"/>
      <c r="C7" s="2326" t="str">
        <f>COVER!A13</f>
        <v>21-044-0320-03</v>
      </c>
      <c r="D7" s="2326"/>
      <c r="E7" s="232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t="s">
        <v>2077</v>
      </c>
      <c r="F25" s="1892" t="s">
        <v>2095</v>
      </c>
      <c r="H25" s="1903">
        <f t="shared" si="0"/>
        <v>5</v>
      </c>
      <c r="I25" s="1903">
        <f t="shared" si="1"/>
        <v>5</v>
      </c>
      <c r="J25" s="1903">
        <f t="shared" si="2"/>
        <v>5</v>
      </c>
    </row>
    <row r="26" spans="1:12" ht="12" customHeight="1" x14ac:dyDescent="0.2">
      <c r="A26" s="1888" t="s">
        <v>1615</v>
      </c>
      <c r="B26" s="1889"/>
      <c r="C26" s="1890" t="s">
        <v>2077</v>
      </c>
      <c r="D26" s="1890" t="s">
        <v>2077</v>
      </c>
      <c r="E26" s="1893" t="s">
        <v>2077</v>
      </c>
      <c r="F26" s="1892" t="s">
        <v>2096</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8"/>
      <c r="B39" s="1898"/>
      <c r="C39" s="1898"/>
      <c r="D39" s="1898"/>
      <c r="E39" s="1898"/>
      <c r="F39" s="1898"/>
    </row>
    <row r="40" spans="1:11" s="1895" customFormat="1" ht="12" customHeight="1" x14ac:dyDescent="0.25">
      <c r="A40" s="1899" t="s">
        <v>1458</v>
      </c>
      <c r="B40" s="1900"/>
      <c r="C40" s="2316"/>
      <c r="D40" s="2316"/>
      <c r="E40" s="2316"/>
      <c r="F40" s="2317"/>
      <c r="H40" s="1904"/>
      <c r="I40" s="1904"/>
      <c r="J40" s="1904"/>
      <c r="K40" s="1904"/>
    </row>
    <row r="41" spans="1:11" s="1895" customFormat="1" ht="12" customHeight="1" x14ac:dyDescent="0.25">
      <c r="A41" s="2318"/>
      <c r="B41" s="2319"/>
      <c r="C41" s="2319"/>
      <c r="D41" s="2319"/>
      <c r="E41" s="2319"/>
      <c r="F41" s="2320"/>
      <c r="H41" s="1904"/>
      <c r="I41" s="1904"/>
      <c r="J41" s="1904"/>
      <c r="K41" s="1904"/>
    </row>
    <row r="42" spans="1:11" s="1895" customFormat="1" ht="12" customHeight="1" x14ac:dyDescent="0.25">
      <c r="A42" s="2318"/>
      <c r="B42" s="2319"/>
      <c r="C42" s="2319"/>
      <c r="D42" s="2319"/>
      <c r="E42" s="2319"/>
      <c r="F42" s="2320"/>
      <c r="H42" s="1904"/>
      <c r="I42" s="1904"/>
      <c r="J42" s="1904"/>
      <c r="K42" s="1904"/>
    </row>
    <row r="43" spans="1:11" s="1895" customFormat="1" ht="15" x14ac:dyDescent="0.25">
      <c r="A43" s="2307"/>
      <c r="B43" s="2308"/>
      <c r="C43" s="2308"/>
      <c r="D43" s="2308"/>
      <c r="E43" s="2308"/>
      <c r="F43" s="2309"/>
      <c r="H43" s="1904"/>
      <c r="I43" s="1904"/>
      <c r="J43" s="1904"/>
      <c r="K43" s="1904"/>
    </row>
    <row r="44" spans="1:11" s="1895" customFormat="1" ht="12" hidden="1" customHeight="1" x14ac:dyDescent="0.25">
      <c r="A44" s="2307"/>
      <c r="B44" s="2308"/>
      <c r="C44" s="2308"/>
      <c r="D44" s="2308"/>
      <c r="E44" s="2308"/>
      <c r="F44" s="230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30" sqref="E3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New Simpson Hill School District #32</v>
      </c>
      <c r="J6" s="2335"/>
      <c r="Q6" s="1686"/>
    </row>
    <row r="7" spans="1:17" x14ac:dyDescent="0.2">
      <c r="A7" s="2336" t="s">
        <v>924</v>
      </c>
      <c r="B7" s="2337"/>
      <c r="C7" s="2337"/>
      <c r="D7" s="2337"/>
      <c r="E7" s="2338"/>
      <c r="F7" s="1018"/>
      <c r="G7" s="1010"/>
      <c r="H7" s="1017" t="s">
        <v>390</v>
      </c>
      <c r="I7" s="2339" t="str">
        <f>COVER!A13</f>
        <v>21-044-0320-03</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97901</v>
      </c>
      <c r="F12" s="1040"/>
      <c r="G12" s="1834">
        <f t="shared" ref="G12:G18" si="0">SUM(E12:F12)</f>
        <v>97901</v>
      </c>
      <c r="H12" s="1041">
        <v>97900</v>
      </c>
      <c r="I12" s="1040"/>
      <c r="J12" s="1834">
        <f t="shared" ref="J12:J18" si="1">SUM(H12:I12)</f>
        <v>97900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44099</v>
      </c>
      <c r="F16" s="1040"/>
      <c r="G16" s="1834">
        <f t="shared" si="0"/>
        <v>44099</v>
      </c>
      <c r="H16" s="1041">
        <v>44099</v>
      </c>
      <c r="I16" s="1040"/>
      <c r="J16" s="1834">
        <f t="shared" si="1"/>
        <v>44099</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142000</v>
      </c>
      <c r="F19" s="1836">
        <f t="shared" si="2"/>
        <v>0</v>
      </c>
      <c r="G19" s="1836">
        <f t="shared" si="2"/>
        <v>142000</v>
      </c>
      <c r="H19" s="1836">
        <f t="shared" si="2"/>
        <v>141999</v>
      </c>
      <c r="I19" s="1836">
        <f t="shared" si="2"/>
        <v>0</v>
      </c>
      <c r="J19" s="1836">
        <f t="shared" si="2"/>
        <v>141999</v>
      </c>
    </row>
    <row r="20" spans="1:10" ht="13.5" thickTop="1" x14ac:dyDescent="0.2">
      <c r="A20" s="1036">
        <v>9</v>
      </c>
      <c r="B20" s="2346" t="s">
        <v>1703</v>
      </c>
      <c r="C20" s="2346"/>
      <c r="D20" s="2347"/>
      <c r="E20" s="1047"/>
      <c r="F20" s="1047"/>
      <c r="G20" s="1047"/>
      <c r="H20" s="1047"/>
      <c r="I20" s="1047"/>
      <c r="J20" s="1837">
        <f>IF(AND(G19&gt;0,J19&gt;0),(((J19-G19)/G19)),"Enter Budget Data")</f>
        <v>-7.0422535211267608E-6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E30" sqref="E3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c r="B6" s="329" t="s">
        <v>2098</v>
      </c>
    </row>
    <row r="7" spans="1:2" x14ac:dyDescent="0.2">
      <c r="A7" s="1069">
        <v>3</v>
      </c>
      <c r="B7" s="329" t="s">
        <v>2099</v>
      </c>
    </row>
    <row r="8" spans="1:2" x14ac:dyDescent="0.2">
      <c r="A8" s="1069">
        <v>4</v>
      </c>
      <c r="B8" s="329" t="s">
        <v>2100</v>
      </c>
    </row>
    <row r="9" spans="1:2" x14ac:dyDescent="0.2">
      <c r="A9" s="1070">
        <v>5</v>
      </c>
      <c r="B9" s="329" t="s">
        <v>2101</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New Simpson Hill School District #32</v>
      </c>
    </row>
    <row r="65" spans="2:2" x14ac:dyDescent="0.2">
      <c r="B65" s="1071" t="str">
        <f>COVER!A13</f>
        <v>21-044-0320-03</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T25" sqref="T25:AA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&amp;RB-1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30" sqref="E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11"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11"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E30" sqref="E3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1864446</v>
      </c>
      <c r="C8" s="1838">
        <f>'Acct Summary 7-8'!D8</f>
        <v>53793</v>
      </c>
      <c r="D8" s="1838">
        <f>'Acct Summary 7-8'!F8</f>
        <v>195318</v>
      </c>
      <c r="E8" s="1838">
        <f>'Acct Summary 7-8'!I8</f>
        <v>9991</v>
      </c>
      <c r="F8" s="1838">
        <f>SUM(B8:E8)</f>
        <v>2123548</v>
      </c>
    </row>
    <row r="9" spans="1:8" s="1080" customFormat="1" ht="14.25" customHeight="1" thickBot="1" x14ac:dyDescent="0.25">
      <c r="A9" s="1079" t="s">
        <v>1436</v>
      </c>
      <c r="B9" s="1839">
        <f>'Acct Summary 7-8'!C17</f>
        <v>1809539</v>
      </c>
      <c r="C9" s="1839">
        <f>'Acct Summary 7-8'!D17</f>
        <v>48774</v>
      </c>
      <c r="D9" s="1839">
        <f>'Acct Summary 7-8'!F17</f>
        <v>193592</v>
      </c>
      <c r="E9" s="1838"/>
      <c r="F9" s="1838">
        <f>SUM(B9:E9)</f>
        <v>2051905</v>
      </c>
    </row>
    <row r="10" spans="1:8" s="1080" customFormat="1" ht="14.25" thickTop="1" thickBot="1" x14ac:dyDescent="0.25">
      <c r="A10" s="1081" t="s">
        <v>1437</v>
      </c>
      <c r="B10" s="1840">
        <f>(B8-B9)</f>
        <v>54907</v>
      </c>
      <c r="C10" s="1840">
        <f>(C8-C9)</f>
        <v>5019</v>
      </c>
      <c r="D10" s="1840">
        <f>(D8-D9)</f>
        <v>1726</v>
      </c>
      <c r="E10" s="1839">
        <f>(E8-E9)</f>
        <v>9991</v>
      </c>
      <c r="F10" s="1841">
        <f>SUM(F8-F9)</f>
        <v>71643</v>
      </c>
    </row>
    <row r="11" spans="1:8" s="1080" customFormat="1" ht="14.25" thickTop="1" thickBot="1" x14ac:dyDescent="0.25">
      <c r="A11" s="1082" t="s">
        <v>1785</v>
      </c>
      <c r="B11" s="1842">
        <f>'Acct Summary 7-8'!C81</f>
        <v>163217</v>
      </c>
      <c r="C11" s="1842">
        <f>'Acct Summary 7-8'!D81</f>
        <v>205881</v>
      </c>
      <c r="D11" s="1842">
        <f>'Acct Summary 7-8'!F81</f>
        <v>233423</v>
      </c>
      <c r="E11" s="1842">
        <f>'Acct Summary 7-8'!I81</f>
        <v>238841</v>
      </c>
      <c r="F11" s="1843">
        <f>SUM(B11:E11)</f>
        <v>841362</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C78" sqref="C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21-044-0320-03</v>
      </c>
    </row>
    <row r="3" spans="1:2" x14ac:dyDescent="0.2">
      <c r="A3" t="s">
        <v>1013</v>
      </c>
      <c r="B3" s="138" t="str">
        <f>COVER!A15</f>
        <v>Johnson</v>
      </c>
    </row>
    <row r="4" spans="1:2" x14ac:dyDescent="0.2">
      <c r="A4" t="s">
        <v>1064</v>
      </c>
      <c r="B4" s="138" t="str">
        <f>COVER!A17</f>
        <v>New Simpson Hill School District #32</v>
      </c>
    </row>
    <row r="5" spans="1:2" x14ac:dyDescent="0.2">
      <c r="A5" t="s">
        <v>728</v>
      </c>
      <c r="B5" s="138" t="str">
        <f>COVER!A38</f>
        <v>Joe Nighswander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065-022629</v>
      </c>
    </row>
    <row r="16" spans="1:2" x14ac:dyDescent="0.2">
      <c r="A16" t="s">
        <v>442</v>
      </c>
      <c r="B16" s="138" t="str">
        <f>COVER!T13</f>
        <v>Cindy A. Bobell, CPA</v>
      </c>
    </row>
    <row r="17" spans="1:2" x14ac:dyDescent="0.2">
      <c r="A17" t="s">
        <v>939</v>
      </c>
      <c r="B17" s="138" t="str">
        <f>COVER!T15</f>
        <v>Cindy A. Bobell, CPA</v>
      </c>
    </row>
    <row r="18" spans="1:2" x14ac:dyDescent="0.2">
      <c r="A18" t="s">
        <v>1212</v>
      </c>
      <c r="B18" s="138" t="str">
        <f>COVER!T17</f>
        <v>10653 Khoury League Road</v>
      </c>
    </row>
    <row r="19" spans="1:2" x14ac:dyDescent="0.2">
      <c r="A19" t="s">
        <v>941</v>
      </c>
      <c r="B19" s="138">
        <f>COVER!T25</f>
        <v>0</v>
      </c>
    </row>
    <row r="20" spans="1:2" x14ac:dyDescent="0.2">
      <c r="A20" t="s">
        <v>942</v>
      </c>
      <c r="B20" s="138" t="str">
        <f>COVER!T19</f>
        <v>Marion</v>
      </c>
    </row>
    <row r="21" spans="1:2" x14ac:dyDescent="0.2">
      <c r="A21" t="s">
        <v>500</v>
      </c>
      <c r="B21" s="138" t="str">
        <f>COVER!X19</f>
        <v>IL</v>
      </c>
    </row>
    <row r="22" spans="1:2" x14ac:dyDescent="0.2">
      <c r="A22" t="s">
        <v>943</v>
      </c>
      <c r="B22" s="138">
        <f>COVER!Z19</f>
        <v>62959</v>
      </c>
    </row>
    <row r="23" spans="1:2" x14ac:dyDescent="0.2">
      <c r="A23" t="s">
        <v>1214</v>
      </c>
      <c r="B23" s="138" t="str">
        <f>COVER!T21</f>
        <v>618-997-9711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163217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163217</v>
      </c>
      <c r="D92" s="2" t="str">
        <f t="shared" si="0"/>
        <v>Error?</v>
      </c>
    </row>
    <row r="93" spans="1:4" x14ac:dyDescent="0.2">
      <c r="A93" s="5">
        <v>32</v>
      </c>
      <c r="B93" s="138">
        <f>'Assets-Liab 5-6'!C41</f>
        <v>163217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205881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205881</v>
      </c>
      <c r="D123" s="2" t="str">
        <f t="shared" si="0"/>
        <v>Error?</v>
      </c>
    </row>
    <row r="124" spans="1:4" x14ac:dyDescent="0.2">
      <c r="A124" s="5">
        <v>63</v>
      </c>
      <c r="B124" s="138">
        <f>'Assets-Liab 5-6'!D41</f>
        <v>205881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28173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28173</v>
      </c>
      <c r="D140" s="2" t="str">
        <f t="shared" si="1"/>
        <v>Error?</v>
      </c>
    </row>
    <row r="141" spans="1:4" x14ac:dyDescent="0.2">
      <c r="A141" s="5">
        <v>80</v>
      </c>
      <c r="B141" s="138">
        <f>'Assets-Liab 5-6'!E41</f>
        <v>28173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233423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233423</v>
      </c>
      <c r="D170" s="2" t="str">
        <f t="shared" si="1"/>
        <v>Error?</v>
      </c>
    </row>
    <row r="171" spans="1:4" x14ac:dyDescent="0.2">
      <c r="A171" s="5">
        <v>110</v>
      </c>
      <c r="B171" s="138">
        <f>'Assets-Liab 5-6'!F41</f>
        <v>233423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90294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90294</v>
      </c>
      <c r="D189" s="2" t="str">
        <f t="shared" si="1"/>
        <v>Error?</v>
      </c>
    </row>
    <row r="190" spans="1:4" x14ac:dyDescent="0.2">
      <c r="A190" s="5">
        <v>129</v>
      </c>
      <c r="B190" s="138">
        <f>'Assets-Liab 5-6'!G41</f>
        <v>90294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7000</v>
      </c>
      <c r="D273" s="2" t="str">
        <f t="shared" si="3"/>
        <v>Error?</v>
      </c>
    </row>
    <row r="274" spans="1:4" x14ac:dyDescent="0.2">
      <c r="A274" s="5">
        <v>213</v>
      </c>
      <c r="B274" s="138">
        <f>'Assets-Liab 5-6'!M17</f>
        <v>4196764</v>
      </c>
      <c r="D274" s="2" t="str">
        <f t="shared" si="3"/>
        <v>Error?</v>
      </c>
    </row>
    <row r="275" spans="1:4" x14ac:dyDescent="0.2">
      <c r="A275" s="5">
        <v>214</v>
      </c>
      <c r="B275" s="138">
        <f>'Assets-Liab 5-6'!M18</f>
        <v>0</v>
      </c>
      <c r="D275" s="2" t="str">
        <f t="shared" si="3"/>
        <v>Error?</v>
      </c>
    </row>
    <row r="276" spans="1:4" x14ac:dyDescent="0.2">
      <c r="A276" s="5">
        <v>215</v>
      </c>
      <c r="B276" s="138">
        <f>'Assets-Liab 5-6'!M19</f>
        <v>1122894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5326658</v>
      </c>
      <c r="C279" s="2" t="s">
        <v>594</v>
      </c>
      <c r="D279" s="2" t="str">
        <f t="shared" si="3"/>
        <v>Error?</v>
      </c>
    </row>
    <row r="280" spans="1:4" x14ac:dyDescent="0.2">
      <c r="A280" s="5">
        <v>219</v>
      </c>
      <c r="B280" s="138">
        <f>'Assets-Liab 5-6'!M40</f>
        <v>5326658</v>
      </c>
      <c r="D280" s="2" t="str">
        <f t="shared" si="3"/>
        <v>Error?</v>
      </c>
    </row>
    <row r="281" spans="1:4" x14ac:dyDescent="0.2">
      <c r="A281" s="5">
        <v>220</v>
      </c>
      <c r="B281" s="138">
        <f>'Assets-Liab 5-6'!M41</f>
        <v>5326658</v>
      </c>
      <c r="C281" s="2" t="s">
        <v>594</v>
      </c>
      <c r="D281" s="2" t="str">
        <f t="shared" si="3"/>
        <v>Error?</v>
      </c>
    </row>
    <row r="282" spans="1:4" x14ac:dyDescent="0.2">
      <c r="A282" s="5">
        <v>221</v>
      </c>
      <c r="B282" s="138">
        <f>'Assets-Liab 5-6'!N21</f>
        <v>28173</v>
      </c>
      <c r="D282" s="2" t="str">
        <f t="shared" si="3"/>
        <v>Error?</v>
      </c>
    </row>
    <row r="283" spans="1:4" x14ac:dyDescent="0.2">
      <c r="A283" s="5">
        <v>222</v>
      </c>
      <c r="B283" s="138">
        <f>'Assets-Liab 5-6'!N22</f>
        <v>226827</v>
      </c>
      <c r="D283" s="2" t="str">
        <f t="shared" si="3"/>
        <v>Error?</v>
      </c>
    </row>
    <row r="284" spans="1:4" x14ac:dyDescent="0.2">
      <c r="A284" s="5">
        <v>223</v>
      </c>
      <c r="B284" s="138">
        <f>'Assets-Liab 5-6'!N23</f>
        <v>255000</v>
      </c>
      <c r="C284" s="2" t="s">
        <v>594</v>
      </c>
      <c r="D284" s="2" t="str">
        <f t="shared" si="3"/>
        <v>Error?</v>
      </c>
    </row>
    <row r="285" spans="1:4" x14ac:dyDescent="0.2">
      <c r="A285" s="5">
        <v>224</v>
      </c>
      <c r="B285" s="138">
        <f>'Assets-Liab 5-6'!N36</f>
        <v>255000</v>
      </c>
      <c r="D285" s="2" t="str">
        <f t="shared" si="3"/>
        <v>Error?</v>
      </c>
    </row>
    <row r="286" spans="1:4" x14ac:dyDescent="0.2">
      <c r="A286" s="10">
        <v>225</v>
      </c>
      <c r="D286" s="2" t="str">
        <f t="shared" si="3"/>
        <v>OK</v>
      </c>
    </row>
    <row r="287" spans="1:4" x14ac:dyDescent="0.2">
      <c r="A287" s="5">
        <v>226</v>
      </c>
      <c r="B287" s="138">
        <f>'Assets-Liab 5-6'!N37</f>
        <v>255000</v>
      </c>
      <c r="C287" s="2" t="s">
        <v>594</v>
      </c>
      <c r="D287" s="2" t="str">
        <f t="shared" si="3"/>
        <v>Error?</v>
      </c>
    </row>
    <row r="288" spans="1:4" x14ac:dyDescent="0.2">
      <c r="A288" s="5">
        <v>227</v>
      </c>
      <c r="B288" s="138">
        <f>'Assets-Liab 5-6'!N41</f>
        <v>255000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527143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65480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783635</v>
      </c>
      <c r="C720" s="2" t="s">
        <v>594</v>
      </c>
      <c r="D720" s="2" t="str">
        <f t="shared" si="10"/>
        <v>Error?</v>
      </c>
    </row>
    <row r="721" spans="1:4" x14ac:dyDescent="0.2">
      <c r="A721" s="5">
        <v>660</v>
      </c>
      <c r="B721" s="138">
        <f>'Expenditures 15-22'!C36</f>
        <v>45025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26818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55525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127368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77997</v>
      </c>
      <c r="D733" s="2" t="str">
        <f t="shared" si="10"/>
        <v>Error?</v>
      </c>
    </row>
    <row r="734" spans="1:4" x14ac:dyDescent="0.2">
      <c r="A734" s="5">
        <v>673</v>
      </c>
      <c r="B734" s="138">
        <f>'Expenditures 15-22'!C53</f>
        <v>77997</v>
      </c>
      <c r="C734" s="2" t="s">
        <v>594</v>
      </c>
      <c r="D734" s="2" t="str">
        <f t="shared" si="10"/>
        <v>Error?</v>
      </c>
    </row>
    <row r="735" spans="1:4" x14ac:dyDescent="0.2">
      <c r="A735" s="5">
        <v>674</v>
      </c>
      <c r="B735" s="138">
        <f>'Expenditures 15-22'!C55</f>
        <v>60175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60175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67598</v>
      </c>
      <c r="D739" s="2" t="str">
        <f t="shared" si="10"/>
        <v>Error?</v>
      </c>
    </row>
    <row r="740" spans="1:4" x14ac:dyDescent="0.2">
      <c r="A740" s="5">
        <v>679</v>
      </c>
      <c r="B740" s="138">
        <f>'Expenditures 15-22'!C61</f>
        <v>44949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44765</v>
      </c>
      <c r="D742" s="2" t="str">
        <f t="shared" si="10"/>
        <v>Error?</v>
      </c>
    </row>
    <row r="743" spans="1:4" x14ac:dyDescent="0.2">
      <c r="A743" s="5">
        <v>682</v>
      </c>
      <c r="B743" s="138">
        <f>'Expenditures 15-22'!C64</f>
        <v>25525</v>
      </c>
      <c r="D743" s="2" t="str">
        <f t="shared" si="10"/>
        <v>Error?</v>
      </c>
    </row>
    <row r="744" spans="1:4" x14ac:dyDescent="0.2">
      <c r="A744" s="10">
        <v>683</v>
      </c>
      <c r="D744" s="2" t="str">
        <f t="shared" si="10"/>
        <v>OK</v>
      </c>
    </row>
    <row r="745" spans="1:4" x14ac:dyDescent="0.2">
      <c r="A745" s="5">
        <v>684</v>
      </c>
      <c r="B745" s="138">
        <f>'Expenditures 15-22'!C65</f>
        <v>182837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448377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1232012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112417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14728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189433</v>
      </c>
      <c r="C778" s="2" t="s">
        <v>594</v>
      </c>
      <c r="D778" s="2" t="str">
        <f t="shared" si="11"/>
        <v>Error?</v>
      </c>
    </row>
    <row r="779" spans="1:4" x14ac:dyDescent="0.2">
      <c r="A779" s="5">
        <v>718</v>
      </c>
      <c r="B779" s="138">
        <f>'Expenditures 15-22'!D36</f>
        <v>12709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14043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26752</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16927</v>
      </c>
      <c r="D791" s="2" t="str">
        <f t="shared" si="11"/>
        <v>Error?</v>
      </c>
    </row>
    <row r="792" spans="1:4" x14ac:dyDescent="0.2">
      <c r="A792" s="5">
        <v>731</v>
      </c>
      <c r="B792" s="138">
        <f>'Expenditures 15-22'!D53</f>
        <v>16927</v>
      </c>
      <c r="C792" s="2" t="s">
        <v>594</v>
      </c>
      <c r="D792" s="2" t="str">
        <f t="shared" si="11"/>
        <v>Error?</v>
      </c>
    </row>
    <row r="793" spans="1:4" x14ac:dyDescent="0.2">
      <c r="A793" s="5">
        <v>732</v>
      </c>
      <c r="B793" s="138">
        <f>'Expenditures 15-22'!D55</f>
        <v>14103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14103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9971</v>
      </c>
      <c r="D797" s="2" t="str">
        <f t="shared" si="11"/>
        <v>Error?</v>
      </c>
    </row>
    <row r="798" spans="1:4" x14ac:dyDescent="0.2">
      <c r="A798" s="5">
        <v>737</v>
      </c>
      <c r="B798" s="138">
        <f>'Expenditures 15-22'!D61</f>
        <v>9708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13899</v>
      </c>
      <c r="D800" s="2" t="str">
        <f t="shared" si="11"/>
        <v>Error?</v>
      </c>
    </row>
    <row r="801" spans="1:4" x14ac:dyDescent="0.2">
      <c r="A801" s="5">
        <v>740</v>
      </c>
      <c r="B801" s="138">
        <f>'Expenditures 15-22'!D64</f>
        <v>6950</v>
      </c>
      <c r="D801" s="2" t="str">
        <f t="shared" si="11"/>
        <v>Error?</v>
      </c>
    </row>
    <row r="802" spans="1:4" x14ac:dyDescent="0.2">
      <c r="A802" s="10">
        <v>741</v>
      </c>
      <c r="D802" s="2" t="str">
        <f t="shared" si="11"/>
        <v>OK</v>
      </c>
    </row>
    <row r="803" spans="1:4" x14ac:dyDescent="0.2">
      <c r="A803" s="5">
        <v>742</v>
      </c>
      <c r="B803" s="138">
        <f>'Expenditures 15-22'!D65</f>
        <v>40528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98310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287743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26354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260</v>
      </c>
      <c r="C843" s="2" t="s">
        <v>594</v>
      </c>
      <c r="D843" s="2" t="str">
        <f t="shared" si="12"/>
        <v>Error?</v>
      </c>
    </row>
    <row r="844" spans="1:4" x14ac:dyDescent="0.2">
      <c r="A844" s="5">
        <v>783</v>
      </c>
      <c r="B844" s="138">
        <f>'Expenditures 15-22'!E44</f>
        <v>9793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9793</v>
      </c>
      <c r="C847" s="2" t="s">
        <v>594</v>
      </c>
      <c r="D847" s="2" t="str">
        <f t="shared" si="12"/>
        <v>Error?</v>
      </c>
    </row>
    <row r="848" spans="1:4" x14ac:dyDescent="0.2">
      <c r="A848" s="5">
        <v>787</v>
      </c>
      <c r="B848" s="138">
        <f>'Expenditures 15-22'!E49</f>
        <v>1697</v>
      </c>
      <c r="D848" s="2" t="str">
        <f t="shared" si="12"/>
        <v>Error?</v>
      </c>
    </row>
    <row r="849" spans="1:4" x14ac:dyDescent="0.2">
      <c r="A849" s="5">
        <v>788</v>
      </c>
      <c r="B849" s="138">
        <f>'Expenditures 15-22'!E50</f>
        <v>1045</v>
      </c>
      <c r="D849" s="2" t="str">
        <f t="shared" si="12"/>
        <v>Error?</v>
      </c>
    </row>
    <row r="850" spans="1:4" x14ac:dyDescent="0.2">
      <c r="A850" s="5">
        <v>789</v>
      </c>
      <c r="B850" s="138">
        <f>'Expenditures 15-22'!E53</f>
        <v>2742</v>
      </c>
      <c r="C850" s="2" t="s">
        <v>594</v>
      </c>
      <c r="D850" s="2" t="str">
        <f t="shared" si="12"/>
        <v>Error?</v>
      </c>
    </row>
    <row r="851" spans="1:4" x14ac:dyDescent="0.2">
      <c r="A851" s="5">
        <v>790</v>
      </c>
      <c r="B851" s="138">
        <f>'Expenditures 15-22'!E55</f>
        <v>584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584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3217</v>
      </c>
      <c r="D855" s="2" t="str">
        <f t="shared" si="12"/>
        <v>Error?</v>
      </c>
    </row>
    <row r="856" spans="1:4" x14ac:dyDescent="0.2">
      <c r="A856" s="5">
        <v>795</v>
      </c>
      <c r="B856" s="138">
        <f>'Expenditures 15-22'!E61</f>
        <v>4929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587</v>
      </c>
      <c r="D858" s="2" t="str">
        <f t="shared" si="12"/>
        <v>Error?</v>
      </c>
    </row>
    <row r="859" spans="1:4" x14ac:dyDescent="0.2">
      <c r="A859" s="5">
        <v>798</v>
      </c>
      <c r="B859" s="138">
        <f>'Expenditures 15-22'!E64</f>
        <v>7085</v>
      </c>
      <c r="D859" s="2" t="str">
        <f t="shared" si="12"/>
        <v>Error?</v>
      </c>
    </row>
    <row r="860" spans="1:4" x14ac:dyDescent="0.2">
      <c r="A860" s="10">
        <v>799</v>
      </c>
      <c r="D860" s="2" t="str">
        <f t="shared" si="12"/>
        <v>OK</v>
      </c>
    </row>
    <row r="861" spans="1:4" x14ac:dyDescent="0.2">
      <c r="A861" s="5">
        <v>800</v>
      </c>
      <c r="B861" s="138">
        <f>'Expenditures 15-22'!E65</f>
        <v>15818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29197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86406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3729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599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61965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166</v>
      </c>
      <c r="C901" s="2" t="s">
        <v>594</v>
      </c>
      <c r="D901" s="2" t="str">
        <f t="shared" si="13"/>
        <v>Error?</v>
      </c>
    </row>
    <row r="902" spans="1:4" x14ac:dyDescent="0.2">
      <c r="A902" s="5">
        <v>841</v>
      </c>
      <c r="B902" s="138">
        <f>'Expenditures 15-22'!F44</f>
        <v>4800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4800</v>
      </c>
      <c r="C905" s="2" t="s">
        <v>594</v>
      </c>
      <c r="D905" s="2" t="str">
        <f t="shared" si="13"/>
        <v>Error?</v>
      </c>
    </row>
    <row r="906" spans="1:4" x14ac:dyDescent="0.2">
      <c r="A906" s="5">
        <v>845</v>
      </c>
      <c r="B906" s="138">
        <f>'Expenditures 15-22'!F49</f>
        <v>3729</v>
      </c>
      <c r="D906" s="2" t="str">
        <f t="shared" si="13"/>
        <v>Error?</v>
      </c>
    </row>
    <row r="907" spans="1:4" x14ac:dyDescent="0.2">
      <c r="A907" s="5">
        <v>846</v>
      </c>
      <c r="B907" s="138">
        <f>'Expenditures 15-22'!F50</f>
        <v>1194</v>
      </c>
      <c r="D907" s="2" t="str">
        <f t="shared" si="13"/>
        <v>Error?</v>
      </c>
    </row>
    <row r="908" spans="1:4" x14ac:dyDescent="0.2">
      <c r="A908" s="5">
        <v>847</v>
      </c>
      <c r="B908" s="138">
        <f>'Expenditures 15-22'!F53</f>
        <v>4923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65</v>
      </c>
      <c r="D913" s="2" t="str">
        <f t="shared" si="13"/>
        <v>Error?</v>
      </c>
    </row>
    <row r="914" spans="1:4" x14ac:dyDescent="0.2">
      <c r="A914" s="5">
        <v>853</v>
      </c>
      <c r="B914" s="138">
        <f>'Expenditures 15-22'!F61</f>
        <v>74192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36226</v>
      </c>
      <c r="D916" s="2" t="str">
        <f t="shared" si="13"/>
        <v>Error?</v>
      </c>
    </row>
    <row r="917" spans="1:4" x14ac:dyDescent="0.2">
      <c r="A917" s="5">
        <v>856</v>
      </c>
      <c r="B917" s="138">
        <f>'Expenditures 15-22'!F64</f>
        <v>4539</v>
      </c>
      <c r="D917" s="2" t="str">
        <f t="shared" si="13"/>
        <v>Error?</v>
      </c>
    </row>
    <row r="918" spans="1:4" x14ac:dyDescent="0.2">
      <c r="A918" s="10">
        <v>857</v>
      </c>
      <c r="D918" s="2" t="str">
        <f t="shared" si="13"/>
        <v>OK</v>
      </c>
    </row>
    <row r="919" spans="1:4" x14ac:dyDescent="0.2">
      <c r="A919" s="5">
        <v>858</v>
      </c>
      <c r="B919" s="138">
        <f>'Expenditures 15-22'!F65</f>
        <v>115022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124911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186876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12598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1401</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1401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1401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13999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1405</v>
      </c>
      <c r="D1022" s="2" t="str">
        <f t="shared" si="14"/>
        <v>Error?</v>
      </c>
    </row>
    <row r="1023" spans="1:4" x14ac:dyDescent="0.2">
      <c r="A1023" s="5">
        <v>962</v>
      </c>
      <c r="B1023" s="138">
        <f>'Expenditures 15-22'!H50</f>
        <v>738</v>
      </c>
      <c r="D1023" s="2" t="str">
        <f t="shared" ref="D1023:D1086" si="15">IF(ISBLANK(B1023),"OK",IF(A1023-B1023=0,"OK","Error?"))</f>
        <v>Error?</v>
      </c>
    </row>
    <row r="1024" spans="1:4" x14ac:dyDescent="0.2">
      <c r="A1024" s="5">
        <v>963</v>
      </c>
      <c r="B1024" s="138">
        <f>'Expenditures 15-22'!H53</f>
        <v>2143</v>
      </c>
      <c r="C1024" s="2" t="s">
        <v>594</v>
      </c>
      <c r="D1024" s="2" t="str">
        <f t="shared" si="15"/>
        <v>Error?</v>
      </c>
    </row>
    <row r="1025" spans="1:4" x14ac:dyDescent="0.2">
      <c r="A1025" s="5">
        <v>964</v>
      </c>
      <c r="B1025" s="138">
        <f>'Expenditures 15-22'!H55</f>
        <v>280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280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2423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2503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647328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82152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1074065</v>
      </c>
      <c r="C1108" s="2" t="s">
        <v>594</v>
      </c>
      <c r="D1108" s="2" t="str">
        <f t="shared" si="16"/>
        <v>Error?</v>
      </c>
    </row>
    <row r="1109" spans="1:4" x14ac:dyDescent="0.2">
      <c r="A1109" s="5">
        <v>1048</v>
      </c>
      <c r="B1109" s="138">
        <f>'Expenditures 15-22'!K36</f>
        <v>57734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27244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69568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154546</v>
      </c>
      <c r="C1115" s="2" t="s">
        <v>594</v>
      </c>
      <c r="D1115" s="2" t="str">
        <f t="shared" si="16"/>
        <v>Error?</v>
      </c>
    </row>
    <row r="1116" spans="1:4" x14ac:dyDescent="0.2">
      <c r="A1116" s="5">
        <v>1055</v>
      </c>
      <c r="B1116" s="138">
        <f>'Expenditures 15-22'!K44</f>
        <v>15994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15994</v>
      </c>
      <c r="C1119" s="2" t="s">
        <v>594</v>
      </c>
      <c r="D1119" s="2" t="str">
        <f t="shared" si="16"/>
        <v>Error?</v>
      </c>
    </row>
    <row r="1120" spans="1:4" x14ac:dyDescent="0.2">
      <c r="A1120" s="5">
        <v>1059</v>
      </c>
      <c r="B1120" s="138">
        <f>'Expenditures 15-22'!K49</f>
        <v>6831</v>
      </c>
      <c r="C1120" s="2" t="s">
        <v>594</v>
      </c>
      <c r="D1120" s="2" t="str">
        <f t="shared" si="16"/>
        <v>Error?</v>
      </c>
    </row>
    <row r="1121" spans="1:4" x14ac:dyDescent="0.2">
      <c r="A1121" s="5">
        <v>1060</v>
      </c>
      <c r="B1121" s="138">
        <f>'Expenditures 15-22'!K50</f>
        <v>97901</v>
      </c>
      <c r="C1121" s="2" t="s">
        <v>594</v>
      </c>
      <c r="D1121" s="2" t="str">
        <f t="shared" si="16"/>
        <v>Error?</v>
      </c>
    </row>
    <row r="1122" spans="1:4" x14ac:dyDescent="0.2">
      <c r="A1122" s="5">
        <v>1061</v>
      </c>
      <c r="B1122" s="138">
        <f>'Expenditures 15-22'!K53</f>
        <v>104732</v>
      </c>
      <c r="C1122" s="2" t="s">
        <v>594</v>
      </c>
      <c r="D1122" s="2" t="str">
        <f t="shared" si="16"/>
        <v>Error?</v>
      </c>
    </row>
    <row r="1123" spans="1:4" x14ac:dyDescent="0.2">
      <c r="A1123" s="5">
        <v>1062</v>
      </c>
      <c r="B1123" s="138">
        <f>'Expenditures 15-22'!K55</f>
        <v>75142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75142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80851</v>
      </c>
      <c r="C1127" s="2" t="s">
        <v>594</v>
      </c>
      <c r="D1127" s="2" t="str">
        <f t="shared" si="16"/>
        <v>Error?</v>
      </c>
    </row>
    <row r="1128" spans="1:4" x14ac:dyDescent="0.2">
      <c r="A1128" s="5">
        <v>1067</v>
      </c>
      <c r="B1128" s="138">
        <f>'Expenditures 15-22'!K61</f>
        <v>133778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95477</v>
      </c>
      <c r="C1130" s="2" t="s">
        <v>594</v>
      </c>
      <c r="D1130" s="2" t="str">
        <f t="shared" si="16"/>
        <v>Error?</v>
      </c>
    </row>
    <row r="1131" spans="1:4" x14ac:dyDescent="0.2">
      <c r="A1131" s="5">
        <v>1070</v>
      </c>
      <c r="B1131" s="138">
        <f>'Expenditures 15-22'!K64</f>
        <v>44099</v>
      </c>
      <c r="C1131" s="2" t="s">
        <v>594</v>
      </c>
      <c r="D1131" s="2" t="str">
        <f t="shared" si="16"/>
        <v>Error?</v>
      </c>
    </row>
    <row r="1132" spans="1:4" x14ac:dyDescent="0.2">
      <c r="A1132" s="10">
        <v>1071</v>
      </c>
      <c r="D1132" s="2" t="str">
        <f t="shared" si="16"/>
        <v>OK</v>
      </c>
    </row>
    <row r="1133" spans="1:4" x14ac:dyDescent="0.2">
      <c r="A1133" s="5">
        <v>1072</v>
      </c>
      <c r="B1133" s="138">
        <f>'Expenditures 15-22'!K65</f>
        <v>354205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704619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30855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1809539</v>
      </c>
      <c r="C1152" s="2" t="s">
        <v>594</v>
      </c>
      <c r="D1152" s="2" t="str">
        <f t="shared" si="17"/>
        <v>Error?</v>
      </c>
    </row>
    <row r="1153" spans="1:4" x14ac:dyDescent="0.2">
      <c r="A1153" s="5">
        <v>1092</v>
      </c>
      <c r="B1153" s="138">
        <f>'Expenditures 15-22'!K115</f>
        <v>54907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15176</v>
      </c>
      <c r="D1237" s="2" t="str">
        <f t="shared" si="18"/>
        <v>Error?</v>
      </c>
    </row>
    <row r="1238" spans="1:4" x14ac:dyDescent="0.2">
      <c r="A1238" s="10">
        <v>1177</v>
      </c>
      <c r="D1238" s="2" t="str">
        <f t="shared" si="18"/>
        <v>OK</v>
      </c>
    </row>
    <row r="1239" spans="1:4" x14ac:dyDescent="0.2">
      <c r="A1239" s="5">
        <v>1178</v>
      </c>
      <c r="B1239" s="138">
        <f>'Expenditures 15-22'!E127</f>
        <v>15176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15176</v>
      </c>
      <c r="C1241" s="2" t="s">
        <v>594</v>
      </c>
      <c r="D1241" s="2" t="str">
        <f t="shared" si="18"/>
        <v>Error?</v>
      </c>
    </row>
    <row r="1242" spans="1:4" x14ac:dyDescent="0.2">
      <c r="A1242" s="5">
        <v>1181</v>
      </c>
      <c r="B1242" s="138">
        <f>'Expenditures 15-22'!E151</f>
        <v>15176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14532</v>
      </c>
      <c r="D1245" s="2" t="str">
        <f t="shared" si="18"/>
        <v>Error?</v>
      </c>
    </row>
    <row r="1246" spans="1:4" x14ac:dyDescent="0.2">
      <c r="A1246" s="10">
        <v>1185</v>
      </c>
      <c r="D1246" s="2" t="str">
        <f t="shared" si="18"/>
        <v>OK</v>
      </c>
    </row>
    <row r="1247" spans="1:4" x14ac:dyDescent="0.2">
      <c r="A1247" s="5">
        <v>1186</v>
      </c>
      <c r="B1247" s="138">
        <f>'Expenditures 15-22'!F127</f>
        <v>14532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14532</v>
      </c>
      <c r="C1249" s="2" t="s">
        <v>594</v>
      </c>
      <c r="D1249" s="2" t="str">
        <f t="shared" si="18"/>
        <v>Error?</v>
      </c>
    </row>
    <row r="1250" spans="1:4" x14ac:dyDescent="0.2">
      <c r="A1250" s="5">
        <v>1189</v>
      </c>
      <c r="B1250" s="138">
        <f>'Expenditures 15-22'!F151</f>
        <v>14532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19066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19066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19066</v>
      </c>
      <c r="C1258" s="2" t="s">
        <v>594</v>
      </c>
      <c r="D1258" s="2" t="str">
        <f t="shared" si="18"/>
        <v>Error?</v>
      </c>
    </row>
    <row r="1259" spans="1:4" x14ac:dyDescent="0.2">
      <c r="A1259" s="5">
        <v>1198</v>
      </c>
      <c r="B1259" s="138">
        <f>'Expenditures 15-22'!G151</f>
        <v>19066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48774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48774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48774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48774</v>
      </c>
      <c r="C1288" s="2" t="s">
        <v>594</v>
      </c>
      <c r="D1288" s="2" t="str">
        <f t="shared" si="19"/>
        <v>Error?</v>
      </c>
    </row>
    <row r="1289" spans="1:4" x14ac:dyDescent="0.2">
      <c r="A1289" s="5">
        <v>1228</v>
      </c>
      <c r="B1289" s="138">
        <f>'Expenditures 15-22'!K152</f>
        <v>5019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19663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110163</v>
      </c>
      <c r="C1317" s="2" t="s">
        <v>594</v>
      </c>
      <c r="D1317" s="2" t="str">
        <f t="shared" si="19"/>
        <v>Error?</v>
      </c>
    </row>
    <row r="1318" spans="1:4" x14ac:dyDescent="0.2">
      <c r="A1318" s="5">
        <v>1257</v>
      </c>
      <c r="B1318" s="138">
        <f>'Expenditures 15-22'!H174</f>
        <v>110163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19663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110163</v>
      </c>
      <c r="C1331" s="2" t="s">
        <v>594</v>
      </c>
      <c r="D1331" s="2" t="str">
        <f t="shared" si="19"/>
        <v>Error?</v>
      </c>
    </row>
    <row r="1332" spans="1:4" x14ac:dyDescent="0.2">
      <c r="A1332" s="5">
        <v>1271</v>
      </c>
      <c r="B1332" s="138">
        <f>'Expenditures 15-22'!K174</f>
        <v>110163</v>
      </c>
      <c r="C1332" s="2" t="s">
        <v>594</v>
      </c>
      <c r="D1332" s="2" t="str">
        <f t="shared" si="19"/>
        <v>Error?</v>
      </c>
    </row>
    <row r="1333" spans="1:4" x14ac:dyDescent="0.2">
      <c r="A1333" s="5">
        <v>1272</v>
      </c>
      <c r="B1333" s="138">
        <f>'Expenditures 15-22'!K175</f>
        <v>-10129</v>
      </c>
      <c r="C1333" s="2" t="s">
        <v>594</v>
      </c>
      <c r="D1333" s="2" t="str">
        <f t="shared" si="19"/>
        <v>Error?</v>
      </c>
    </row>
    <row r="1334" spans="1:4" x14ac:dyDescent="0.2">
      <c r="A1334" s="10">
        <v>1273</v>
      </c>
      <c r="D1334" s="2" t="str">
        <f t="shared" si="19"/>
        <v>OK</v>
      </c>
    </row>
    <row r="1335" spans="1:4" x14ac:dyDescent="0.2">
      <c r="A1335" s="5">
        <v>1274</v>
      </c>
      <c r="B1335" s="138">
        <f>'Expenditures 15-22'!C182</f>
        <v>76530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76530</v>
      </c>
      <c r="C1339" s="2" t="s">
        <v>594</v>
      </c>
      <c r="D1339" s="2" t="str">
        <f t="shared" si="19"/>
        <v>Error?</v>
      </c>
    </row>
    <row r="1340" spans="1:4" x14ac:dyDescent="0.2">
      <c r="A1340" s="5">
        <v>1279</v>
      </c>
      <c r="B1340" s="138">
        <f>'Expenditures 15-22'!C210</f>
        <v>76530</v>
      </c>
      <c r="C1340" s="2" t="s">
        <v>594</v>
      </c>
      <c r="D1340" s="2" t="str">
        <f t="shared" si="19"/>
        <v>Error?</v>
      </c>
    </row>
    <row r="1341" spans="1:4" x14ac:dyDescent="0.2">
      <c r="A1341" s="5">
        <v>1280</v>
      </c>
      <c r="B1341" s="138">
        <f>'Expenditures 15-22'!D182</f>
        <v>11920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11920</v>
      </c>
      <c r="C1345" s="2" t="s">
        <v>594</v>
      </c>
      <c r="D1345" s="2" t="str">
        <f t="shared" si="20"/>
        <v>Error?</v>
      </c>
    </row>
    <row r="1346" spans="1:4" x14ac:dyDescent="0.2">
      <c r="A1346" s="5">
        <v>1285</v>
      </c>
      <c r="B1346" s="138">
        <f>'Expenditures 15-22'!D210</f>
        <v>11920</v>
      </c>
      <c r="C1346" s="2" t="s">
        <v>594</v>
      </c>
      <c r="D1346" s="2" t="str">
        <f t="shared" si="20"/>
        <v>Error?</v>
      </c>
    </row>
    <row r="1347" spans="1:4" x14ac:dyDescent="0.2">
      <c r="A1347" s="5">
        <v>1286</v>
      </c>
      <c r="B1347" s="138">
        <f>'Expenditures 15-22'!E182</f>
        <v>17247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17247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17247</v>
      </c>
      <c r="C1353" s="2" t="s">
        <v>594</v>
      </c>
      <c r="D1353" s="2" t="str">
        <f t="shared" si="20"/>
        <v>Error?</v>
      </c>
    </row>
    <row r="1354" spans="1:4" x14ac:dyDescent="0.2">
      <c r="A1354" s="5">
        <v>1293</v>
      </c>
      <c r="B1354" s="138">
        <f>'Expenditures 15-22'!F182</f>
        <v>17848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17848</v>
      </c>
      <c r="C1358" s="2" t="s">
        <v>594</v>
      </c>
      <c r="D1358" s="2" t="str">
        <f t="shared" si="20"/>
        <v>Error?</v>
      </c>
    </row>
    <row r="1359" spans="1:4" x14ac:dyDescent="0.2">
      <c r="A1359" s="5">
        <v>1298</v>
      </c>
      <c r="B1359" s="138">
        <f>'Expenditures 15-22'!F210</f>
        <v>17848</v>
      </c>
      <c r="C1359" s="2" t="s">
        <v>594</v>
      </c>
      <c r="D1359" s="2" t="str">
        <f t="shared" si="20"/>
        <v>Error?</v>
      </c>
    </row>
    <row r="1360" spans="1:4" x14ac:dyDescent="0.2">
      <c r="A1360" s="5">
        <v>1299</v>
      </c>
      <c r="B1360" s="138">
        <f>'Expenditures 15-22'!G182</f>
        <v>70047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70047</v>
      </c>
      <c r="C1364" s="2" t="s">
        <v>594</v>
      </c>
      <c r="D1364" s="2" t="str">
        <f t="shared" si="20"/>
        <v>Error?</v>
      </c>
    </row>
    <row r="1365" spans="1:4" x14ac:dyDescent="0.2">
      <c r="A1365" s="5">
        <v>1304</v>
      </c>
      <c r="B1365" s="138">
        <f>'Expenditures 15-22'!G210</f>
        <v>70047</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193592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193592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193592</v>
      </c>
      <c r="C1388" s="2" t="s">
        <v>594</v>
      </c>
      <c r="D1388" s="2" t="str">
        <f t="shared" si="20"/>
        <v>Error?</v>
      </c>
    </row>
    <row r="1389" spans="1:4" x14ac:dyDescent="0.2">
      <c r="A1389" s="5">
        <v>1328</v>
      </c>
      <c r="B1389" s="138">
        <f>'Expenditures 15-22'!K211</f>
        <v>1726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1337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33101</v>
      </c>
      <c r="C1410" s="2" t="s">
        <v>594</v>
      </c>
      <c r="D1410" s="2" t="str">
        <f t="shared" si="21"/>
        <v>Error?</v>
      </c>
    </row>
    <row r="1411" spans="1:4" x14ac:dyDescent="0.2">
      <c r="A1411" s="5">
        <v>1350</v>
      </c>
      <c r="B1411" s="138">
        <f>'Expenditures 15-22'!D232</f>
        <v>653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5843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805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7301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1131</v>
      </c>
      <c r="D1423" s="2" t="str">
        <f t="shared" si="21"/>
        <v>Error?</v>
      </c>
    </row>
    <row r="1424" spans="1:4" x14ac:dyDescent="0.2">
      <c r="A1424" s="5">
        <v>1363</v>
      </c>
      <c r="B1424" s="138">
        <f>'Expenditures 15-22'!D257</f>
        <v>1131</v>
      </c>
      <c r="C1424" s="2" t="s">
        <v>594</v>
      </c>
      <c r="D1424" s="2" t="str">
        <f t="shared" si="21"/>
        <v>Error?</v>
      </c>
    </row>
    <row r="1425" spans="1:4" x14ac:dyDescent="0.2">
      <c r="A1425" s="5">
        <v>1364</v>
      </c>
      <c r="B1425" s="138">
        <f>'Expenditures 15-22'!D259</f>
        <v>873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873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14724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9979</v>
      </c>
      <c r="D1431" s="2" t="str">
        <f t="shared" si="21"/>
        <v>Error?</v>
      </c>
    </row>
    <row r="1432" spans="1:4" x14ac:dyDescent="0.2">
      <c r="A1432" s="5">
        <v>1371</v>
      </c>
      <c r="B1432" s="138">
        <f>'Expenditures 15-22'!D267</f>
        <v>11752</v>
      </c>
      <c r="D1432" s="2" t="str">
        <f t="shared" si="21"/>
        <v>Error?</v>
      </c>
    </row>
    <row r="1433" spans="1:4" x14ac:dyDescent="0.2">
      <c r="A1433" s="5">
        <v>1372</v>
      </c>
      <c r="B1433" s="138">
        <f>'Expenditures 15-22'!D268</f>
        <v>9753</v>
      </c>
      <c r="D1433" s="2" t="str">
        <f t="shared" si="21"/>
        <v>Error?</v>
      </c>
    </row>
    <row r="1434" spans="1:4" x14ac:dyDescent="0.2">
      <c r="A1434" s="5">
        <v>1373</v>
      </c>
      <c r="B1434" s="138">
        <f>'Expenditures 15-22'!D269</f>
        <v>5559</v>
      </c>
      <c r="D1434" s="2" t="str">
        <f t="shared" si="21"/>
        <v>Error?</v>
      </c>
    </row>
    <row r="1435" spans="1:4" x14ac:dyDescent="0.2">
      <c r="A1435" s="10">
        <v>1374</v>
      </c>
      <c r="D1435" s="2" t="str">
        <f t="shared" si="21"/>
        <v>OK</v>
      </c>
    </row>
    <row r="1436" spans="1:4" x14ac:dyDescent="0.2">
      <c r="A1436" s="5">
        <v>1375</v>
      </c>
      <c r="B1436" s="138">
        <f>'Expenditures 15-22'!D270</f>
        <v>51767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61072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94173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1337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33101</v>
      </c>
      <c r="C1474" s="2" t="s">
        <v>594</v>
      </c>
      <c r="D1474" s="2" t="str">
        <f t="shared" si="22"/>
        <v>Error?</v>
      </c>
    </row>
    <row r="1475" spans="1:4" x14ac:dyDescent="0.2">
      <c r="A1475" s="5">
        <v>1414</v>
      </c>
      <c r="B1475" s="138">
        <f>'Expenditures 15-22'!K232</f>
        <v>653</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5843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805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7301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1131</v>
      </c>
      <c r="C1487" s="2" t="s">
        <v>594</v>
      </c>
      <c r="D1487" s="2" t="str">
        <f t="shared" si="22"/>
        <v>Error?</v>
      </c>
    </row>
    <row r="1488" spans="1:4" x14ac:dyDescent="0.2">
      <c r="A1488" s="5">
        <v>1427</v>
      </c>
      <c r="B1488" s="138">
        <f>'Expenditures 15-22'!K257</f>
        <v>1131</v>
      </c>
      <c r="C1488" s="2" t="s">
        <v>594</v>
      </c>
      <c r="D1488" s="2" t="str">
        <f t="shared" si="22"/>
        <v>Error?</v>
      </c>
    </row>
    <row r="1489" spans="1:4" x14ac:dyDescent="0.2">
      <c r="A1489" s="5">
        <v>1428</v>
      </c>
      <c r="B1489" s="138">
        <f>'Expenditures 15-22'!K259</f>
        <v>873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873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14724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9979</v>
      </c>
      <c r="C1495" s="2" t="s">
        <v>594</v>
      </c>
      <c r="D1495" s="2" t="str">
        <f t="shared" si="22"/>
        <v>Error?</v>
      </c>
    </row>
    <row r="1496" spans="1:4" x14ac:dyDescent="0.2">
      <c r="A1496" s="5">
        <v>1435</v>
      </c>
      <c r="B1496" s="138">
        <f>'Expenditures 15-22'!K267</f>
        <v>11752</v>
      </c>
      <c r="C1496" s="2" t="s">
        <v>594</v>
      </c>
      <c r="D1496" s="2" t="str">
        <f t="shared" si="22"/>
        <v>Error?</v>
      </c>
    </row>
    <row r="1497" spans="1:4" x14ac:dyDescent="0.2">
      <c r="A1497" s="5">
        <v>1436</v>
      </c>
      <c r="B1497" s="138">
        <f>'Expenditures 15-22'!K268</f>
        <v>9753</v>
      </c>
      <c r="C1497" s="2" t="s">
        <v>594</v>
      </c>
      <c r="D1497" s="2" t="str">
        <f t="shared" si="22"/>
        <v>Error?</v>
      </c>
    </row>
    <row r="1498" spans="1:4" x14ac:dyDescent="0.2">
      <c r="A1498" s="5">
        <v>1437</v>
      </c>
      <c r="B1498" s="138">
        <f>'Expenditures 15-22'!K269</f>
        <v>5559</v>
      </c>
      <c r="C1498" s="2" t="s">
        <v>594</v>
      </c>
      <c r="D1498" s="2" t="str">
        <f t="shared" si="22"/>
        <v>Error?</v>
      </c>
    </row>
    <row r="1499" spans="1:4" x14ac:dyDescent="0.2">
      <c r="A1499" s="10">
        <v>1438</v>
      </c>
      <c r="D1499" s="2" t="str">
        <f t="shared" si="22"/>
        <v>OK</v>
      </c>
    </row>
    <row r="1500" spans="1:4" x14ac:dyDescent="0.2">
      <c r="A1500" s="5">
        <v>1439</v>
      </c>
      <c r="B1500" s="138">
        <f>'Expenditures 15-22'!K270</f>
        <v>51767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61072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94173</v>
      </c>
      <c r="C1517" s="2" t="s">
        <v>594</v>
      </c>
      <c r="D1517" s="2" t="str">
        <f t="shared" si="22"/>
        <v>Error?</v>
      </c>
    </row>
    <row r="1518" spans="1:4" x14ac:dyDescent="0.2">
      <c r="A1518" s="5">
        <v>1457</v>
      </c>
      <c r="B1518" s="138">
        <f>'Expenditures 15-22'!K296</f>
        <v>4546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108310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163217</v>
      </c>
      <c r="C1630" s="2" t="s">
        <v>594</v>
      </c>
      <c r="D1630" s="2" t="str">
        <f t="shared" si="24"/>
        <v>Error?</v>
      </c>
    </row>
    <row r="1631" spans="1:4" x14ac:dyDescent="0.2">
      <c r="A1631" s="5">
        <v>1570</v>
      </c>
      <c r="B1631" s="138">
        <f>'Acct Summary 7-8'!D79</f>
        <v>200862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205881</v>
      </c>
      <c r="C1644" s="2" t="s">
        <v>594</v>
      </c>
      <c r="D1644" s="2" t="str">
        <f t="shared" si="24"/>
        <v>Error?</v>
      </c>
    </row>
    <row r="1645" spans="1:4" x14ac:dyDescent="0.2">
      <c r="A1645" s="5">
        <v>1584</v>
      </c>
      <c r="B1645" s="138">
        <f>'Acct Summary 7-8'!E79</f>
        <v>38302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28173</v>
      </c>
      <c r="C1658" s="2" t="s">
        <v>594</v>
      </c>
      <c r="D1658" s="2" t="str">
        <f t="shared" si="24"/>
        <v>Error?</v>
      </c>
    </row>
    <row r="1659" spans="1:4" x14ac:dyDescent="0.2">
      <c r="A1659" s="5">
        <v>1598</v>
      </c>
      <c r="B1659" s="138">
        <f>'Acct Summary 7-8'!F79</f>
        <v>231697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233423</v>
      </c>
      <c r="C1672" s="2" t="s">
        <v>594</v>
      </c>
      <c r="D1672" s="2" t="str">
        <f t="shared" si="25"/>
        <v>Error?</v>
      </c>
    </row>
    <row r="1673" spans="1:4" x14ac:dyDescent="0.2">
      <c r="A1673" s="5">
        <v>1612</v>
      </c>
      <c r="B1673" s="138">
        <f>'Acct Summary 7-8'!G79</f>
        <v>85748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90294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176797</v>
      </c>
      <c r="C1744" s="2" t="s">
        <v>594</v>
      </c>
      <c r="D1744" s="2" t="str">
        <f t="shared" si="26"/>
        <v>Error?</v>
      </c>
    </row>
    <row r="1745" spans="1:5" x14ac:dyDescent="0.2">
      <c r="A1745" s="5">
        <v>1684</v>
      </c>
      <c r="B1745" s="138">
        <f>'Tax Sched 23'!B5</f>
        <v>48045</v>
      </c>
      <c r="C1745" s="2" t="s">
        <v>594</v>
      </c>
      <c r="D1745" s="2" t="str">
        <f t="shared" si="26"/>
        <v>Error?</v>
      </c>
    </row>
    <row r="1746" spans="1:5" x14ac:dyDescent="0.2">
      <c r="A1746" s="5">
        <v>1685</v>
      </c>
      <c r="B1746" s="138">
        <f>'Tax Sched 23'!B6</f>
        <v>98435</v>
      </c>
      <c r="C1746" s="2" t="s">
        <v>594</v>
      </c>
      <c r="D1746" s="2" t="str">
        <f t="shared" si="26"/>
        <v>Error?</v>
      </c>
    </row>
    <row r="1747" spans="1:5" x14ac:dyDescent="0.2">
      <c r="A1747" s="5">
        <v>1686</v>
      </c>
      <c r="B1747" s="138">
        <f>'Tax Sched 23'!B7</f>
        <v>23061</v>
      </c>
      <c r="C1747" s="2" t="s">
        <v>594</v>
      </c>
      <c r="D1747" s="2" t="str">
        <f t="shared" si="26"/>
        <v>Error?</v>
      </c>
    </row>
    <row r="1748" spans="1:5" x14ac:dyDescent="0.2">
      <c r="A1748" s="5">
        <v>1687</v>
      </c>
      <c r="B1748" s="138">
        <f>'Tax Sched 23'!B8</f>
        <v>44526</v>
      </c>
      <c r="C1748" s="2" t="s">
        <v>594</v>
      </c>
      <c r="D1748" s="2" t="str">
        <f t="shared" si="26"/>
        <v>Error?</v>
      </c>
    </row>
    <row r="1749" spans="1:5" x14ac:dyDescent="0.2">
      <c r="A1749" s="5">
        <v>1688</v>
      </c>
      <c r="B1749" s="138">
        <f>'Tax Sched 23'!B10</f>
        <v>9609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77630</v>
      </c>
      <c r="C1752" s="2" t="s">
        <v>594</v>
      </c>
      <c r="D1752" s="2" t="str">
        <f t="shared" si="26"/>
        <v>Error?</v>
      </c>
    </row>
    <row r="1753" spans="1:5" x14ac:dyDescent="0.2">
      <c r="A1753" s="5">
        <v>1692</v>
      </c>
      <c r="B1753" s="138">
        <f>'Tax Sched 23'!B12</f>
        <v>9609</v>
      </c>
      <c r="C1753" s="2" t="s">
        <v>594</v>
      </c>
      <c r="D1753" s="2" t="str">
        <f t="shared" si="26"/>
        <v>Error?</v>
      </c>
    </row>
    <row r="1754" spans="1:5" x14ac:dyDescent="0.2">
      <c r="A1754" s="5">
        <v>1693</v>
      </c>
      <c r="B1754" s="138">
        <f>'Tax Sched 23'!B14</f>
        <v>3747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545562</v>
      </c>
      <c r="C1759" s="2" t="s">
        <v>594</v>
      </c>
      <c r="D1759" s="2" t="str">
        <f t="shared" si="26"/>
        <v>Error?</v>
      </c>
    </row>
    <row r="1760" spans="1:5" x14ac:dyDescent="0.2">
      <c r="A1760" s="5">
        <v>1699</v>
      </c>
      <c r="B1760" s="138">
        <f>'Tax Sched 23'!D4</f>
        <v>176797</v>
      </c>
      <c r="C1760" s="2" t="s">
        <v>594</v>
      </c>
      <c r="D1760" s="2" t="str">
        <f t="shared" si="26"/>
        <v>Error?</v>
      </c>
    </row>
    <row r="1761" spans="1:5" x14ac:dyDescent="0.2">
      <c r="A1761" s="5">
        <v>1700</v>
      </c>
      <c r="B1761" s="138">
        <f>'Tax Sched 23'!D5</f>
        <v>48045</v>
      </c>
      <c r="C1761" s="2" t="s">
        <v>594</v>
      </c>
      <c r="D1761" s="2" t="str">
        <f t="shared" si="26"/>
        <v>Error?</v>
      </c>
    </row>
    <row r="1762" spans="1:5" s="8" customFormat="1" x14ac:dyDescent="0.2">
      <c r="A1762" s="5">
        <v>1701</v>
      </c>
      <c r="B1762" s="138">
        <f>'Tax Sched 23'!D6</f>
        <v>98435</v>
      </c>
      <c r="C1762" s="2" t="s">
        <v>594</v>
      </c>
      <c r="D1762" s="2" t="str">
        <f t="shared" si="26"/>
        <v>Error?</v>
      </c>
      <c r="E1762" s="9"/>
    </row>
    <row r="1763" spans="1:5" x14ac:dyDescent="0.2">
      <c r="A1763" s="5">
        <v>1702</v>
      </c>
      <c r="B1763" s="138">
        <f>'Tax Sched 23'!D7</f>
        <v>23061</v>
      </c>
      <c r="C1763" s="2" t="s">
        <v>594</v>
      </c>
      <c r="D1763" s="2" t="str">
        <f t="shared" si="26"/>
        <v>Error?</v>
      </c>
    </row>
    <row r="1764" spans="1:5" x14ac:dyDescent="0.2">
      <c r="A1764" s="5">
        <v>1703</v>
      </c>
      <c r="B1764" s="138">
        <f>'Tax Sched 23'!D8</f>
        <v>44526</v>
      </c>
      <c r="C1764" s="2" t="s">
        <v>594</v>
      </c>
      <c r="D1764" s="2" t="str">
        <f t="shared" si="26"/>
        <v>Error?</v>
      </c>
    </row>
    <row r="1765" spans="1:5" x14ac:dyDescent="0.2">
      <c r="A1765" s="5">
        <v>1704</v>
      </c>
      <c r="B1765" s="138">
        <f>'Tax Sched 23'!D10</f>
        <v>9609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77630</v>
      </c>
      <c r="C1768" s="2" t="s">
        <v>594</v>
      </c>
      <c r="D1768" s="2" t="str">
        <f t="shared" si="26"/>
        <v>Error?</v>
      </c>
    </row>
    <row r="1769" spans="1:5" x14ac:dyDescent="0.2">
      <c r="A1769" s="5">
        <v>1708</v>
      </c>
      <c r="B1769" s="138">
        <f>'Tax Sched 23'!D12</f>
        <v>9609</v>
      </c>
      <c r="C1769" s="2" t="s">
        <v>594</v>
      </c>
      <c r="D1769" s="2" t="str">
        <f t="shared" si="26"/>
        <v>Error?</v>
      </c>
    </row>
    <row r="1770" spans="1:5" x14ac:dyDescent="0.2">
      <c r="A1770" s="5">
        <v>1709</v>
      </c>
      <c r="B1770" s="138">
        <f>'Tax Sched 23'!D14</f>
        <v>3747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545562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3747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3747</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7000</v>
      </c>
      <c r="D2008" s="2" t="str">
        <f t="shared" si="30"/>
        <v>Error?</v>
      </c>
    </row>
    <row r="2009" spans="1:4" x14ac:dyDescent="0.2">
      <c r="A2009" s="5">
        <v>1948</v>
      </c>
      <c r="B2009" s="138">
        <f>'Cap Outlay Deprec 26'!C8</f>
        <v>3948516</v>
      </c>
      <c r="D2009" s="2" t="str">
        <f t="shared" si="30"/>
        <v>Error?</v>
      </c>
    </row>
    <row r="2010" spans="1:4" x14ac:dyDescent="0.2">
      <c r="A2010" s="5">
        <v>1949</v>
      </c>
      <c r="B2010" s="138">
        <f>'Cap Outlay Deprec 26'!C10</f>
        <v>248248</v>
      </c>
      <c r="D2010" s="2" t="str">
        <f t="shared" si="30"/>
        <v>Error?</v>
      </c>
    </row>
    <row r="2011" spans="1:4" x14ac:dyDescent="0.2">
      <c r="A2011" s="5">
        <v>1950</v>
      </c>
      <c r="B2011" s="138">
        <f>'Cap Outlay Deprec 26'!C12</f>
        <v>568433</v>
      </c>
      <c r="D2011" s="2" t="str">
        <f t="shared" si="30"/>
        <v>Error?</v>
      </c>
    </row>
    <row r="2012" spans="1:4" x14ac:dyDescent="0.2">
      <c r="A2012" s="5">
        <v>1951</v>
      </c>
      <c r="B2012" s="138">
        <f>'Cap Outlay Deprec 26'!C13</f>
        <v>535210</v>
      </c>
      <c r="D2012" s="2" t="str">
        <f t="shared" si="30"/>
        <v>Error?</v>
      </c>
    </row>
    <row r="2013" spans="1:4" x14ac:dyDescent="0.2">
      <c r="A2013" s="5">
        <v>1952</v>
      </c>
      <c r="B2013" s="138">
        <f>'Cap Outlay Deprec 26'!C16</f>
        <v>5307407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31664</v>
      </c>
      <c r="D2017" s="2" t="str">
        <f t="shared" si="30"/>
        <v>Error?</v>
      </c>
    </row>
    <row r="2018" spans="1:4" x14ac:dyDescent="0.2">
      <c r="A2018" s="5">
        <v>1957</v>
      </c>
      <c r="B2018" s="138">
        <f>'Cap Outlay Deprec 26'!D13</f>
        <v>70047</v>
      </c>
      <c r="D2018" s="2" t="str">
        <f t="shared" si="30"/>
        <v>Error?</v>
      </c>
    </row>
    <row r="2019" spans="1:4" x14ac:dyDescent="0.2">
      <c r="A2019" s="5">
        <v>1958</v>
      </c>
      <c r="B2019" s="138">
        <f>'Cap Outlay Deprec 26'!D16</f>
        <v>101711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82460</v>
      </c>
      <c r="D2024" s="2" t="str">
        <f t="shared" si="30"/>
        <v>Error?</v>
      </c>
    </row>
    <row r="2025" spans="1:4" x14ac:dyDescent="0.2">
      <c r="A2025" s="5">
        <v>1964</v>
      </c>
      <c r="B2025" s="138">
        <f>'Cap Outlay Deprec 26'!E16</f>
        <v>82460</v>
      </c>
      <c r="C2025" s="2" t="s">
        <v>594</v>
      </c>
      <c r="D2025" s="2" t="str">
        <f t="shared" si="30"/>
        <v>Error?</v>
      </c>
    </row>
    <row r="2026" spans="1:4" x14ac:dyDescent="0.2">
      <c r="A2026" s="5">
        <v>1965</v>
      </c>
      <c r="B2026" s="138">
        <f>'Cap Outlay Deprec 26'!F5</f>
        <v>7000</v>
      </c>
      <c r="C2026" s="2" t="s">
        <v>594</v>
      </c>
      <c r="D2026" s="2" t="str">
        <f t="shared" si="30"/>
        <v>Error?</v>
      </c>
    </row>
    <row r="2027" spans="1:4" x14ac:dyDescent="0.2">
      <c r="A2027" s="5">
        <v>1966</v>
      </c>
      <c r="B2027" s="138">
        <f>'Cap Outlay Deprec 26'!F8</f>
        <v>3948516</v>
      </c>
      <c r="C2027" s="2" t="s">
        <v>594</v>
      </c>
      <c r="D2027" s="2" t="str">
        <f t="shared" si="30"/>
        <v>Error?</v>
      </c>
    </row>
    <row r="2028" spans="1:4" x14ac:dyDescent="0.2">
      <c r="A2028" s="5">
        <v>1967</v>
      </c>
      <c r="B2028" s="138">
        <f>'Cap Outlay Deprec 26'!F10</f>
        <v>248248</v>
      </c>
      <c r="C2028" s="2" t="s">
        <v>594</v>
      </c>
      <c r="D2028" s="2" t="str">
        <f t="shared" si="30"/>
        <v>Error?</v>
      </c>
    </row>
    <row r="2029" spans="1:4" x14ac:dyDescent="0.2">
      <c r="A2029" s="5">
        <v>1968</v>
      </c>
      <c r="B2029" s="138">
        <f>'Cap Outlay Deprec 26'!F12</f>
        <v>600097</v>
      </c>
      <c r="C2029" s="2" t="s">
        <v>594</v>
      </c>
      <c r="D2029" s="2" t="str">
        <f t="shared" si="30"/>
        <v>Error?</v>
      </c>
    </row>
    <row r="2030" spans="1:4" x14ac:dyDescent="0.2">
      <c r="A2030" s="5">
        <v>1969</v>
      </c>
      <c r="B2030" s="138">
        <f>'Cap Outlay Deprec 26'!F13</f>
        <v>522797</v>
      </c>
      <c r="C2030" s="2" t="s">
        <v>594</v>
      </c>
      <c r="D2030" s="2" t="str">
        <f t="shared" si="30"/>
        <v>Error?</v>
      </c>
    </row>
    <row r="2031" spans="1:4" x14ac:dyDescent="0.2">
      <c r="A2031" s="5">
        <v>1970</v>
      </c>
      <c r="B2031" s="138">
        <f>'Cap Outlay Deprec 26'!F16</f>
        <v>5326658</v>
      </c>
      <c r="C2031" s="2" t="s">
        <v>594</v>
      </c>
      <c r="D2031" s="2" t="str">
        <f t="shared" si="30"/>
        <v>Error?</v>
      </c>
    </row>
    <row r="2032" spans="1:4" x14ac:dyDescent="0.2">
      <c r="A2032" s="10">
        <v>1971</v>
      </c>
      <c r="D2032" s="2" t="str">
        <f t="shared" si="30"/>
        <v>OK</v>
      </c>
    </row>
    <row r="2033" spans="1:4" x14ac:dyDescent="0.2">
      <c r="A2033" s="5">
        <v>1972</v>
      </c>
      <c r="B2033" s="138">
        <f>'Cap Outlay Deprec 26'!H8</f>
        <v>1403014</v>
      </c>
      <c r="D2033" s="2" t="str">
        <f t="shared" si="30"/>
        <v>Error?</v>
      </c>
    </row>
    <row r="2034" spans="1:4" x14ac:dyDescent="0.2">
      <c r="A2034" s="5">
        <v>1973</v>
      </c>
      <c r="B2034" s="138">
        <f>'Cap Outlay Deprec 26'!H10</f>
        <v>209645</v>
      </c>
      <c r="D2034" s="2" t="str">
        <f t="shared" si="30"/>
        <v>Error?</v>
      </c>
    </row>
    <row r="2035" spans="1:4" x14ac:dyDescent="0.2">
      <c r="A2035" s="5">
        <v>1974</v>
      </c>
      <c r="B2035" s="138">
        <f>'Cap Outlay Deprec 26'!H12</f>
        <v>522965</v>
      </c>
      <c r="D2035" s="2" t="str">
        <f t="shared" si="30"/>
        <v>Error?</v>
      </c>
    </row>
    <row r="2036" spans="1:4" x14ac:dyDescent="0.2">
      <c r="A2036" s="5">
        <v>1975</v>
      </c>
      <c r="B2036" s="138">
        <f>'Cap Outlay Deprec 26'!H13</f>
        <v>458283</v>
      </c>
      <c r="D2036" s="2" t="str">
        <f t="shared" si="30"/>
        <v>Error?</v>
      </c>
    </row>
    <row r="2037" spans="1:4" x14ac:dyDescent="0.2">
      <c r="A2037" s="5">
        <v>1976</v>
      </c>
      <c r="B2037" s="138">
        <f>'Cap Outlay Deprec 26'!H16</f>
        <v>2593907</v>
      </c>
      <c r="C2037" s="2" t="s">
        <v>594</v>
      </c>
      <c r="D2037" s="2" t="str">
        <f t="shared" si="30"/>
        <v>Error?</v>
      </c>
    </row>
    <row r="2038" spans="1:4" x14ac:dyDescent="0.2">
      <c r="A2038" s="10">
        <v>1977</v>
      </c>
      <c r="D2038" s="2" t="str">
        <f t="shared" si="30"/>
        <v>OK</v>
      </c>
    </row>
    <row r="2039" spans="1:4" x14ac:dyDescent="0.2">
      <c r="A2039" s="5">
        <v>1978</v>
      </c>
      <c r="B2039" s="138">
        <f>'Cap Outlay Deprec 26'!I8</f>
        <v>79586</v>
      </c>
      <c r="D2039" s="2" t="str">
        <f t="shared" si="30"/>
        <v>Error?</v>
      </c>
    </row>
    <row r="2040" spans="1:4" x14ac:dyDescent="0.2">
      <c r="A2040" s="5">
        <v>1979</v>
      </c>
      <c r="B2040" s="138">
        <f>'Cap Outlay Deprec 26'!I10</f>
        <v>9875</v>
      </c>
      <c r="D2040" s="2" t="str">
        <f t="shared" si="30"/>
        <v>Error?</v>
      </c>
    </row>
    <row r="2041" spans="1:4" x14ac:dyDescent="0.2">
      <c r="A2041" s="5">
        <v>1980</v>
      </c>
      <c r="B2041" s="138">
        <f>'Cap Outlay Deprec 26'!I12</f>
        <v>16015</v>
      </c>
      <c r="D2041" s="2" t="str">
        <f t="shared" si="30"/>
        <v>Error?</v>
      </c>
    </row>
    <row r="2042" spans="1:4" x14ac:dyDescent="0.2">
      <c r="A2042" s="5">
        <v>1981</v>
      </c>
      <c r="B2042" s="138">
        <f>'Cap Outlay Deprec 26'!I13</f>
        <v>45061</v>
      </c>
      <c r="D2042" s="2" t="str">
        <f t="shared" si="30"/>
        <v>Error?</v>
      </c>
    </row>
    <row r="2043" spans="1:4" x14ac:dyDescent="0.2">
      <c r="A2043" s="5">
        <v>1982</v>
      </c>
      <c r="B2043" s="138">
        <f>'Cap Outlay Deprec 26'!I16</f>
        <v>150537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82460</v>
      </c>
      <c r="D2048" s="2" t="str">
        <f t="shared" si="31"/>
        <v>Error?</v>
      </c>
    </row>
    <row r="2049" spans="1:4" x14ac:dyDescent="0.2">
      <c r="A2049" s="5">
        <v>1988</v>
      </c>
      <c r="B2049" s="138">
        <f>'Cap Outlay Deprec 26'!J16</f>
        <v>82460</v>
      </c>
      <c r="C2049" s="2" t="s">
        <v>594</v>
      </c>
      <c r="D2049" s="2" t="str">
        <f t="shared" si="31"/>
        <v>Error?</v>
      </c>
    </row>
    <row r="2050" spans="1:4" x14ac:dyDescent="0.2">
      <c r="A2050" s="10">
        <v>1989</v>
      </c>
      <c r="D2050" s="2" t="str">
        <f t="shared" si="31"/>
        <v>OK</v>
      </c>
    </row>
    <row r="2051" spans="1:4" x14ac:dyDescent="0.2">
      <c r="A2051" s="5">
        <v>1990</v>
      </c>
      <c r="B2051" s="138">
        <f>'Cap Outlay Deprec 26'!K8</f>
        <v>1482600</v>
      </c>
      <c r="C2051" s="2" t="s">
        <v>594</v>
      </c>
      <c r="D2051" s="2" t="str">
        <f t="shared" si="31"/>
        <v>Error?</v>
      </c>
    </row>
    <row r="2052" spans="1:4" x14ac:dyDescent="0.2">
      <c r="A2052" s="5">
        <v>1991</v>
      </c>
      <c r="B2052" s="138">
        <f>'Cap Outlay Deprec 26'!K10</f>
        <v>219520</v>
      </c>
      <c r="C2052" s="2" t="s">
        <v>594</v>
      </c>
      <c r="D2052" s="2" t="str">
        <f t="shared" si="31"/>
        <v>Error?</v>
      </c>
    </row>
    <row r="2053" spans="1:4" x14ac:dyDescent="0.2">
      <c r="A2053" s="5">
        <v>1992</v>
      </c>
      <c r="B2053" s="138">
        <f>'Cap Outlay Deprec 26'!K12</f>
        <v>538980</v>
      </c>
      <c r="C2053" s="2" t="s">
        <v>594</v>
      </c>
      <c r="D2053" s="2" t="str">
        <f t="shared" si="31"/>
        <v>Error?</v>
      </c>
    </row>
    <row r="2054" spans="1:4" x14ac:dyDescent="0.2">
      <c r="A2054" s="5">
        <v>1993</v>
      </c>
      <c r="B2054" s="138">
        <f>'Cap Outlay Deprec 26'!K13</f>
        <v>420884</v>
      </c>
      <c r="C2054" s="2" t="s">
        <v>594</v>
      </c>
      <c r="D2054" s="2" t="str">
        <f t="shared" si="31"/>
        <v>Error?</v>
      </c>
    </row>
    <row r="2055" spans="1:4" x14ac:dyDescent="0.2">
      <c r="A2055" s="5">
        <v>1994</v>
      </c>
      <c r="B2055" s="138">
        <f>'Cap Outlay Deprec 26'!K16</f>
        <v>2661984</v>
      </c>
      <c r="C2055" s="2" t="s">
        <v>594</v>
      </c>
      <c r="D2055" s="2" t="str">
        <f t="shared" si="31"/>
        <v>Error?</v>
      </c>
    </row>
    <row r="2056" spans="1:4" x14ac:dyDescent="0.2">
      <c r="A2056" s="5">
        <v>1995</v>
      </c>
      <c r="B2056" s="138">
        <f>'Cap Outlay Deprec 26'!L5</f>
        <v>7000</v>
      </c>
      <c r="C2056" s="2" t="s">
        <v>594</v>
      </c>
      <c r="D2056" s="2" t="str">
        <f t="shared" si="31"/>
        <v>Error?</v>
      </c>
    </row>
    <row r="2057" spans="1:4" x14ac:dyDescent="0.2">
      <c r="A2057" s="5">
        <v>1996</v>
      </c>
      <c r="B2057" s="138">
        <f>'Cap Outlay Deprec 26'!L8</f>
        <v>2465916</v>
      </c>
      <c r="C2057" s="2" t="s">
        <v>594</v>
      </c>
      <c r="D2057" s="2" t="str">
        <f t="shared" si="31"/>
        <v>Error?</v>
      </c>
    </row>
    <row r="2058" spans="1:4" x14ac:dyDescent="0.2">
      <c r="A2058" s="5">
        <v>1997</v>
      </c>
      <c r="B2058" s="138">
        <f>'Cap Outlay Deprec 26'!L10</f>
        <v>28728</v>
      </c>
      <c r="C2058" s="2" t="s">
        <v>594</v>
      </c>
      <c r="D2058" s="2" t="str">
        <f t="shared" si="31"/>
        <v>Error?</v>
      </c>
    </row>
    <row r="2059" spans="1:4" x14ac:dyDescent="0.2">
      <c r="A2059" s="5">
        <v>1998</v>
      </c>
      <c r="B2059" s="138">
        <f>'Cap Outlay Deprec 26'!L12</f>
        <v>61117</v>
      </c>
      <c r="C2059" s="2" t="s">
        <v>594</v>
      </c>
      <c r="D2059" s="2" t="str">
        <f t="shared" si="31"/>
        <v>Error?</v>
      </c>
    </row>
    <row r="2060" spans="1:4" x14ac:dyDescent="0.2">
      <c r="A2060" s="5">
        <v>1999</v>
      </c>
      <c r="B2060" s="138">
        <f>'Cap Outlay Deprec 26'!L13</f>
        <v>101913</v>
      </c>
      <c r="C2060" s="2" t="s">
        <v>594</v>
      </c>
      <c r="D2060" s="2" t="str">
        <f t="shared" si="31"/>
        <v>Error?</v>
      </c>
    </row>
    <row r="2061" spans="1:4" x14ac:dyDescent="0.2">
      <c r="A2061" s="5">
        <v>2000</v>
      </c>
      <c r="B2061" s="138">
        <f>'Cap Outlay Deprec 26'!L16</f>
        <v>2664674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30855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317636</v>
      </c>
      <c r="C2551" s="2" t="s">
        <v>594</v>
      </c>
      <c r="D2551" s="2" t="str">
        <f t="shared" si="38"/>
        <v>Error?</v>
      </c>
    </row>
    <row r="2552" spans="1:4" x14ac:dyDescent="0.2">
      <c r="A2552" s="10">
        <v>2491</v>
      </c>
      <c r="D2552" s="2" t="str">
        <f t="shared" si="38"/>
        <v>OK</v>
      </c>
    </row>
    <row r="2553" spans="1:4" x14ac:dyDescent="0.2">
      <c r="A2553" s="5">
        <v>2492</v>
      </c>
      <c r="B2553" s="138">
        <f>'Acct Summary 7-8'!C6</f>
        <v>1349509</v>
      </c>
      <c r="C2553" s="2" t="s">
        <v>594</v>
      </c>
      <c r="D2553" s="2" t="str">
        <f t="shared" si="38"/>
        <v>Error?</v>
      </c>
    </row>
    <row r="2554" spans="1:4" x14ac:dyDescent="0.2">
      <c r="A2554" s="5">
        <v>2493</v>
      </c>
      <c r="B2554" s="138">
        <f>'Acct Summary 7-8'!C7</f>
        <v>197301</v>
      </c>
      <c r="C2554" s="2" t="s">
        <v>594</v>
      </c>
      <c r="D2554" s="2" t="str">
        <f t="shared" si="38"/>
        <v>Error?</v>
      </c>
    </row>
    <row r="2555" spans="1:4" x14ac:dyDescent="0.2">
      <c r="A2555" s="5">
        <v>2494</v>
      </c>
      <c r="B2555" s="138">
        <f>'Acct Summary 7-8'!C8</f>
        <v>1864446</v>
      </c>
      <c r="C2555" s="2" t="s">
        <v>594</v>
      </c>
      <c r="D2555" s="2" t="str">
        <f t="shared" si="38"/>
        <v>Error?</v>
      </c>
    </row>
    <row r="2556" spans="1:4" x14ac:dyDescent="0.2">
      <c r="A2556" s="5">
        <v>2495</v>
      </c>
      <c r="B2556" s="138">
        <f>'Acct Summary 7-8'!C12</f>
        <v>1074065</v>
      </c>
      <c r="C2556" s="2" t="s">
        <v>594</v>
      </c>
      <c r="D2556" s="2" t="str">
        <f t="shared" si="38"/>
        <v>Error?</v>
      </c>
    </row>
    <row r="2557" spans="1:4" x14ac:dyDescent="0.2">
      <c r="A2557" s="5">
        <v>2496</v>
      </c>
      <c r="B2557" s="138">
        <f>'Acct Summary 7-8'!C13</f>
        <v>704619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30855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1809539</v>
      </c>
      <c r="C2561" s="2" t="s">
        <v>594</v>
      </c>
      <c r="D2561" s="2" t="str">
        <f t="shared" si="39"/>
        <v>Error?</v>
      </c>
    </row>
    <row r="2562" spans="1:4" x14ac:dyDescent="0.2">
      <c r="A2562" s="5">
        <v>2501</v>
      </c>
      <c r="B2562" s="138">
        <f>'Acct Summary 7-8'!C20</f>
        <v>54907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53793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53793</v>
      </c>
      <c r="C2568" s="2" t="s">
        <v>594</v>
      </c>
      <c r="D2568" s="2" t="str">
        <f t="shared" si="39"/>
        <v>Error?</v>
      </c>
    </row>
    <row r="2569" spans="1:4" x14ac:dyDescent="0.2">
      <c r="A2569" s="5">
        <v>2508</v>
      </c>
      <c r="B2569" s="138">
        <f>'Acct Summary 7-8'!D13</f>
        <v>48774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48774</v>
      </c>
      <c r="C2573" s="2" t="s">
        <v>594</v>
      </c>
      <c r="D2573" s="2" t="str">
        <f t="shared" si="39"/>
        <v>Error?</v>
      </c>
    </row>
    <row r="2574" spans="1:4" x14ac:dyDescent="0.2">
      <c r="A2574" s="5">
        <v>2513</v>
      </c>
      <c r="B2574" s="138">
        <f>'Acct Summary 7-8'!D20</f>
        <v>5019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23436</v>
      </c>
      <c r="C2591" s="2" t="s">
        <v>594</v>
      </c>
      <c r="D2591" s="2" t="str">
        <f t="shared" si="39"/>
        <v>Error?</v>
      </c>
    </row>
    <row r="2592" spans="1:4" x14ac:dyDescent="0.2">
      <c r="A2592" s="10">
        <v>2531</v>
      </c>
      <c r="D2592" s="2" t="str">
        <f t="shared" si="39"/>
        <v>OK</v>
      </c>
    </row>
    <row r="2593" spans="1:4" x14ac:dyDescent="0.2">
      <c r="A2593" s="5">
        <v>2532</v>
      </c>
      <c r="B2593" s="138">
        <f>'Acct Summary 7-8'!F6</f>
        <v>171882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195318</v>
      </c>
      <c r="C2595" s="2" t="s">
        <v>594</v>
      </c>
      <c r="D2595" s="2" t="str">
        <f t="shared" si="39"/>
        <v>Error?</v>
      </c>
    </row>
    <row r="2596" spans="1:4" x14ac:dyDescent="0.2">
      <c r="A2596" s="5">
        <v>2535</v>
      </c>
      <c r="B2596" s="138">
        <f>'Acct Summary 7-8'!F13</f>
        <v>193592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193592</v>
      </c>
      <c r="C2600" s="2" t="s">
        <v>594</v>
      </c>
      <c r="D2600" s="2" t="str">
        <f t="shared" si="39"/>
        <v>Error?</v>
      </c>
    </row>
    <row r="2601" spans="1:4" x14ac:dyDescent="0.2">
      <c r="A2601" s="5">
        <v>2540</v>
      </c>
      <c r="B2601" s="138">
        <f>'Acct Summary 7-8'!F20</f>
        <v>1726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98719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98719</v>
      </c>
      <c r="C2606" s="2" t="s">
        <v>594</v>
      </c>
      <c r="D2606" s="2" t="str">
        <f t="shared" si="39"/>
        <v>Error?</v>
      </c>
    </row>
    <row r="2607" spans="1:4" x14ac:dyDescent="0.2">
      <c r="A2607" s="5">
        <v>2546</v>
      </c>
      <c r="B2607" s="138">
        <f>'Acct Summary 7-8'!G12</f>
        <v>33101</v>
      </c>
      <c r="C2607" s="2" t="s">
        <v>594</v>
      </c>
      <c r="D2607" s="2" t="str">
        <f t="shared" si="39"/>
        <v>Error?</v>
      </c>
    </row>
    <row r="2608" spans="1:4" x14ac:dyDescent="0.2">
      <c r="A2608" s="5">
        <v>2547</v>
      </c>
      <c r="B2608" s="138">
        <f>'Acct Summary 7-8'!G13</f>
        <v>61072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94173</v>
      </c>
      <c r="C2612" s="2" t="s">
        <v>594</v>
      </c>
      <c r="D2612" s="2" t="str">
        <f t="shared" si="39"/>
        <v>Error?</v>
      </c>
    </row>
    <row r="2613" spans="1:4" x14ac:dyDescent="0.2">
      <c r="A2613" s="5">
        <v>2552</v>
      </c>
      <c r="B2613" s="138">
        <f>'Acct Summary 7-8'!G20</f>
        <v>4546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100034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100034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110163</v>
      </c>
      <c r="C2634" s="2" t="s">
        <v>594</v>
      </c>
      <c r="D2634" s="2" t="str">
        <f t="shared" si="40"/>
        <v>Error?</v>
      </c>
    </row>
    <row r="2635" spans="1:4" x14ac:dyDescent="0.2">
      <c r="A2635" s="5">
        <v>2574</v>
      </c>
      <c r="B2635" s="138">
        <f>'Acct Summary 7-8'!E17</f>
        <v>110163</v>
      </c>
      <c r="C2635" s="2" t="s">
        <v>594</v>
      </c>
      <c r="D2635" s="2" t="str">
        <f t="shared" si="40"/>
        <v>Error?</v>
      </c>
    </row>
    <row r="2636" spans="1:4" x14ac:dyDescent="0.2">
      <c r="A2636" s="5">
        <v>2575</v>
      </c>
      <c r="B2636" s="138">
        <f>'Acct Summary 7-8'!E20</f>
        <v>-10129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30855</v>
      </c>
      <c r="C2789" s="2" t="s">
        <v>594</v>
      </c>
      <c r="D2789" s="2" t="str">
        <f t="shared" si="42"/>
        <v>Error?</v>
      </c>
    </row>
    <row r="2790" spans="1:4" x14ac:dyDescent="0.2">
      <c r="A2790" s="5">
        <v>2729</v>
      </c>
      <c r="B2790" s="138">
        <f>'Expenditures 15-22'!E102</f>
        <v>30855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238841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14067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238841</v>
      </c>
      <c r="D2912" s="2" t="str">
        <f t="shared" si="44"/>
        <v>Error?</v>
      </c>
    </row>
    <row r="2913" spans="1:4" x14ac:dyDescent="0.2">
      <c r="A2913" s="5">
        <v>2852</v>
      </c>
      <c r="B2913" s="138">
        <f>'Assets-Liab 5-6'!I41</f>
        <v>238841</v>
      </c>
      <c r="C2913" s="2" t="s">
        <v>594</v>
      </c>
      <c r="D2913" s="2" t="str">
        <f t="shared" si="44"/>
        <v>Error?</v>
      </c>
    </row>
    <row r="2914" spans="1:4" x14ac:dyDescent="0.2">
      <c r="A2914" s="5">
        <v>2853</v>
      </c>
      <c r="B2914" s="138">
        <f>'Assets-Liab 5-6'!L33</f>
        <v>14067</v>
      </c>
      <c r="D2914" s="2" t="str">
        <f t="shared" si="44"/>
        <v>Error?</v>
      </c>
    </row>
    <row r="2915" spans="1:4" x14ac:dyDescent="0.2">
      <c r="A2915" s="10">
        <v>2854</v>
      </c>
      <c r="D2915" s="2" t="str">
        <f t="shared" si="44"/>
        <v>OK</v>
      </c>
    </row>
    <row r="2916" spans="1:4" x14ac:dyDescent="0.2">
      <c r="A2916" s="5">
        <v>2855</v>
      </c>
      <c r="B2916" s="138">
        <f>'Assets-Liab 5-6'!L34</f>
        <v>14067</v>
      </c>
      <c r="C2916" s="2" t="s">
        <v>594</v>
      </c>
      <c r="D2916" s="2" t="str">
        <f t="shared" si="44"/>
        <v>Error?</v>
      </c>
    </row>
    <row r="2917" spans="1:4" x14ac:dyDescent="0.2">
      <c r="A2917" s="5">
        <v>2856</v>
      </c>
      <c r="B2917" s="138">
        <f>'Assets-Liab 5-6'!L41</f>
        <v>14067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30855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30855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12000</v>
      </c>
      <c r="D3055" s="2" t="str">
        <f t="shared" si="46"/>
        <v>Error?</v>
      </c>
    </row>
    <row r="3056" spans="1:4" x14ac:dyDescent="0.2">
      <c r="A3056" s="5">
        <v>2995</v>
      </c>
      <c r="B3056" s="138">
        <f>'Expenditures 15-22'!D10</f>
        <v>9816</v>
      </c>
      <c r="D3056" s="2" t="str">
        <f t="shared" si="46"/>
        <v>Error?</v>
      </c>
    </row>
    <row r="3057" spans="1:4" x14ac:dyDescent="0.2">
      <c r="A3057" s="5">
        <v>2996</v>
      </c>
      <c r="B3057" s="138">
        <f>'Expenditures 15-22'!E10</f>
        <v>15899</v>
      </c>
      <c r="D3057" s="2" t="str">
        <f t="shared" si="46"/>
        <v>Error?</v>
      </c>
    </row>
    <row r="3058" spans="1:4" x14ac:dyDescent="0.2">
      <c r="A3058" s="5">
        <v>2997</v>
      </c>
      <c r="B3058" s="138">
        <f>'Expenditures 15-22'!F10</f>
        <v>49221</v>
      </c>
      <c r="D3058" s="2" t="str">
        <f t="shared" si="46"/>
        <v>Error?</v>
      </c>
    </row>
    <row r="3059" spans="1:4" x14ac:dyDescent="0.2">
      <c r="A3059" s="5">
        <v>2998</v>
      </c>
      <c r="B3059" s="138">
        <f>'Expenditures 15-22'!G10</f>
        <v>12598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99534</v>
      </c>
      <c r="C3062" s="2" t="s">
        <v>594</v>
      </c>
      <c r="D3062" s="2" t="str">
        <f t="shared" si="46"/>
        <v>Error?</v>
      </c>
    </row>
    <row r="3063" spans="1:4" x14ac:dyDescent="0.2">
      <c r="A3063" s="10">
        <v>3002</v>
      </c>
      <c r="D3063" s="2" t="str">
        <f t="shared" si="46"/>
        <v>OK</v>
      </c>
    </row>
    <row r="3064" spans="1:4" x14ac:dyDescent="0.2">
      <c r="A3064" s="5">
        <v>3003</v>
      </c>
      <c r="B3064" s="138">
        <f>'Expenditures 15-22'!D219</f>
        <v>174</v>
      </c>
      <c r="D3064" s="2" t="str">
        <f t="shared" si="46"/>
        <v>Error?</v>
      </c>
    </row>
    <row r="3065" spans="1:4" x14ac:dyDescent="0.2">
      <c r="A3065" s="5">
        <v>3004</v>
      </c>
      <c r="B3065" s="138">
        <f>'Expenditures 15-22'!K219</f>
        <v>174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9991</v>
      </c>
      <c r="C3225" s="2" t="s">
        <v>594</v>
      </c>
      <c r="D3225" s="2" t="str">
        <f t="shared" si="49"/>
        <v>Error?</v>
      </c>
    </row>
    <row r="3226" spans="1:4" x14ac:dyDescent="0.2">
      <c r="A3226" s="5">
        <v>3165</v>
      </c>
      <c r="B3226" s="138">
        <f>'Acct Summary 7-8'!I8</f>
        <v>9991</v>
      </c>
      <c r="C3226" s="2" t="s">
        <v>594</v>
      </c>
      <c r="D3226" s="2" t="str">
        <f t="shared" si="49"/>
        <v>Error?</v>
      </c>
    </row>
    <row r="3227" spans="1:4" x14ac:dyDescent="0.2">
      <c r="A3227" s="5">
        <v>3166</v>
      </c>
      <c r="B3227" s="138">
        <f>'Acct Summary 7-8'!I20</f>
        <v>9991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54907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5019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1726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4546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-10129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9991</v>
      </c>
      <c r="C3320" s="2" t="s">
        <v>594</v>
      </c>
      <c r="D3320" s="2" t="str">
        <f t="shared" si="50"/>
        <v>Error?</v>
      </c>
    </row>
    <row r="3321" spans="1:4" x14ac:dyDescent="0.2">
      <c r="A3321" s="5">
        <v>3260</v>
      </c>
      <c r="B3321" s="138">
        <f>'Acct Summary 7-8'!I79</f>
        <v>228850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238841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116172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32870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5151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154193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20881</v>
      </c>
      <c r="D3387" s="2" t="str">
        <f t="shared" si="51"/>
        <v>Error?</v>
      </c>
    </row>
    <row r="3388" spans="1:4" x14ac:dyDescent="0.2">
      <c r="A3388" s="5">
        <v>3327</v>
      </c>
      <c r="B3388" s="138">
        <f>'Expenditures 15-22'!D217</f>
        <v>6083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20881</v>
      </c>
      <c r="C3390" s="2" t="s">
        <v>594</v>
      </c>
      <c r="D3390" s="2" t="str">
        <f t="shared" si="51"/>
        <v>Error?</v>
      </c>
    </row>
    <row r="3391" spans="1:4" x14ac:dyDescent="0.2">
      <c r="A3391" s="5">
        <v>3330</v>
      </c>
      <c r="B3391" s="138">
        <f>'Expenditures 15-22'!K217</f>
        <v>6083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163217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205881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28173</v>
      </c>
      <c r="D3417" s="2" t="str">
        <f t="shared" si="52"/>
        <v>Error?</v>
      </c>
    </row>
    <row r="3418" spans="1:4" x14ac:dyDescent="0.2">
      <c r="A3418" s="10">
        <v>3357</v>
      </c>
      <c r="D3418" s="2" t="str">
        <f t="shared" si="52"/>
        <v>OK</v>
      </c>
    </row>
    <row r="3419" spans="1:4" x14ac:dyDescent="0.2">
      <c r="A3419" s="5">
        <v>3358</v>
      </c>
      <c r="B3419" s="138">
        <f>'Assets-Liab 5-6'!F4</f>
        <v>233423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90294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238841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14067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44526</v>
      </c>
      <c r="C3446" s="2" t="s">
        <v>594</v>
      </c>
      <c r="D3446" s="2" t="str">
        <f t="shared" si="52"/>
        <v>Error?</v>
      </c>
    </row>
    <row r="3447" spans="1:4" x14ac:dyDescent="0.2">
      <c r="A3447" s="5">
        <v>3386</v>
      </c>
      <c r="B3447" s="138">
        <f>'Tax Sched 23'!D16</f>
        <v>44526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12473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12473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12473</v>
      </c>
      <c r="D3567" s="2" t="str">
        <f t="shared" si="54"/>
        <v>Error?</v>
      </c>
    </row>
    <row r="3568" spans="1:4" x14ac:dyDescent="0.2">
      <c r="A3568" s="5">
        <v>3507</v>
      </c>
      <c r="B3568" s="138">
        <f>'Assets-Liab 5-6'!K41</f>
        <v>12473</v>
      </c>
      <c r="C3568" s="2" t="s">
        <v>594</v>
      </c>
      <c r="D3568" s="2" t="str">
        <f t="shared" si="54"/>
        <v>Error?</v>
      </c>
    </row>
    <row r="3569" spans="1:4" x14ac:dyDescent="0.2">
      <c r="A3569" s="5">
        <v>3508</v>
      </c>
      <c r="B3569" s="138">
        <f>'Acct Summary 7-8'!K4</f>
        <v>9765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9765</v>
      </c>
      <c r="C3571" s="2" t="s">
        <v>594</v>
      </c>
      <c r="D3571" s="2" t="str">
        <f t="shared" si="54"/>
        <v>Error?</v>
      </c>
    </row>
    <row r="3572" spans="1:4" x14ac:dyDescent="0.2">
      <c r="A3572" s="5">
        <v>3511</v>
      </c>
      <c r="B3572" s="138">
        <f>'Acct Summary 7-8'!K13</f>
        <v>8596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8596</v>
      </c>
      <c r="C3575" s="2" t="s">
        <v>594</v>
      </c>
      <c r="D3575" s="2" t="str">
        <f t="shared" si="54"/>
        <v>Error?</v>
      </c>
    </row>
    <row r="3576" spans="1:4" x14ac:dyDescent="0.2">
      <c r="A3576" s="5">
        <v>3515</v>
      </c>
      <c r="B3576" s="138">
        <f>'Acct Summary 7-8'!K20</f>
        <v>1169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1169</v>
      </c>
      <c r="C3588" s="2" t="s">
        <v>594</v>
      </c>
      <c r="D3588" s="2" t="str">
        <f t="shared" si="55"/>
        <v>Error?</v>
      </c>
    </row>
    <row r="3589" spans="1:4" x14ac:dyDescent="0.2">
      <c r="A3589" s="5">
        <v>3528</v>
      </c>
      <c r="B3589" s="138">
        <f>'Acct Summary 7-8'!K79</f>
        <v>11304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12473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6610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6610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6610</v>
      </c>
      <c r="C3635" s="2" t="s">
        <v>594</v>
      </c>
      <c r="D3635" s="2" t="str">
        <f t="shared" si="55"/>
        <v>Error?</v>
      </c>
    </row>
    <row r="3636" spans="1:4" x14ac:dyDescent="0.2">
      <c r="A3636" s="5">
        <v>3575</v>
      </c>
      <c r="B3636" s="138">
        <f>'Expenditures 15-22'!E367</f>
        <v>6610</v>
      </c>
      <c r="C3636" s="2" t="s">
        <v>594</v>
      </c>
      <c r="D3636" s="2" t="str">
        <f t="shared" si="55"/>
        <v>Error?</v>
      </c>
    </row>
    <row r="3637" spans="1:4" x14ac:dyDescent="0.2">
      <c r="A3637" s="10">
        <v>3576</v>
      </c>
      <c r="D3637" s="2" t="str">
        <f t="shared" si="55"/>
        <v>OK</v>
      </c>
    </row>
    <row r="3638" spans="1:4" x14ac:dyDescent="0.2">
      <c r="A3638" s="5">
        <v>3577</v>
      </c>
      <c r="B3638" s="138">
        <f>'Expenditures 15-22'!F348</f>
        <v>1986</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1986</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1986</v>
      </c>
      <c r="C3642" s="2" t="s">
        <v>594</v>
      </c>
      <c r="D3642" s="2" t="str">
        <f t="shared" si="55"/>
        <v>Error?</v>
      </c>
    </row>
    <row r="3643" spans="1:4" x14ac:dyDescent="0.2">
      <c r="A3643" s="5">
        <v>3582</v>
      </c>
      <c r="B3643" s="138">
        <f>'Expenditures 15-22'!F367</f>
        <v>1986</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8596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8596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8596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8596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1169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9577</v>
      </c>
      <c r="C3725" s="2" t="s">
        <v>594</v>
      </c>
      <c r="D3725" s="2" t="str">
        <f t="shared" si="57"/>
        <v>Error?</v>
      </c>
    </row>
    <row r="3726" spans="1:4" x14ac:dyDescent="0.2">
      <c r="A3726" s="5">
        <v>3665</v>
      </c>
      <c r="B3726" s="138">
        <f>'Tax Sched 23'!D13</f>
        <v>9577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710268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2574714</v>
      </c>
      <c r="C4122" s="2" t="s">
        <v>594</v>
      </c>
      <c r="D4122" s="2" t="str">
        <f t="shared" si="63"/>
        <v>Error?</v>
      </c>
    </row>
    <row r="4123" spans="1:4" x14ac:dyDescent="0.2">
      <c r="A4123" s="5">
        <v>4062</v>
      </c>
      <c r="B4123" s="138">
        <f>'Acct Summary 7-8'!D10</f>
        <v>53793</v>
      </c>
      <c r="C4123" s="2" t="s">
        <v>594</v>
      </c>
      <c r="D4123" s="2" t="str">
        <f t="shared" si="63"/>
        <v>Error?</v>
      </c>
    </row>
    <row r="4124" spans="1:4" x14ac:dyDescent="0.2">
      <c r="A4124" s="5">
        <v>4063</v>
      </c>
      <c r="B4124" s="138">
        <f>'Acct Summary 7-8'!E10</f>
        <v>100034</v>
      </c>
      <c r="C4124" s="2" t="s">
        <v>594</v>
      </c>
      <c r="D4124" s="2" t="str">
        <f t="shared" si="63"/>
        <v>Error?</v>
      </c>
    </row>
    <row r="4125" spans="1:4" x14ac:dyDescent="0.2">
      <c r="A4125" s="5">
        <v>4064</v>
      </c>
      <c r="B4125" s="138">
        <f>'Acct Summary 7-8'!F10</f>
        <v>195318</v>
      </c>
      <c r="C4125" s="2" t="s">
        <v>594</v>
      </c>
      <c r="D4125" s="2" t="str">
        <f t="shared" si="63"/>
        <v>Error?</v>
      </c>
    </row>
    <row r="4126" spans="1:4" x14ac:dyDescent="0.2">
      <c r="A4126" s="5">
        <v>4065</v>
      </c>
      <c r="B4126" s="138">
        <f>'Acct Summary 7-8'!G10</f>
        <v>98719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9991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9765</v>
      </c>
      <c r="C4130" s="2" t="s">
        <v>594</v>
      </c>
      <c r="D4130" s="2" t="str">
        <f t="shared" si="63"/>
        <v>Error?</v>
      </c>
    </row>
    <row r="4131" spans="1:4" x14ac:dyDescent="0.2">
      <c r="A4131" s="5">
        <v>4070</v>
      </c>
      <c r="B4131" s="138">
        <f>'Acct Summary 7-8'!C18</f>
        <v>710268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2519807</v>
      </c>
      <c r="C4136" s="2" t="s">
        <v>594</v>
      </c>
      <c r="D4136" s="2" t="str">
        <f t="shared" si="63"/>
        <v>Error?</v>
      </c>
    </row>
    <row r="4137" spans="1:4" x14ac:dyDescent="0.2">
      <c r="A4137" s="5">
        <v>4076</v>
      </c>
      <c r="B4137" s="138">
        <f>'Acct Summary 7-8'!D19</f>
        <v>48774</v>
      </c>
      <c r="C4137" s="2" t="s">
        <v>594</v>
      </c>
      <c r="D4137" s="2" t="str">
        <f t="shared" si="63"/>
        <v>Error?</v>
      </c>
    </row>
    <row r="4138" spans="1:4" x14ac:dyDescent="0.2">
      <c r="A4138" s="5">
        <v>4077</v>
      </c>
      <c r="B4138" s="138">
        <f>'Acct Summary 7-8'!E19</f>
        <v>110163</v>
      </c>
      <c r="C4138" s="2" t="s">
        <v>594</v>
      </c>
      <c r="D4138" s="2" t="str">
        <f t="shared" si="63"/>
        <v>Error?</v>
      </c>
    </row>
    <row r="4139" spans="1:4" x14ac:dyDescent="0.2">
      <c r="A4139" s="5">
        <v>4078</v>
      </c>
      <c r="B4139" s="138">
        <f>'Acct Summary 7-8'!F19</f>
        <v>193592</v>
      </c>
      <c r="C4139" s="2" t="s">
        <v>594</v>
      </c>
      <c r="D4139" s="2" t="str">
        <f t="shared" si="63"/>
        <v>Error?</v>
      </c>
    </row>
    <row r="4140" spans="1:4" x14ac:dyDescent="0.2">
      <c r="A4140" s="5">
        <v>4079</v>
      </c>
      <c r="B4140" s="138">
        <f>'Acct Summary 7-8'!G19</f>
        <v>94173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8596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255000</v>
      </c>
      <c r="C4171" s="2" t="s">
        <v>594</v>
      </c>
      <c r="D4171" s="2" t="str">
        <f t="shared" si="64"/>
        <v>Error?</v>
      </c>
    </row>
    <row r="4172" spans="1:4" x14ac:dyDescent="0.2">
      <c r="A4172" s="5">
        <v>4111</v>
      </c>
      <c r="B4172" s="138">
        <f>'Short-Term Long-Term Debt 24'!J49</f>
        <v>226827</v>
      </c>
      <c r="C4172" s="2" t="s">
        <v>594</v>
      </c>
      <c r="D4172" s="2" t="str">
        <f t="shared" si="64"/>
        <v>Error?</v>
      </c>
    </row>
    <row r="4173" spans="1:4" x14ac:dyDescent="0.2">
      <c r="A4173" s="5">
        <v>4112</v>
      </c>
      <c r="B4173" s="138">
        <f>'Short-Term Long-Term Debt 24'!H49</f>
        <v>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918.00000000000011</v>
      </c>
      <c r="C4265" s="2" t="s">
        <v>594</v>
      </c>
      <c r="D4265" s="2" t="str">
        <f t="shared" si="65"/>
        <v>Error?</v>
      </c>
      <c r="E4265" s="128"/>
    </row>
    <row r="4266" spans="1:5" x14ac:dyDescent="0.2">
      <c r="A4266" s="12">
        <v>4205</v>
      </c>
      <c r="B4266" s="138">
        <f>('FP Info 3'!F10)*100000</f>
        <v>249.70000000000002</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1288</v>
      </c>
      <c r="C4268" s="2" t="s">
        <v>594</v>
      </c>
      <c r="D4268" s="2" t="str">
        <f t="shared" si="65"/>
        <v>Error?</v>
      </c>
    </row>
    <row r="4269" spans="1:5" x14ac:dyDescent="0.2">
      <c r="A4269" s="12">
        <v>4208</v>
      </c>
      <c r="B4269" s="138">
        <f>'FP Info 3'!J16</f>
        <v>841362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5740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19075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18805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20762615</v>
      </c>
      <c r="D4995" s="2" t="str">
        <f t="shared" si="77"/>
        <v>Error?</v>
      </c>
    </row>
    <row r="4996" spans="1:4" x14ac:dyDescent="0.2">
      <c r="A4996" s="12">
        <v>4935</v>
      </c>
      <c r="B4996" s="138">
        <f>'FP Info 3'!H31</f>
        <v>1432620.4350000001</v>
      </c>
      <c r="D4996" s="2" t="str">
        <f t="shared" si="77"/>
        <v>Error?</v>
      </c>
    </row>
    <row r="4997" spans="1:4" x14ac:dyDescent="0.2">
      <c r="A4997" s="12">
        <v>4936</v>
      </c>
      <c r="B4997" s="138">
        <f>'FP Info 3'!H37</f>
        <v>255000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9577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176797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186374</v>
      </c>
      <c r="C5066" s="2" t="s">
        <v>594</v>
      </c>
      <c r="D5066" s="2" t="str">
        <f t="shared" si="78"/>
        <v>Error?</v>
      </c>
    </row>
    <row r="5067" spans="1:4" x14ac:dyDescent="0.2">
      <c r="A5067" s="5">
        <v>5006</v>
      </c>
      <c r="B5067" s="138">
        <f>'Revenues 9-14'!C14</f>
        <v>3033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40127</v>
      </c>
      <c r="D5069" s="2" t="str">
        <f t="shared" si="78"/>
        <v>Error?</v>
      </c>
    </row>
    <row r="5070" spans="1:4" x14ac:dyDescent="0.2">
      <c r="A5070" s="5">
        <v>5009</v>
      </c>
      <c r="B5070" s="138">
        <f>'Revenues 9-14'!C17</f>
        <v>488</v>
      </c>
      <c r="D5070" s="2" t="str">
        <f t="shared" si="78"/>
        <v>Error?</v>
      </c>
    </row>
    <row r="5071" spans="1:4" x14ac:dyDescent="0.2">
      <c r="A5071" s="5">
        <v>5010</v>
      </c>
      <c r="B5071" s="138">
        <f>'Revenues 9-14'!C18</f>
        <v>43648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1826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1901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19931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2886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2886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4347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51501</v>
      </c>
      <c r="D5118" s="2" t="str">
        <f t="shared" si="78"/>
        <v>Error?</v>
      </c>
    </row>
    <row r="5119" spans="1:4" x14ac:dyDescent="0.2">
      <c r="A5119" s="5">
        <v>5058</v>
      </c>
      <c r="B5119" s="138">
        <f>'Revenues 9-14'!C107</f>
        <v>8949</v>
      </c>
      <c r="D5119" s="2" t="str">
        <f t="shared" ref="D5119:D5182" si="79">IF(ISBLANK(B5119),"OK",IF(A5119-B5119=0,"OK","Error?"))</f>
        <v>Error?</v>
      </c>
    </row>
    <row r="5120" spans="1:4" x14ac:dyDescent="0.2">
      <c r="A5120" s="5">
        <v>5059</v>
      </c>
      <c r="B5120" s="138">
        <f>'Revenues 9-14'!C108</f>
        <v>64797</v>
      </c>
      <c r="C5120" s="2" t="s">
        <v>594</v>
      </c>
      <c r="D5120" s="2" t="str">
        <f t="shared" si="79"/>
        <v>Error?</v>
      </c>
    </row>
    <row r="5121" spans="1:4" x14ac:dyDescent="0.2">
      <c r="A5121" s="5">
        <v>5060</v>
      </c>
      <c r="B5121" s="138">
        <f>'Revenues 9-14'!C109</f>
        <v>317636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1161493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1161493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15470</v>
      </c>
      <c r="D5134" s="2" t="str">
        <f t="shared" si="79"/>
        <v>Error?</v>
      </c>
    </row>
    <row r="5135" spans="1:4" x14ac:dyDescent="0.2">
      <c r="A5135" s="5">
        <v>5074</v>
      </c>
      <c r="B5135" s="138">
        <f>'Revenues 9-14'!C126</f>
        <v>23940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39410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908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146198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188016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1349509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45674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15078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60752</v>
      </c>
      <c r="C5246" s="2" t="s">
        <v>594</v>
      </c>
      <c r="D5246" s="2" t="str">
        <f t="shared" si="80"/>
        <v>Error?</v>
      </c>
    </row>
    <row r="5247" spans="1:4" x14ac:dyDescent="0.2">
      <c r="A5247" s="5">
        <v>5186</v>
      </c>
      <c r="B5247" s="138">
        <f>'Revenues 9-14'!C203</f>
        <v>92929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92929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197301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197301</v>
      </c>
      <c r="C5326" s="2" t="s">
        <v>594</v>
      </c>
      <c r="D5326" s="2" t="str">
        <f t="shared" si="82"/>
        <v>Error?</v>
      </c>
    </row>
    <row r="5327" spans="1:4" x14ac:dyDescent="0.2">
      <c r="A5327" s="5">
        <v>5266</v>
      </c>
      <c r="B5327" s="138">
        <f>'Revenues 9-14'!C275</f>
        <v>1864446</v>
      </c>
      <c r="C5327" s="2" t="s">
        <v>594</v>
      </c>
      <c r="D5327" s="2" t="str">
        <f t="shared" si="82"/>
        <v>Error?</v>
      </c>
    </row>
    <row r="5328" spans="1:4" x14ac:dyDescent="0.2">
      <c r="A5328" s="5">
        <v>5267</v>
      </c>
      <c r="B5328" s="138">
        <f>'Revenues 9-14'!D5</f>
        <v>48045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3747</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51792</v>
      </c>
      <c r="C5334" s="2" t="s">
        <v>594</v>
      </c>
      <c r="D5334" s="2" t="str">
        <f t="shared" si="82"/>
        <v>Error?</v>
      </c>
    </row>
    <row r="5335" spans="1:4" x14ac:dyDescent="0.2">
      <c r="A5335" s="5">
        <v>5274</v>
      </c>
      <c r="B5335" s="138">
        <f>'Revenues 9-14'!D14</f>
        <v>843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843</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1158</v>
      </c>
      <c r="D5354" s="2" t="str">
        <f t="shared" si="82"/>
        <v>Error?</v>
      </c>
    </row>
    <row r="5355" spans="1:4" x14ac:dyDescent="0.2">
      <c r="A5355" s="5">
        <v>5294</v>
      </c>
      <c r="B5355" s="138">
        <f>'Revenues 9-14'!D108</f>
        <v>1158</v>
      </c>
      <c r="C5355" s="2" t="s">
        <v>594</v>
      </c>
      <c r="D5355" s="2" t="str">
        <f t="shared" si="82"/>
        <v>Error?</v>
      </c>
    </row>
    <row r="5356" spans="1:4" x14ac:dyDescent="0.2">
      <c r="A5356" s="5">
        <v>5295</v>
      </c>
      <c r="B5356" s="138">
        <f>'Revenues 9-14'!D109</f>
        <v>53793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53793</v>
      </c>
      <c r="C5508" s="2" t="s">
        <v>594</v>
      </c>
      <c r="D5508" s="2" t="str">
        <f t="shared" si="85"/>
        <v>Error?</v>
      </c>
    </row>
    <row r="5509" spans="1:4" x14ac:dyDescent="0.2">
      <c r="A5509" s="5">
        <v>5448</v>
      </c>
      <c r="B5509" s="138">
        <f>'Revenues 9-14'!E5</f>
        <v>98435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98435</v>
      </c>
      <c r="C5513" s="2" t="s">
        <v>594</v>
      </c>
      <c r="D5513" s="2" t="str">
        <f t="shared" si="85"/>
        <v>Error?</v>
      </c>
    </row>
    <row r="5514" spans="1:4" x14ac:dyDescent="0.2">
      <c r="A5514" s="5">
        <v>5453</v>
      </c>
      <c r="B5514" s="138">
        <f>'Revenues 9-14'!E14</f>
        <v>1599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1599</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100034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100034</v>
      </c>
      <c r="C5552" s="2" t="s">
        <v>594</v>
      </c>
      <c r="D5552" s="2" t="str">
        <f t="shared" si="85"/>
        <v>Error?</v>
      </c>
    </row>
    <row r="5553" spans="1:4" x14ac:dyDescent="0.2">
      <c r="A5553" s="5">
        <v>5492</v>
      </c>
      <c r="B5553" s="138">
        <f>'Revenues 9-14'!F5</f>
        <v>23061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23061</v>
      </c>
      <c r="C5557" s="2" t="s">
        <v>594</v>
      </c>
      <c r="D5557" s="2" t="str">
        <f t="shared" si="85"/>
        <v>Error?</v>
      </c>
    </row>
    <row r="5558" spans="1:4" x14ac:dyDescent="0.2">
      <c r="A5558" s="5">
        <v>5497</v>
      </c>
      <c r="B5558" s="138">
        <f>'Revenues 9-14'!F14</f>
        <v>375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375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23436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170110</v>
      </c>
      <c r="D5615" s="2" t="str">
        <f t="shared" si="86"/>
        <v>Error?</v>
      </c>
    </row>
    <row r="5616" spans="1:4" x14ac:dyDescent="0.2">
      <c r="A5616" s="10">
        <v>5555</v>
      </c>
      <c r="D5616" s="2" t="str">
        <f t="shared" si="86"/>
        <v>OK</v>
      </c>
    </row>
    <row r="5617" spans="1:4" x14ac:dyDescent="0.2">
      <c r="A5617" s="5">
        <v>5556</v>
      </c>
      <c r="B5617" s="138">
        <f>'Revenues 9-14'!F152</f>
        <v>1772</v>
      </c>
      <c r="D5617" s="2" t="str">
        <f t="shared" si="86"/>
        <v>Error?</v>
      </c>
    </row>
    <row r="5618" spans="1:4" x14ac:dyDescent="0.2">
      <c r="A5618" s="5">
        <v>5557</v>
      </c>
      <c r="B5618" s="138">
        <f>'Revenues 9-14'!F154</f>
        <v>171882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171882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171882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195318</v>
      </c>
      <c r="C5720" s="2" t="s">
        <v>594</v>
      </c>
      <c r="D5720" s="2" t="str">
        <f t="shared" si="88"/>
        <v>Error?</v>
      </c>
    </row>
    <row r="5721" spans="1:4" x14ac:dyDescent="0.2">
      <c r="A5721" s="5">
        <v>5660</v>
      </c>
      <c r="B5721" s="138">
        <f>'Revenues 9-14'!G5</f>
        <v>44526</v>
      </c>
      <c r="D5721" s="2" t="str">
        <f t="shared" si="88"/>
        <v>Error?</v>
      </c>
    </row>
    <row r="5722" spans="1:4" x14ac:dyDescent="0.2">
      <c r="A5722" s="5">
        <v>5661</v>
      </c>
      <c r="B5722" s="138">
        <f>'Revenues 9-14'!G7</f>
        <v>0</v>
      </c>
      <c r="D5722" s="2" t="str">
        <f t="shared" si="88"/>
        <v>Error?</v>
      </c>
    </row>
    <row r="5723" spans="1:4" x14ac:dyDescent="0.2">
      <c r="A5723" s="5">
        <v>5662</v>
      </c>
      <c r="B5723" s="138">
        <f>'Revenues 9-14'!G8</f>
        <v>44526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89052</v>
      </c>
      <c r="C5725" s="2" t="s">
        <v>594</v>
      </c>
      <c r="D5725" s="2" t="str">
        <f t="shared" si="88"/>
        <v>Error?</v>
      </c>
    </row>
    <row r="5726" spans="1:4" x14ac:dyDescent="0.2">
      <c r="A5726" s="5">
        <v>5665</v>
      </c>
      <c r="B5726" s="138">
        <f>'Revenues 9-14'!G14</f>
        <v>1448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8219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9667</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98719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9609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9609</v>
      </c>
      <c r="C5918" s="2" t="s">
        <v>594</v>
      </c>
      <c r="D5918" s="2" t="str">
        <f t="shared" si="91"/>
        <v>Error?</v>
      </c>
    </row>
    <row r="5919" spans="1:4" x14ac:dyDescent="0.2">
      <c r="A5919" s="5">
        <v>5858</v>
      </c>
      <c r="B5919" s="138">
        <f>'Revenues 9-14'!I14</f>
        <v>156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156</v>
      </c>
      <c r="C5923" s="2" t="s">
        <v>594</v>
      </c>
      <c r="D5923" s="2" t="str">
        <f t="shared" si="91"/>
        <v>Error?</v>
      </c>
    </row>
    <row r="5924" spans="1:4" x14ac:dyDescent="0.2">
      <c r="A5924" s="5">
        <v>5863</v>
      </c>
      <c r="B5924" s="138">
        <f>'Revenues 9-14'!I65</f>
        <v>226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9991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9609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9609</v>
      </c>
      <c r="C5987" s="2" t="s">
        <v>594</v>
      </c>
      <c r="D5987" s="2" t="str">
        <f t="shared" si="92"/>
        <v>Error?</v>
      </c>
    </row>
    <row r="5988" spans="1:4" x14ac:dyDescent="0.2">
      <c r="A5988" s="5">
        <v>5927</v>
      </c>
      <c r="B5988" s="138">
        <f>'Revenues 9-14'!K14</f>
        <v>156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156</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9765</v>
      </c>
      <c r="C6023" s="2" t="s">
        <v>594</v>
      </c>
      <c r="D6023" s="2" t="str">
        <f t="shared" si="93"/>
        <v>Error?</v>
      </c>
    </row>
    <row r="6024" spans="1:5" x14ac:dyDescent="0.2">
      <c r="A6024" s="5">
        <v>5963</v>
      </c>
      <c r="B6024" s="138">
        <f>'Revenues 9-14'!G109</f>
        <v>98719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9991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9765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16204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8920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195.89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50076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50076</v>
      </c>
      <c r="D6215" s="2" t="str">
        <f t="shared" si="96"/>
        <v>Error?</v>
      </c>
      <c r="E6215" s="2" t="s">
        <v>199</v>
      </c>
    </row>
    <row r="6216" spans="1:5" x14ac:dyDescent="0.2">
      <c r="A6216">
        <v>6155</v>
      </c>
      <c r="B6216" s="138">
        <f>'Assets-Liab 5-6'!J41</f>
        <v>50076</v>
      </c>
      <c r="D6216" s="2" t="str">
        <f t="shared" si="96"/>
        <v>Error?</v>
      </c>
      <c r="E6216" s="2" t="s">
        <v>199</v>
      </c>
    </row>
    <row r="6217" spans="1:5" x14ac:dyDescent="0.2">
      <c r="A6217">
        <v>6156</v>
      </c>
      <c r="B6217" s="138">
        <f>'Assets-Liab 5-6'!J4</f>
        <v>50076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78891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78891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78891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63397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63397</v>
      </c>
      <c r="D6229" s="2" t="str">
        <f t="shared" si="96"/>
        <v>Error?</v>
      </c>
      <c r="E6229" s="2" t="s">
        <v>199</v>
      </c>
    </row>
    <row r="6230" spans="1:5" x14ac:dyDescent="0.2">
      <c r="A6230">
        <v>6169</v>
      </c>
      <c r="B6230" s="138">
        <f>'Acct Summary 7-8'!J20</f>
        <v>15494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15494</v>
      </c>
      <c r="D6263" s="2" t="str">
        <f t="shared" si="96"/>
        <v>Error?</v>
      </c>
      <c r="E6263" s="2" t="s">
        <v>199</v>
      </c>
    </row>
    <row r="6264" spans="1:5" x14ac:dyDescent="0.2">
      <c r="A6264">
        <v>6203</v>
      </c>
      <c r="B6264" s="138">
        <f>'Acct Summary 7-8'!J79</f>
        <v>34582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50076</v>
      </c>
      <c r="D6266" s="2" t="str">
        <f t="shared" si="96"/>
        <v>Error?</v>
      </c>
      <c r="E6266" s="2" t="s">
        <v>199</v>
      </c>
    </row>
    <row r="6267" spans="1:5" x14ac:dyDescent="0.2">
      <c r="A6267">
        <v>6206</v>
      </c>
      <c r="B6267" s="138">
        <f>'Acct Summary 7-8'!C82</f>
        <v>54907</v>
      </c>
      <c r="D6267" s="2" t="str">
        <f t="shared" si="96"/>
        <v>Error?</v>
      </c>
      <c r="E6267" s="2" t="s">
        <v>199</v>
      </c>
    </row>
    <row r="6268" spans="1:5" x14ac:dyDescent="0.2">
      <c r="A6268">
        <v>6207</v>
      </c>
      <c r="B6268" s="138">
        <f>'Acct Summary 7-8'!D82</f>
        <v>5019</v>
      </c>
      <c r="D6268" s="2" t="str">
        <f t="shared" si="96"/>
        <v>Error?</v>
      </c>
      <c r="E6268" s="2" t="s">
        <v>199</v>
      </c>
    </row>
    <row r="6269" spans="1:5" x14ac:dyDescent="0.2">
      <c r="A6269">
        <v>6208</v>
      </c>
      <c r="B6269" s="138">
        <f>'Acct Summary 7-8'!E82</f>
        <v>-10129</v>
      </c>
      <c r="D6269" s="2" t="str">
        <f t="shared" si="96"/>
        <v>Error?</v>
      </c>
      <c r="E6269" s="2" t="s">
        <v>199</v>
      </c>
    </row>
    <row r="6270" spans="1:5" x14ac:dyDescent="0.2">
      <c r="A6270">
        <v>6209</v>
      </c>
      <c r="B6270" s="138">
        <f>'Acct Summary 7-8'!F82</f>
        <v>1726</v>
      </c>
      <c r="D6270" s="2" t="str">
        <f t="shared" si="96"/>
        <v>Error?</v>
      </c>
      <c r="E6270" s="2" t="s">
        <v>199</v>
      </c>
    </row>
    <row r="6271" spans="1:5" x14ac:dyDescent="0.2">
      <c r="A6271">
        <v>6210</v>
      </c>
      <c r="B6271" s="138">
        <f>'Acct Summary 7-8'!G82</f>
        <v>4546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9991</v>
      </c>
      <c r="D6273" s="2" t="str">
        <f t="shared" si="97"/>
        <v>Error?</v>
      </c>
      <c r="E6273" s="2" t="s">
        <v>199</v>
      </c>
    </row>
    <row r="6274" spans="1:5" x14ac:dyDescent="0.2">
      <c r="A6274">
        <v>6213</v>
      </c>
      <c r="B6274" s="138">
        <f>'Acct Summary 7-8'!J82</f>
        <v>15494</v>
      </c>
      <c r="D6274" s="2" t="str">
        <f t="shared" si="97"/>
        <v>Error?</v>
      </c>
      <c r="E6274" s="2" t="s">
        <v>199</v>
      </c>
    </row>
    <row r="6275" spans="1:5" x14ac:dyDescent="0.2">
      <c r="A6275">
        <v>6214</v>
      </c>
      <c r="B6275" s="138">
        <f>'Acct Summary 7-8'!K82</f>
        <v>1169</v>
      </c>
      <c r="D6275" s="2" t="str">
        <f t="shared" si="97"/>
        <v>Error?</v>
      </c>
      <c r="E6275" s="2" t="s">
        <v>199</v>
      </c>
    </row>
    <row r="6276" spans="1:5" x14ac:dyDescent="0.2">
      <c r="A6276">
        <v>6215</v>
      </c>
      <c r="B6276" s="138">
        <f>'Acct Summary 7-8'!C83</f>
        <v>0.33640490880239193</v>
      </c>
      <c r="D6276" s="2" t="str">
        <f t="shared" si="97"/>
        <v>Error?</v>
      </c>
      <c r="E6276" s="2" t="s">
        <v>199</v>
      </c>
    </row>
    <row r="6277" spans="1:5" x14ac:dyDescent="0.2">
      <c r="A6277">
        <v>6216</v>
      </c>
      <c r="B6277" s="138">
        <f>'Acct Summary 7-8'!D83</f>
        <v>2.4378160199338451E-2</v>
      </c>
      <c r="D6277" s="2" t="str">
        <f t="shared" si="97"/>
        <v>Error?</v>
      </c>
      <c r="E6277" s="2" t="s">
        <v>199</v>
      </c>
    </row>
    <row r="6278" spans="1:5" x14ac:dyDescent="0.2">
      <c r="A6278">
        <v>6217</v>
      </c>
      <c r="B6278" s="138">
        <f>'Acct Summary 7-8'!E83</f>
        <v>-0.35952862669932206</v>
      </c>
      <c r="D6278" s="2" t="str">
        <f t="shared" si="97"/>
        <v>Error?</v>
      </c>
      <c r="E6278" s="2" t="s">
        <v>199</v>
      </c>
    </row>
    <row r="6279" spans="1:5" x14ac:dyDescent="0.2">
      <c r="A6279">
        <v>6218</v>
      </c>
      <c r="B6279" s="138">
        <f>'Acct Summary 7-8'!F83</f>
        <v>7.3943013327735481E-3</v>
      </c>
      <c r="D6279" s="2" t="str">
        <f t="shared" si="97"/>
        <v>Error?</v>
      </c>
      <c r="E6279" s="2" t="s">
        <v>199</v>
      </c>
    </row>
    <row r="6280" spans="1:5" x14ac:dyDescent="0.2">
      <c r="A6280">
        <v>6219</v>
      </c>
      <c r="B6280" s="138">
        <f>'Acct Summary 7-8'!G83</f>
        <v>5.0346645402795313E-2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4.1831176389313392E-2</v>
      </c>
      <c r="D6282" s="2" t="str">
        <f t="shared" si="97"/>
        <v>Error?</v>
      </c>
      <c r="E6282" s="2" t="s">
        <v>199</v>
      </c>
    </row>
    <row r="6283" spans="1:5" x14ac:dyDescent="0.2">
      <c r="A6283">
        <v>6222</v>
      </c>
      <c r="B6283" s="138">
        <f>'Acct Summary 7-8'!J83</f>
        <v>0.30940969726016454</v>
      </c>
      <c r="D6283" s="2" t="str">
        <f t="shared" si="97"/>
        <v>Error?</v>
      </c>
      <c r="E6283" s="2" t="s">
        <v>199</v>
      </c>
    </row>
    <row r="6284" spans="1:5" x14ac:dyDescent="0.2">
      <c r="A6284">
        <v>6223</v>
      </c>
      <c r="B6284" s="138">
        <f>'Acct Summary 7-8'!K83</f>
        <v>9.372244047141827E-2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77630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77630</v>
      </c>
      <c r="D6301" s="2" t="str">
        <f t="shared" si="97"/>
        <v>Error?</v>
      </c>
      <c r="E6301" s="2" t="s">
        <v>199</v>
      </c>
    </row>
    <row r="6302" spans="1:5" x14ac:dyDescent="0.2">
      <c r="A6302">
        <v>6241</v>
      </c>
      <c r="B6302" s="138">
        <f>'Revenues 9-14'!J14</f>
        <v>1261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1261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78891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90858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63397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78891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4626</v>
      </c>
      <c r="D7075" s="2" t="str">
        <f t="shared" si="109"/>
        <v>Error?</v>
      </c>
    </row>
    <row r="7076" spans="1:4" x14ac:dyDescent="0.2">
      <c r="A7076">
        <v>7015</v>
      </c>
      <c r="B7076" s="138">
        <f>'Expenditures 15-22'!K218</f>
        <v>4626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12249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12249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28500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364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28864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725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725</v>
      </c>
      <c r="D7198" s="2" t="str">
        <f t="shared" si="111"/>
        <v>Error?</v>
      </c>
    </row>
    <row r="7199" spans="1:4" x14ac:dyDescent="0.2">
      <c r="A7199">
        <v>7138</v>
      </c>
      <c r="B7199" s="138">
        <f>'Expenditures 15-22'!C330</f>
        <v>28500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34897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63397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28500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34897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63397</v>
      </c>
      <c r="D7224" s="2" t="str">
        <f t="shared" si="111"/>
        <v>Error?</v>
      </c>
    </row>
    <row r="7225" spans="1:4" x14ac:dyDescent="0.2">
      <c r="A7225">
        <v>7164</v>
      </c>
      <c r="B7225" s="138">
        <f>'Expenditures 15-22'!K343</f>
        <v>15494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62840</v>
      </c>
      <c r="D7251" s="2" t="str">
        <f t="shared" si="112"/>
        <v>Error?</v>
      </c>
    </row>
    <row r="7252" spans="1:4" x14ac:dyDescent="0.2">
      <c r="A7252">
        <f t="shared" si="113"/>
        <v>7191</v>
      </c>
      <c r="B7252" s="138">
        <f>'Expenditures 15-22'!D9</f>
        <v>19602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8416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150537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21559</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21559</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1158</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1158</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1158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3747</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1158</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New Simpson Hill School District #32</v>
      </c>
      <c r="B7" s="2402"/>
      <c r="C7" s="2402"/>
      <c r="D7" s="2439"/>
      <c r="E7" s="2440" t="str">
        <f>COVER!A13</f>
        <v>21-044-0320-03</v>
      </c>
      <c r="F7" s="2441"/>
      <c r="G7" s="2408" t="str">
        <f>COVER!T23</f>
        <v>065-022629</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Cindy A. Bobell, CPA</v>
      </c>
      <c r="H9" s="2415"/>
      <c r="I9" s="2415"/>
      <c r="J9" s="2415"/>
      <c r="K9" s="2415"/>
      <c r="L9" s="2416"/>
    </row>
    <row r="10" spans="1:29" ht="13.5" customHeight="1" x14ac:dyDescent="0.2">
      <c r="A10" s="2398" t="str">
        <f>COVER!A38</f>
        <v>Joe Nighswander</v>
      </c>
      <c r="B10" s="2399"/>
      <c r="C10" s="2399"/>
      <c r="D10" s="2399"/>
      <c r="E10" s="2399"/>
      <c r="F10" s="2400"/>
      <c r="G10" s="2414" t="str">
        <f>COVER!T17</f>
        <v>10653 Khoury League Road</v>
      </c>
      <c r="H10" s="2427"/>
      <c r="I10" s="2427"/>
      <c r="J10" s="2427"/>
      <c r="K10" s="2427"/>
      <c r="L10" s="2428"/>
    </row>
    <row r="11" spans="1:29" ht="13.5" customHeight="1" x14ac:dyDescent="0.2">
      <c r="A11" s="1185" t="s">
        <v>1599</v>
      </c>
      <c r="B11" s="1186"/>
      <c r="C11" s="1187"/>
      <c r="D11" s="1192"/>
      <c r="E11" s="1187"/>
      <c r="F11" s="1191"/>
      <c r="G11" s="2414" t="str">
        <f>COVER!T19</f>
        <v>Marion</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f>COVER!T25</f>
        <v>0</v>
      </c>
      <c r="J13" s="2436"/>
      <c r="K13" s="2436"/>
      <c r="L13" s="2437"/>
    </row>
    <row r="14" spans="1:29" ht="13.5" customHeight="1" x14ac:dyDescent="0.2">
      <c r="A14" s="2414" t="str">
        <f>COVER!A19</f>
        <v>95 Tunnel Hill Road</v>
      </c>
      <c r="B14" s="2427"/>
      <c r="C14" s="2427"/>
      <c r="D14" s="2427"/>
      <c r="E14" s="2427"/>
      <c r="F14" s="2428"/>
      <c r="G14" s="1196" t="s">
        <v>1247</v>
      </c>
      <c r="H14" s="1194"/>
      <c r="I14" s="1194"/>
      <c r="J14" s="1194"/>
      <c r="K14" s="1194"/>
      <c r="L14" s="1195"/>
    </row>
    <row r="15" spans="1:29" ht="13.5" customHeight="1" x14ac:dyDescent="0.2">
      <c r="A15" s="2414" t="str">
        <f>COVER!A21</f>
        <v>Tunnel Hill</v>
      </c>
      <c r="B15" s="2427"/>
      <c r="C15" s="2427"/>
      <c r="D15" s="2427"/>
      <c r="E15" s="2427"/>
      <c r="F15" s="2428"/>
      <c r="G15" s="2424" t="str">
        <f>COVER!T15</f>
        <v>Cindy A. Bobell, CPA</v>
      </c>
      <c r="H15" s="2425"/>
      <c r="I15" s="2425"/>
      <c r="J15" s="2425"/>
      <c r="K15" s="2425"/>
      <c r="L15" s="2426"/>
    </row>
    <row r="16" spans="1:29" ht="12.2" customHeight="1" x14ac:dyDescent="0.2">
      <c r="A16" s="2404">
        <f>COVER!A25</f>
        <v>62972</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618-997-9711</v>
      </c>
      <c r="H18" s="2402"/>
      <c r="I18" s="2402"/>
      <c r="J18" s="2402"/>
      <c r="K18" s="2401" t="str">
        <f>COVER!X21</f>
        <v>618-997-8014</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New Simpson Hill School District #32</v>
      </c>
      <c r="B1" s="2438"/>
      <c r="C1" s="2438"/>
      <c r="D1" s="2438"/>
    </row>
    <row r="2" spans="1:11" s="1215" customFormat="1" ht="12.75" x14ac:dyDescent="0.2">
      <c r="A2" s="2443" t="str">
        <f>'Single Audit Cover'!E7</f>
        <v>21-044-0320-03</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New Simpson Hill School District #32</v>
      </c>
      <c r="B1" s="2446"/>
      <c r="C1" s="2446"/>
      <c r="D1" s="2446"/>
      <c r="E1" s="2446"/>
    </row>
    <row r="2" spans="1:5" x14ac:dyDescent="0.2">
      <c r="A2" s="2447" t="str">
        <f>'Single Audit Cover'!E7</f>
        <v>21-044-0320-03</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197301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8920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-19075</v>
      </c>
    </row>
    <row r="19" spans="1:4" ht="13.5" thickBot="1" x14ac:dyDescent="0.25">
      <c r="A19" s="1265" t="s">
        <v>1297</v>
      </c>
      <c r="D19" s="1266">
        <f>SUM(D10:D17)</f>
        <v>187146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187146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187146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New Simpson Hill School District #32</v>
      </c>
      <c r="B1" s="2451"/>
      <c r="C1" s="2451"/>
      <c r="D1" s="2451"/>
      <c r="E1" s="2451"/>
      <c r="F1" s="2451"/>
    </row>
    <row r="2" spans="1:7" ht="13.5" customHeight="1" x14ac:dyDescent="0.2">
      <c r="A2" s="2452" t="str">
        <f>'Single Audit Cover'!E7</f>
        <v>21-044-0320-03</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0">
        <f>+C33+C34</f>
        <v>0</v>
      </c>
      <c r="F34" s="246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New Simpson Hill School District #32</v>
      </c>
      <c r="C1" s="2463"/>
      <c r="D1" s="2463"/>
      <c r="E1" s="2463"/>
      <c r="F1" s="2463"/>
      <c r="G1" s="2463"/>
      <c r="H1" s="2463"/>
      <c r="I1" s="2463"/>
      <c r="J1" s="2463"/>
      <c r="K1" s="2463"/>
      <c r="L1" s="2463"/>
      <c r="M1" s="2463"/>
    </row>
    <row r="2" spans="2:14" ht="15" x14ac:dyDescent="0.2">
      <c r="B2" s="2452" t="str">
        <f>'Single Audit Cover'!E7</f>
        <v>21-044-0320-03</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5" colorId="8" zoomScale="110" zoomScaleNormal="110" workbookViewId="0">
      <selection activeCell="T25" sqref="T25:AA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2086</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New Simpson Hill School District #32</v>
      </c>
      <c r="C1" s="2471"/>
      <c r="D1" s="2471"/>
      <c r="E1" s="2471"/>
      <c r="F1" s="2471"/>
      <c r="G1" s="2471"/>
      <c r="H1" s="2471"/>
      <c r="I1" s="2471"/>
      <c r="J1" s="1422"/>
    </row>
    <row r="2" spans="2:10" s="317" customFormat="1" ht="12.75" customHeight="1" x14ac:dyDescent="0.2">
      <c r="B2" s="2472" t="str">
        <f>'Single Audit Cover'!E7</f>
        <v>21-044-0320-03</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1951</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B34" sqref="B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New Simpson Hill School District #32</v>
      </c>
      <c r="C1" s="2470"/>
      <c r="D1" s="2470"/>
      <c r="E1" s="2470"/>
      <c r="F1" s="2470"/>
      <c r="G1" s="2470"/>
      <c r="H1" s="2470"/>
      <c r="I1" s="2470"/>
      <c r="J1" s="2470"/>
      <c r="K1" s="2470"/>
      <c r="L1" s="1374"/>
      <c r="M1" s="1374"/>
    </row>
    <row r="2" spans="1:13" ht="12" customHeight="1" x14ac:dyDescent="0.2">
      <c r="B2" s="2472" t="str">
        <f>'Single Audit Cover'!E7</f>
        <v>21-044-0320-03</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1997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2102</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2102</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t="s">
        <v>2103</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2104</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oddFooter>&amp;RB-37</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5" zoomScale="110" zoomScaleNormal="110" workbookViewId="0">
      <selection activeCell="B34" sqref="B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New Simpson Hill School District #32</v>
      </c>
      <c r="C1" s="2470"/>
      <c r="D1" s="2470"/>
      <c r="E1" s="2470"/>
      <c r="F1" s="2470"/>
      <c r="G1" s="2470"/>
      <c r="H1" s="2470"/>
      <c r="I1" s="2470"/>
      <c r="J1" s="2470"/>
      <c r="K1" s="2470"/>
      <c r="L1" s="1374"/>
      <c r="M1" s="1374"/>
    </row>
    <row r="2" spans="1:13" ht="12" customHeight="1" x14ac:dyDescent="0.2">
      <c r="B2" s="2472" t="str">
        <f>'Single Audit Cover'!E7</f>
        <v>21-044-0320-03</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956"/>
      <c r="M3" s="195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1997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2105</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2105</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t="s">
        <v>2106</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2107</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&amp;RB-38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New Simpson Hill School District #32</v>
      </c>
      <c r="C1" s="2497"/>
      <c r="D1" s="2497"/>
      <c r="E1" s="2497"/>
      <c r="F1" s="2497"/>
      <c r="G1" s="2497"/>
      <c r="H1" s="2497"/>
      <c r="I1" s="2497"/>
      <c r="J1" s="2497"/>
      <c r="K1" s="2497"/>
      <c r="L1" s="1465"/>
    </row>
    <row r="2" spans="1:12" ht="12.75" customHeight="1" x14ac:dyDescent="0.2">
      <c r="B2" s="2498" t="str">
        <f>'Single Audit Cover'!E7</f>
        <v>21-044-0320-03</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New Simpson Hill School District #32</v>
      </c>
      <c r="C1" s="2470"/>
      <c r="D1" s="2470"/>
      <c r="E1" s="1491"/>
    </row>
    <row r="2" spans="2:5" s="1282" customFormat="1" ht="12.75" customHeight="1" x14ac:dyDescent="0.2">
      <c r="B2" s="2472" t="str">
        <f>'Single Audit Cover'!E7</f>
        <v>21-044-0320-03</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T25" sqref="T25:AA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20762615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9.1800000000000007E-3</v>
      </c>
      <c r="E10" s="356" t="s">
        <v>1062</v>
      </c>
      <c r="F10" s="355">
        <v>2.4970000000000001E-3</v>
      </c>
      <c r="G10" s="356" t="s">
        <v>1062</v>
      </c>
      <c r="H10" s="355">
        <v>1.1999999999999999E-3</v>
      </c>
      <c r="I10" s="356" t="s">
        <v>1063</v>
      </c>
      <c r="J10" s="1754">
        <f>ROUND(D10+F10+H10,5)</f>
        <v>1.2880000000000001E-2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2123548</v>
      </c>
      <c r="E16" s="356"/>
      <c r="F16" s="1755">
        <f>SUM('Acct Summary 7-8'!C17,'Acct Summary 7-8'!D17,'Acct Summary 7-8'!F17)</f>
        <v>2051905</v>
      </c>
      <c r="G16" s="356"/>
      <c r="H16" s="1755">
        <f>SUM(D16-F16)</f>
        <v>71643</v>
      </c>
      <c r="I16" s="222"/>
      <c r="J16" s="1755">
        <f>SUM('Acct Summary 7-8'!C81,'Acct Summary 7-8'!D81,'Acct Summary 7-8'!F81,'Acct Summary 7-8'!I81)</f>
        <v>841362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1432620.4350000001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T25" sqref="T25:AA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New Simpson Hill School District #32</v>
      </c>
      <c r="E7" s="391"/>
      <c r="G7" s="252"/>
      <c r="H7" s="387"/>
      <c r="I7" s="387"/>
      <c r="J7" s="387"/>
      <c r="K7" s="387"/>
      <c r="L7" s="329"/>
      <c r="M7" s="329"/>
      <c r="N7" s="329"/>
      <c r="O7" s="329"/>
      <c r="P7" s="329"/>
    </row>
    <row r="8" spans="1:18" ht="12.75" x14ac:dyDescent="0.2">
      <c r="A8" s="329"/>
      <c r="B8" s="329"/>
      <c r="C8" s="389" t="s">
        <v>1187</v>
      </c>
      <c r="D8" s="392" t="str">
        <f>COVER!A13</f>
        <v>21-044-0320-03</v>
      </c>
      <c r="E8" s="393"/>
      <c r="G8" s="329"/>
      <c r="H8" s="329"/>
      <c r="I8" s="329"/>
      <c r="J8" s="329"/>
      <c r="K8" s="329"/>
      <c r="L8" s="329"/>
      <c r="M8" s="329"/>
      <c r="N8" s="329"/>
      <c r="O8" s="329"/>
      <c r="P8" s="329"/>
    </row>
    <row r="9" spans="1:18" ht="12.75" x14ac:dyDescent="0.2">
      <c r="A9" s="329"/>
      <c r="B9" s="329"/>
      <c r="C9" s="389" t="s">
        <v>737</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841362</v>
      </c>
      <c r="I12" s="404"/>
      <c r="J12" s="404"/>
      <c r="K12" s="405">
        <f>TRUNC((H12/H13*100000),5)/100000</f>
        <v>0.3962057839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2123548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2051905</v>
      </c>
      <c r="I17" s="404"/>
      <c r="J17" s="416"/>
      <c r="K17" s="405">
        <f>TRUNC((H17/H18*100000),5)/100000</f>
        <v>0.96626259439999995</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2123548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841362</v>
      </c>
      <c r="I24" s="422"/>
      <c r="J24" s="422"/>
      <c r="K24" s="423">
        <f>TRUNC(((H24/H25*100000)/100000),2)</f>
        <v>147.61000000000001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5699.7361099999998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227309.10902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255000</v>
      </c>
      <c r="I32" s="420"/>
      <c r="J32" s="420"/>
      <c r="K32" s="423">
        <f>TRUNC(100-((((H32/H33*100))*100)/100),2)</f>
        <v>82.2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1432620.4350000001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1" activePane="bottomLeft" state="frozen"/>
      <selection activeCell="T25" sqref="T25:AA25"/>
      <selection pane="bottomLeft" activeCell="T25" sqref="T25:AA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163217</v>
      </c>
      <c r="D4" s="466">
        <v>205881</v>
      </c>
      <c r="E4" s="466">
        <v>28173</v>
      </c>
      <c r="F4" s="466">
        <v>233423</v>
      </c>
      <c r="G4" s="466">
        <v>90294</v>
      </c>
      <c r="H4" s="466"/>
      <c r="I4" s="466">
        <v>238841</v>
      </c>
      <c r="J4" s="467">
        <v>50076</v>
      </c>
      <c r="K4" s="466">
        <v>12473</v>
      </c>
      <c r="L4" s="466">
        <v>14067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163217</v>
      </c>
      <c r="D13" s="1759">
        <f t="shared" ref="D13:L13" si="0">SUM(D4:D12)</f>
        <v>205881</v>
      </c>
      <c r="E13" s="1759">
        <f t="shared" si="0"/>
        <v>28173</v>
      </c>
      <c r="F13" s="1759">
        <f t="shared" si="0"/>
        <v>233423</v>
      </c>
      <c r="G13" s="1759">
        <f t="shared" si="0"/>
        <v>90294</v>
      </c>
      <c r="H13" s="1759">
        <f t="shared" si="0"/>
        <v>0</v>
      </c>
      <c r="I13" s="1759">
        <f t="shared" si="0"/>
        <v>238841</v>
      </c>
      <c r="J13" s="1759">
        <f t="shared" si="0"/>
        <v>50076</v>
      </c>
      <c r="K13" s="1759">
        <f t="shared" si="0"/>
        <v>12473</v>
      </c>
      <c r="L13" s="1759">
        <f t="shared" si="0"/>
        <v>14067</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7000</v>
      </c>
      <c r="N16" s="484"/>
    </row>
    <row r="17" spans="1:14" s="485" customFormat="1" ht="12.75" customHeight="1" x14ac:dyDescent="0.2">
      <c r="A17" s="482" t="s">
        <v>1470</v>
      </c>
      <c r="B17" s="483">
        <v>230</v>
      </c>
      <c r="C17" s="477"/>
      <c r="D17" s="477"/>
      <c r="E17" s="477"/>
      <c r="F17" s="477"/>
      <c r="G17" s="477"/>
      <c r="H17" s="477"/>
      <c r="I17" s="477"/>
      <c r="J17" s="477"/>
      <c r="K17" s="477"/>
      <c r="L17" s="477"/>
      <c r="M17" s="467">
        <v>4196764</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1122894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28173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226827</v>
      </c>
    </row>
    <row r="23" spans="1:14" ht="13.5" customHeight="1" thickBot="1" x14ac:dyDescent="0.25">
      <c r="A23" s="1758" t="s">
        <v>664</v>
      </c>
      <c r="B23" s="1763"/>
      <c r="C23" s="468"/>
      <c r="D23" s="468"/>
      <c r="E23" s="468"/>
      <c r="F23" s="468"/>
      <c r="G23" s="468"/>
      <c r="H23" s="468"/>
      <c r="I23" s="468"/>
      <c r="J23" s="468"/>
      <c r="K23" s="468"/>
      <c r="L23" s="468"/>
      <c r="M23" s="1710">
        <f>SUM(M15:M22)</f>
        <v>5326658</v>
      </c>
      <c r="N23" s="1710">
        <f>SUM(N21:N22)</f>
        <v>255000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14067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14067</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255000</v>
      </c>
    </row>
    <row r="37" spans="1:14" ht="13.5" thickBot="1" x14ac:dyDescent="0.25">
      <c r="A37" s="1758" t="s">
        <v>674</v>
      </c>
      <c r="B37" s="1763"/>
      <c r="C37" s="477"/>
      <c r="D37" s="477"/>
      <c r="E37" s="477"/>
      <c r="F37" s="477"/>
      <c r="G37" s="477"/>
      <c r="H37" s="477"/>
      <c r="I37" s="477"/>
      <c r="J37" s="477"/>
      <c r="K37" s="477"/>
      <c r="L37" s="480"/>
      <c r="M37" s="468"/>
      <c r="N37" s="1710">
        <f>SUM(N36:N36)</f>
        <v>255000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163217</v>
      </c>
      <c r="D39" s="466">
        <v>205881</v>
      </c>
      <c r="E39" s="466">
        <v>28173</v>
      </c>
      <c r="F39" s="466">
        <v>233423</v>
      </c>
      <c r="G39" s="466">
        <v>90294</v>
      </c>
      <c r="H39" s="466"/>
      <c r="I39" s="466">
        <v>238841</v>
      </c>
      <c r="J39" s="467">
        <v>50076</v>
      </c>
      <c r="K39" s="466">
        <v>12473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5326658</v>
      </c>
      <c r="N40" s="497"/>
    </row>
    <row r="41" spans="1:14" ht="13.5" customHeight="1" thickBot="1" x14ac:dyDescent="0.25">
      <c r="A41" s="1758" t="s">
        <v>676</v>
      </c>
      <c r="B41" s="1728"/>
      <c r="C41" s="1710">
        <f>(SUM(C34,C37,C38,C39))</f>
        <v>163217</v>
      </c>
      <c r="D41" s="1710">
        <f t="shared" ref="D41:L41" si="2">SUM(D34,D37,D38:D39)</f>
        <v>205881</v>
      </c>
      <c r="E41" s="1710">
        <f t="shared" si="2"/>
        <v>28173</v>
      </c>
      <c r="F41" s="1710">
        <f t="shared" si="2"/>
        <v>233423</v>
      </c>
      <c r="G41" s="1710">
        <f t="shared" si="2"/>
        <v>90294</v>
      </c>
      <c r="H41" s="1710">
        <f t="shared" si="2"/>
        <v>0</v>
      </c>
      <c r="I41" s="1710">
        <f t="shared" si="2"/>
        <v>238841</v>
      </c>
      <c r="J41" s="1710">
        <f t="shared" si="2"/>
        <v>50076</v>
      </c>
      <c r="K41" s="1710">
        <f t="shared" si="2"/>
        <v>12473</v>
      </c>
      <c r="L41" s="1710">
        <f t="shared" si="2"/>
        <v>14067</v>
      </c>
      <c r="M41" s="1710">
        <f>SUM(M40)</f>
        <v>5326658</v>
      </c>
      <c r="N41" s="1710">
        <f>SUM(N37)</f>
        <v>255000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25" sqref="T25:AA25"/>
      <selection pane="bottomLeft" activeCell="T25" sqref="T25:AA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317636</v>
      </c>
      <c r="D4" s="1764">
        <f>'Revenues 9-14'!D109</f>
        <v>53793</v>
      </c>
      <c r="E4" s="1764">
        <f>'Revenues 9-14'!E109</f>
        <v>100034</v>
      </c>
      <c r="F4" s="1764">
        <f>'Revenues 9-14'!F109</f>
        <v>23436</v>
      </c>
      <c r="G4" s="1764">
        <f>'Revenues 9-14'!G109</f>
        <v>98719</v>
      </c>
      <c r="H4" s="1764">
        <f>'Revenues 9-14'!H109</f>
        <v>0</v>
      </c>
      <c r="I4" s="1764">
        <f>'Revenues 9-14'!I109</f>
        <v>9991</v>
      </c>
      <c r="J4" s="1764">
        <f>'Revenues 9-14'!J109</f>
        <v>78891</v>
      </c>
      <c r="K4" s="1764">
        <f>'Revenues 9-14'!K109</f>
        <v>9765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1349509</v>
      </c>
      <c r="D6" s="1765">
        <f>'Revenues 9-14'!D173</f>
        <v>0</v>
      </c>
      <c r="E6" s="1765">
        <f>'Revenues 9-14'!E173</f>
        <v>0</v>
      </c>
      <c r="F6" s="1765">
        <f>'Revenues 9-14'!F173</f>
        <v>171882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197301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1864446</v>
      </c>
      <c r="D8" s="1710">
        <f t="shared" ref="D8:K8" si="0">SUM(D4:D7)</f>
        <v>53793</v>
      </c>
      <c r="E8" s="1710">
        <f t="shared" si="0"/>
        <v>100034</v>
      </c>
      <c r="F8" s="1710">
        <f t="shared" si="0"/>
        <v>195318</v>
      </c>
      <c r="G8" s="1710">
        <f t="shared" si="0"/>
        <v>98719</v>
      </c>
      <c r="H8" s="1710">
        <f t="shared" si="0"/>
        <v>0</v>
      </c>
      <c r="I8" s="1710">
        <f t="shared" si="0"/>
        <v>9991</v>
      </c>
      <c r="J8" s="1710">
        <f t="shared" si="0"/>
        <v>78891</v>
      </c>
      <c r="K8" s="1710">
        <f t="shared" si="0"/>
        <v>9765</v>
      </c>
      <c r="L8" s="347"/>
    </row>
    <row r="9" spans="1:13" ht="15.75" thickTop="1" x14ac:dyDescent="0.2">
      <c r="A9" s="514" t="s">
        <v>1752</v>
      </c>
      <c r="B9" s="515">
        <v>3998</v>
      </c>
      <c r="C9" s="481">
        <v>710268</v>
      </c>
      <c r="D9" s="516"/>
      <c r="E9" s="481"/>
      <c r="F9" s="481"/>
      <c r="G9" s="517"/>
      <c r="H9" s="481"/>
      <c r="I9" s="509" t="s">
        <v>1231</v>
      </c>
      <c r="J9" s="478"/>
      <c r="K9" s="481"/>
      <c r="L9" s="347"/>
    </row>
    <row r="10" spans="1:13" s="519" customFormat="1" ht="13.5" thickBot="1" x14ac:dyDescent="0.25">
      <c r="A10" s="1758" t="s">
        <v>1235</v>
      </c>
      <c r="B10" s="1731"/>
      <c r="C10" s="1710">
        <f>SUM(C8:C9)</f>
        <v>2574714</v>
      </c>
      <c r="D10" s="1710">
        <f t="shared" ref="D10:K10" si="1">SUM(D8:D9)</f>
        <v>53793</v>
      </c>
      <c r="E10" s="1710">
        <f t="shared" si="1"/>
        <v>100034</v>
      </c>
      <c r="F10" s="1710">
        <f t="shared" si="1"/>
        <v>195318</v>
      </c>
      <c r="G10" s="1710">
        <f t="shared" si="1"/>
        <v>98719</v>
      </c>
      <c r="H10" s="1710">
        <f t="shared" si="1"/>
        <v>0</v>
      </c>
      <c r="I10" s="1710">
        <f t="shared" si="1"/>
        <v>9991</v>
      </c>
      <c r="J10" s="1710">
        <f t="shared" si="1"/>
        <v>78891</v>
      </c>
      <c r="K10" s="1710">
        <f t="shared" si="1"/>
        <v>9765</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1074065</v>
      </c>
      <c r="D12" s="520" t="s">
        <v>1231</v>
      </c>
      <c r="E12" s="468" t="s">
        <v>1231</v>
      </c>
      <c r="F12" s="468" t="s">
        <v>1231</v>
      </c>
      <c r="G12" s="1764">
        <f>'Expenditures 15-22'!K229</f>
        <v>33101</v>
      </c>
      <c r="H12" s="521"/>
      <c r="I12" s="468" t="s">
        <v>1231</v>
      </c>
      <c r="J12" s="468" t="s">
        <v>1231</v>
      </c>
      <c r="K12" s="521" t="s">
        <v>1231</v>
      </c>
      <c r="L12" s="347"/>
    </row>
    <row r="13" spans="1:13" ht="15.75" customHeight="1" x14ac:dyDescent="0.2">
      <c r="A13" s="1598" t="s">
        <v>477</v>
      </c>
      <c r="B13" s="1600">
        <v>2000</v>
      </c>
      <c r="C13" s="1765">
        <f>'Expenditures 15-22'!K74</f>
        <v>704619</v>
      </c>
      <c r="D13" s="1765">
        <f>'Expenditures 15-22'!K129</f>
        <v>48774</v>
      </c>
      <c r="E13" s="469" t="s">
        <v>1231</v>
      </c>
      <c r="F13" s="1765">
        <f>'Expenditures 15-22'!K184</f>
        <v>193592</v>
      </c>
      <c r="G13" s="1765">
        <f>'Expenditures 15-22'!K279</f>
        <v>61072</v>
      </c>
      <c r="H13" s="1765">
        <f>'Expenditures 15-22'!K303</f>
        <v>0</v>
      </c>
      <c r="I13" s="468" t="s">
        <v>1231</v>
      </c>
      <c r="J13" s="1765">
        <f>'Expenditures 15-22'!K330</f>
        <v>63397</v>
      </c>
      <c r="K13" s="1769">
        <f>'Expenditures 15-22'!K352</f>
        <v>8596</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30855</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110163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1809539</v>
      </c>
      <c r="D17" s="1710">
        <f t="shared" si="2"/>
        <v>48774</v>
      </c>
      <c r="E17" s="1710">
        <f t="shared" si="2"/>
        <v>110163</v>
      </c>
      <c r="F17" s="1710">
        <f t="shared" si="2"/>
        <v>193592</v>
      </c>
      <c r="G17" s="1710">
        <f t="shared" si="2"/>
        <v>94173</v>
      </c>
      <c r="H17" s="1710">
        <f t="shared" si="2"/>
        <v>0</v>
      </c>
      <c r="I17" s="468"/>
      <c r="J17" s="1710">
        <f>SUM(J12:J16)</f>
        <v>63397</v>
      </c>
      <c r="K17" s="1710">
        <f>SUM(K12:K16)</f>
        <v>8596</v>
      </c>
      <c r="L17" s="347"/>
    </row>
    <row r="18" spans="1:12" ht="15" customHeight="1" thickTop="1" x14ac:dyDescent="0.2">
      <c r="A18" s="1766" t="s">
        <v>1753</v>
      </c>
      <c r="B18" s="1767">
        <v>4180</v>
      </c>
      <c r="C18" s="1764">
        <f t="shared" ref="C18:H18" si="3">C9</f>
        <v>710268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2519807</v>
      </c>
      <c r="D19" s="1710">
        <f t="shared" si="4"/>
        <v>48774</v>
      </c>
      <c r="E19" s="1710">
        <f t="shared" si="4"/>
        <v>110163</v>
      </c>
      <c r="F19" s="1710">
        <f t="shared" si="4"/>
        <v>193592</v>
      </c>
      <c r="G19" s="1710">
        <f t="shared" si="4"/>
        <v>94173</v>
      </c>
      <c r="H19" s="1710">
        <f t="shared" si="4"/>
        <v>0</v>
      </c>
      <c r="I19" s="468"/>
      <c r="J19" s="1710">
        <f>SUM(J17:J18)</f>
        <v>63397</v>
      </c>
      <c r="K19" s="1710">
        <f>SUM(K17:K18)</f>
        <v>8596</v>
      </c>
      <c r="L19" s="347"/>
    </row>
    <row r="20" spans="1:12" ht="16.5" thickTop="1" thickBot="1" x14ac:dyDescent="0.25">
      <c r="A20" s="2143" t="s">
        <v>1754</v>
      </c>
      <c r="B20" s="2144"/>
      <c r="C20" s="1768">
        <f>C8-C17</f>
        <v>54907</v>
      </c>
      <c r="D20" s="1768">
        <f t="shared" ref="D20:K20" si="5">D8-D17</f>
        <v>5019</v>
      </c>
      <c r="E20" s="1768">
        <f t="shared" si="5"/>
        <v>-10129</v>
      </c>
      <c r="F20" s="1768">
        <f t="shared" si="5"/>
        <v>1726</v>
      </c>
      <c r="G20" s="1768">
        <f t="shared" si="5"/>
        <v>4546</v>
      </c>
      <c r="H20" s="1768">
        <f t="shared" si="5"/>
        <v>0</v>
      </c>
      <c r="I20" s="1768">
        <f t="shared" si="5"/>
        <v>9991</v>
      </c>
      <c r="J20" s="1768">
        <f t="shared" si="5"/>
        <v>15494</v>
      </c>
      <c r="K20" s="1768">
        <f t="shared" si="5"/>
        <v>1169</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54907</v>
      </c>
      <c r="D78" s="1724">
        <f t="shared" si="9"/>
        <v>5019</v>
      </c>
      <c r="E78" s="1724">
        <f t="shared" si="9"/>
        <v>-10129</v>
      </c>
      <c r="F78" s="1724">
        <f t="shared" si="9"/>
        <v>1726</v>
      </c>
      <c r="G78" s="1724">
        <f t="shared" si="9"/>
        <v>4546</v>
      </c>
      <c r="H78" s="1724">
        <f t="shared" si="9"/>
        <v>0</v>
      </c>
      <c r="I78" s="1724">
        <f t="shared" si="9"/>
        <v>9991</v>
      </c>
      <c r="J78" s="1724">
        <f t="shared" si="9"/>
        <v>15494</v>
      </c>
      <c r="K78" s="1724">
        <f t="shared" si="9"/>
        <v>1169</v>
      </c>
      <c r="L78" s="533"/>
    </row>
    <row r="79" spans="1:12" ht="13.5" thickTop="1" x14ac:dyDescent="0.2">
      <c r="A79" s="1516" t="s">
        <v>2071</v>
      </c>
      <c r="B79" s="534"/>
      <c r="C79" s="478">
        <v>108310</v>
      </c>
      <c r="D79" s="535">
        <v>200862</v>
      </c>
      <c r="E79" s="535">
        <v>38302</v>
      </c>
      <c r="F79" s="535">
        <v>231697</v>
      </c>
      <c r="G79" s="535">
        <v>85748</v>
      </c>
      <c r="H79" s="535"/>
      <c r="I79" s="535">
        <v>228850</v>
      </c>
      <c r="J79" s="535">
        <v>34582</v>
      </c>
      <c r="K79" s="535">
        <v>11304</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163217</v>
      </c>
      <c r="D81" s="1710">
        <f>SUM(D78:D80)</f>
        <v>205881</v>
      </c>
      <c r="E81" s="1710">
        <f t="shared" ref="E81:K81" si="10">SUM(E78:E80)</f>
        <v>28173</v>
      </c>
      <c r="F81" s="1710">
        <f t="shared" si="10"/>
        <v>233423</v>
      </c>
      <c r="G81" s="1710">
        <f t="shared" si="10"/>
        <v>90294</v>
      </c>
      <c r="H81" s="1710">
        <f t="shared" si="10"/>
        <v>0</v>
      </c>
      <c r="I81" s="1710">
        <f t="shared" si="10"/>
        <v>238841</v>
      </c>
      <c r="J81" s="1710">
        <f t="shared" si="10"/>
        <v>50076</v>
      </c>
      <c r="K81" s="1710">
        <f t="shared" si="10"/>
        <v>12473</v>
      </c>
      <c r="L81" s="347"/>
    </row>
    <row r="82" spans="1:12" ht="0.75" customHeight="1" thickTop="1" thickBot="1" x14ac:dyDescent="0.25">
      <c r="A82" s="536" t="s">
        <v>361</v>
      </c>
      <c r="B82" s="537"/>
      <c r="C82" s="538">
        <f>(C81-C79)</f>
        <v>54907</v>
      </c>
      <c r="D82" s="538">
        <f t="shared" ref="D82:K82" si="11">(D81-D79)</f>
        <v>5019</v>
      </c>
      <c r="E82" s="538">
        <f t="shared" si="11"/>
        <v>-10129</v>
      </c>
      <c r="F82" s="538">
        <f t="shared" si="11"/>
        <v>1726</v>
      </c>
      <c r="G82" s="538">
        <f t="shared" si="11"/>
        <v>4546</v>
      </c>
      <c r="H82" s="538">
        <f t="shared" si="11"/>
        <v>0</v>
      </c>
      <c r="I82" s="538">
        <f t="shared" si="11"/>
        <v>9991</v>
      </c>
      <c r="J82" s="538">
        <f t="shared" si="11"/>
        <v>15494</v>
      </c>
      <c r="K82" s="538">
        <f t="shared" si="11"/>
        <v>1169</v>
      </c>
    </row>
    <row r="83" spans="1:12" ht="14.25" hidden="1" thickTop="1" thickBot="1" x14ac:dyDescent="0.25">
      <c r="A83" s="539" t="s">
        <v>362</v>
      </c>
      <c r="B83" s="464"/>
      <c r="C83" s="540">
        <f>C82/C81</f>
        <v>0.33640490880239193</v>
      </c>
      <c r="D83" s="540">
        <f t="shared" ref="D83:K83" si="12">D82/D81</f>
        <v>2.4378160199338451E-2</v>
      </c>
      <c r="E83" s="540">
        <f t="shared" si="12"/>
        <v>-0.35952862669932206</v>
      </c>
      <c r="F83" s="540">
        <f t="shared" si="12"/>
        <v>7.3943013327735481E-3</v>
      </c>
      <c r="G83" s="540">
        <f t="shared" si="12"/>
        <v>5.0346645402795313E-2</v>
      </c>
      <c r="H83" s="540" t="e">
        <f t="shared" si="12"/>
        <v>#DIV/0!</v>
      </c>
      <c r="I83" s="540">
        <f t="shared" si="12"/>
        <v>4.1831176389313392E-2</v>
      </c>
      <c r="J83" s="540">
        <f t="shared" si="12"/>
        <v>0.30940969726016454</v>
      </c>
      <c r="K83" s="540">
        <f t="shared" si="12"/>
        <v>9.372244047141827E-2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48" activePane="bottomLeft" state="frozen"/>
      <selection activeCell="T25" sqref="T25:AA25"/>
      <selection pane="bottomLeft" activeCell="C271" sqref="C2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176797</v>
      </c>
      <c r="D5" s="481">
        <v>48045</v>
      </c>
      <c r="E5" s="466">
        <v>98435</v>
      </c>
      <c r="F5" s="548">
        <v>23061</v>
      </c>
      <c r="G5" s="466">
        <v>44526</v>
      </c>
      <c r="H5" s="466"/>
      <c r="I5" s="466">
        <v>9609</v>
      </c>
      <c r="J5" s="467">
        <v>77630</v>
      </c>
      <c r="K5" s="466">
        <v>9609</v>
      </c>
    </row>
    <row r="6" spans="1:12" ht="15" x14ac:dyDescent="0.2">
      <c r="A6" s="463" t="s">
        <v>1761</v>
      </c>
      <c r="B6" s="470">
        <v>1130</v>
      </c>
      <c r="C6" s="466">
        <v>9577</v>
      </c>
      <c r="D6" s="466"/>
      <c r="E6" s="475"/>
      <c r="F6" s="475"/>
      <c r="G6" s="468"/>
      <c r="H6" s="468"/>
      <c r="I6" s="468"/>
      <c r="J6" s="468"/>
      <c r="K6" s="468"/>
    </row>
    <row r="7" spans="1:12" x14ac:dyDescent="0.2">
      <c r="A7" s="463" t="s">
        <v>112</v>
      </c>
      <c r="B7" s="549">
        <v>1140</v>
      </c>
      <c r="C7" s="466"/>
      <c r="D7" s="466">
        <v>3747</v>
      </c>
      <c r="E7" s="468"/>
      <c r="F7" s="467"/>
      <c r="G7" s="467"/>
      <c r="H7" s="467"/>
      <c r="I7" s="468"/>
      <c r="J7" s="468"/>
      <c r="K7" s="468"/>
    </row>
    <row r="8" spans="1:12" x14ac:dyDescent="0.2">
      <c r="A8" s="463" t="s">
        <v>433</v>
      </c>
      <c r="B8" s="470">
        <v>1150</v>
      </c>
      <c r="C8" s="475"/>
      <c r="D8" s="475"/>
      <c r="E8" s="477"/>
      <c r="F8" s="477"/>
      <c r="G8" s="481">
        <v>44526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186374</v>
      </c>
      <c r="D12" s="1729">
        <f t="shared" si="0"/>
        <v>51792</v>
      </c>
      <c r="E12" s="1729">
        <f t="shared" si="0"/>
        <v>98435</v>
      </c>
      <c r="F12" s="1729">
        <f t="shared" si="0"/>
        <v>23061</v>
      </c>
      <c r="G12" s="1729">
        <f t="shared" si="0"/>
        <v>89052</v>
      </c>
      <c r="H12" s="1729">
        <f t="shared" si="0"/>
        <v>0</v>
      </c>
      <c r="I12" s="1729">
        <f t="shared" si="0"/>
        <v>9609</v>
      </c>
      <c r="J12" s="1729">
        <f t="shared" si="0"/>
        <v>77630</v>
      </c>
      <c r="K12" s="1710">
        <f t="shared" si="0"/>
        <v>9609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3033</v>
      </c>
      <c r="D14" s="466">
        <v>843</v>
      </c>
      <c r="E14" s="466">
        <v>1599</v>
      </c>
      <c r="F14" s="466">
        <v>375</v>
      </c>
      <c r="G14" s="466">
        <v>1448</v>
      </c>
      <c r="H14" s="466"/>
      <c r="I14" s="466">
        <v>156</v>
      </c>
      <c r="J14" s="467">
        <v>1261</v>
      </c>
      <c r="K14" s="466">
        <v>156</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40127</v>
      </c>
      <c r="D16" s="466"/>
      <c r="E16" s="466"/>
      <c r="F16" s="466"/>
      <c r="G16" s="466">
        <v>8219</v>
      </c>
      <c r="H16" s="466"/>
      <c r="I16" s="466"/>
      <c r="J16" s="467"/>
      <c r="K16" s="466"/>
    </row>
    <row r="17" spans="1:11" ht="12.75" customHeight="1" x14ac:dyDescent="0.2">
      <c r="A17" s="463" t="s">
        <v>840</v>
      </c>
      <c r="B17" s="470">
        <v>1290</v>
      </c>
      <c r="C17" s="551">
        <v>488</v>
      </c>
      <c r="D17" s="466"/>
      <c r="E17" s="466"/>
      <c r="F17" s="466"/>
      <c r="G17" s="466"/>
      <c r="H17" s="466"/>
      <c r="I17" s="466"/>
      <c r="J17" s="467"/>
      <c r="K17" s="466"/>
    </row>
    <row r="18" spans="1:11" ht="12.75" customHeight="1" thickBot="1" x14ac:dyDescent="0.25">
      <c r="A18" s="1730" t="s">
        <v>558</v>
      </c>
      <c r="B18" s="1731"/>
      <c r="C18" s="1732">
        <f>SUM(C14:C17)</f>
        <v>43648</v>
      </c>
      <c r="D18" s="1732">
        <f t="shared" ref="D18:K18" si="1">SUM(D14:D17)</f>
        <v>843</v>
      </c>
      <c r="E18" s="1732">
        <f t="shared" si="1"/>
        <v>1599</v>
      </c>
      <c r="F18" s="1732">
        <f t="shared" si="1"/>
        <v>375</v>
      </c>
      <c r="G18" s="1732">
        <f t="shared" si="1"/>
        <v>9667</v>
      </c>
      <c r="H18" s="1732">
        <f t="shared" si="1"/>
        <v>0</v>
      </c>
      <c r="I18" s="1732">
        <f t="shared" si="1"/>
        <v>156</v>
      </c>
      <c r="J18" s="1732">
        <f t="shared" si="1"/>
        <v>1261</v>
      </c>
      <c r="K18" s="1733">
        <f t="shared" si="1"/>
        <v>156</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v>226</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226</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16204</v>
      </c>
      <c r="D69" s="468"/>
      <c r="E69" s="468"/>
      <c r="F69" s="468"/>
      <c r="G69" s="468"/>
      <c r="H69" s="468"/>
      <c r="I69" s="468"/>
      <c r="J69" s="468"/>
      <c r="K69" s="468"/>
    </row>
    <row r="70" spans="1:11" ht="12.75" customHeight="1" x14ac:dyDescent="0.2">
      <c r="A70" s="463" t="s">
        <v>1054</v>
      </c>
      <c r="B70" s="470">
        <v>1612</v>
      </c>
      <c r="C70" s="551">
        <v>1826</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1901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19931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2886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2886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4347</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51501</v>
      </c>
      <c r="D106" s="489"/>
      <c r="E106" s="467"/>
      <c r="F106" s="467"/>
      <c r="G106" s="467"/>
      <c r="H106" s="467"/>
      <c r="I106" s="521"/>
      <c r="J106" s="467"/>
      <c r="K106" s="467"/>
    </row>
    <row r="107" spans="1:12" ht="12.75" customHeight="1" x14ac:dyDescent="0.2">
      <c r="A107" s="463" t="s">
        <v>80</v>
      </c>
      <c r="B107" s="470">
        <v>1999</v>
      </c>
      <c r="C107" s="551">
        <v>8949</v>
      </c>
      <c r="D107" s="466">
        <v>1158</v>
      </c>
      <c r="E107" s="466"/>
      <c r="F107" s="466"/>
      <c r="G107" s="466"/>
      <c r="H107" s="466"/>
      <c r="I107" s="466"/>
      <c r="J107" s="467"/>
      <c r="K107" s="466"/>
    </row>
    <row r="108" spans="1:12" ht="12.75" customHeight="1" thickBot="1" x14ac:dyDescent="0.25">
      <c r="A108" s="1730" t="s">
        <v>508</v>
      </c>
      <c r="B108" s="1734"/>
      <c r="C108" s="1729">
        <f>SUM(C95:C107)</f>
        <v>64797</v>
      </c>
      <c r="D108" s="1729">
        <f t="shared" ref="D108:K108" si="3">SUM(D95:D107)</f>
        <v>1158</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317636</v>
      </c>
      <c r="D109" s="1737">
        <f t="shared" si="4"/>
        <v>53793</v>
      </c>
      <c r="E109" s="1737">
        <f t="shared" si="4"/>
        <v>100034</v>
      </c>
      <c r="F109" s="1737">
        <f t="shared" si="4"/>
        <v>23436</v>
      </c>
      <c r="G109" s="1737">
        <f t="shared" si="4"/>
        <v>98719</v>
      </c>
      <c r="H109" s="1737">
        <f t="shared" si="4"/>
        <v>0</v>
      </c>
      <c r="I109" s="1737">
        <f t="shared" si="4"/>
        <v>9991</v>
      </c>
      <c r="J109" s="1737">
        <f t="shared" si="4"/>
        <v>78891</v>
      </c>
      <c r="K109" s="1724">
        <f t="shared" si="4"/>
        <v>9765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1161493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1161493</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15470</v>
      </c>
      <c r="D125" s="561"/>
      <c r="E125" s="468"/>
      <c r="F125" s="466"/>
      <c r="G125" s="468"/>
      <c r="H125" s="468"/>
      <c r="I125" s="468"/>
      <c r="J125" s="468"/>
      <c r="K125" s="468"/>
    </row>
    <row r="126" spans="1:11" ht="12.75" customHeight="1" x14ac:dyDescent="0.2">
      <c r="A126" s="463" t="s">
        <v>922</v>
      </c>
      <c r="B126" s="562">
        <v>3110</v>
      </c>
      <c r="C126" s="551">
        <v>23940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39410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908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170110</v>
      </c>
      <c r="G151" s="467"/>
      <c r="H151" s="468"/>
      <c r="I151" s="468"/>
      <c r="J151" s="468"/>
      <c r="K151" s="468"/>
    </row>
    <row r="152" spans="1:11" ht="12.75" customHeight="1" x14ac:dyDescent="0.2">
      <c r="A152" s="463" t="s">
        <v>1117</v>
      </c>
      <c r="B152" s="562">
        <v>3510</v>
      </c>
      <c r="C152" s="551"/>
      <c r="D152" s="466"/>
      <c r="E152" s="561"/>
      <c r="F152" s="466">
        <v>1772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171882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146198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188016</v>
      </c>
      <c r="D172" s="1744">
        <f t="shared" si="6"/>
        <v>0</v>
      </c>
      <c r="E172" s="1744">
        <f t="shared" si="6"/>
        <v>0</v>
      </c>
      <c r="F172" s="1744">
        <f t="shared" si="6"/>
        <v>171882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1349509</v>
      </c>
      <c r="D173" s="1737">
        <f>SUM(D121,D172)</f>
        <v>0</v>
      </c>
      <c r="E173" s="1737">
        <f>SUM(E121,E172)</f>
        <v>0</v>
      </c>
      <c r="F173" s="1737">
        <f t="shared" ref="F173:K173" si="7">SUM(F121,F172)</f>
        <v>171882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45674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15078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60752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92929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92929</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5740</v>
      </c>
      <c r="D270" s="576"/>
      <c r="E270" s="468"/>
      <c r="F270" s="576"/>
      <c r="G270" s="576"/>
      <c r="H270" s="468"/>
      <c r="I270" s="468"/>
      <c r="J270" s="468"/>
      <c r="K270" s="468"/>
    </row>
    <row r="271" spans="1:11" ht="12.75" customHeight="1" thickTop="1" thickBot="1" x14ac:dyDescent="0.25">
      <c r="A271" s="463" t="s">
        <v>395</v>
      </c>
      <c r="B271" s="470">
        <v>4992</v>
      </c>
      <c r="C271" s="575">
        <v>19075</v>
      </c>
      <c r="D271" s="576"/>
      <c r="E271" s="468"/>
      <c r="F271" s="576"/>
      <c r="G271" s="576"/>
      <c r="H271" s="468"/>
      <c r="I271" s="468"/>
      <c r="J271" s="468"/>
      <c r="K271" s="468"/>
    </row>
    <row r="272" spans="1:11" s="594" customFormat="1" ht="12.75" customHeight="1" thickTop="1" thickBot="1" x14ac:dyDescent="0.25">
      <c r="A272" s="563" t="s">
        <v>77</v>
      </c>
      <c r="B272" s="557">
        <v>4999</v>
      </c>
      <c r="C272" s="575">
        <v>18805</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197301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197301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1864446</v>
      </c>
      <c r="D275" s="1737">
        <f t="shared" si="12"/>
        <v>53793</v>
      </c>
      <c r="E275" s="1737">
        <f t="shared" si="12"/>
        <v>100034</v>
      </c>
      <c r="F275" s="1737">
        <f t="shared" si="12"/>
        <v>195318</v>
      </c>
      <c r="G275" s="1737">
        <f t="shared" si="12"/>
        <v>98719</v>
      </c>
      <c r="H275" s="1737">
        <f t="shared" si="12"/>
        <v>0</v>
      </c>
      <c r="I275" s="1737">
        <f t="shared" si="12"/>
        <v>9991</v>
      </c>
      <c r="J275" s="1737">
        <f t="shared" si="12"/>
        <v>78891</v>
      </c>
      <c r="K275" s="1724">
        <f t="shared" si="12"/>
        <v>9765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2" activePane="bottomLeft" state="frozen"/>
      <selection activeCell="T25" sqref="T25:AA25"/>
      <selection pane="bottomLeft" activeCell="L60" sqref="L6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527143</v>
      </c>
      <c r="D5" s="466">
        <v>112417</v>
      </c>
      <c r="E5" s="466">
        <v>4039</v>
      </c>
      <c r="F5" s="466">
        <v>3729</v>
      </c>
      <c r="G5" s="466"/>
      <c r="H5" s="466"/>
      <c r="I5" s="467"/>
      <c r="J5" s="467"/>
      <c r="K5" s="1693">
        <f>SUM(C5:J5)</f>
        <v>647328</v>
      </c>
      <c r="L5" s="466">
        <v>657370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116172</v>
      </c>
      <c r="D8" s="466">
        <v>32870</v>
      </c>
      <c r="E8" s="466">
        <v>5151</v>
      </c>
      <c r="F8" s="466"/>
      <c r="G8" s="466"/>
      <c r="H8" s="466"/>
      <c r="I8" s="467"/>
      <c r="J8" s="467"/>
      <c r="K8" s="1693">
        <f t="shared" si="0"/>
        <v>154193</v>
      </c>
      <c r="L8" s="466">
        <v>159609</v>
      </c>
    </row>
    <row r="9" spans="1:14" x14ac:dyDescent="0.2">
      <c r="A9" s="1526" t="s">
        <v>745</v>
      </c>
      <c r="B9" s="615" t="s">
        <v>1025</v>
      </c>
      <c r="C9" s="467">
        <v>62840</v>
      </c>
      <c r="D9" s="467">
        <v>19602</v>
      </c>
      <c r="E9" s="467"/>
      <c r="F9" s="467">
        <v>8416</v>
      </c>
      <c r="G9" s="467"/>
      <c r="H9" s="467"/>
      <c r="I9" s="467"/>
      <c r="J9" s="467"/>
      <c r="K9" s="1693">
        <f t="shared" si="0"/>
        <v>90858</v>
      </c>
      <c r="L9" s="466">
        <v>85500</v>
      </c>
    </row>
    <row r="10" spans="1:14" x14ac:dyDescent="0.2">
      <c r="A10" s="1526" t="s">
        <v>746</v>
      </c>
      <c r="B10" s="615">
        <v>1250</v>
      </c>
      <c r="C10" s="466">
        <v>12000</v>
      </c>
      <c r="D10" s="466">
        <v>9816</v>
      </c>
      <c r="E10" s="466">
        <v>15899</v>
      </c>
      <c r="F10" s="466">
        <v>49221</v>
      </c>
      <c r="G10" s="466">
        <v>12598</v>
      </c>
      <c r="H10" s="466"/>
      <c r="I10" s="467"/>
      <c r="J10" s="467"/>
      <c r="K10" s="1693">
        <f t="shared" si="0"/>
        <v>99534</v>
      </c>
      <c r="L10" s="466">
        <v>95826</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65480</v>
      </c>
      <c r="D14" s="466">
        <v>14728</v>
      </c>
      <c r="E14" s="466">
        <v>1265</v>
      </c>
      <c r="F14" s="466">
        <v>599</v>
      </c>
      <c r="G14" s="466"/>
      <c r="H14" s="466">
        <v>80</v>
      </c>
      <c r="I14" s="467"/>
      <c r="J14" s="467"/>
      <c r="K14" s="1693">
        <f t="shared" si="0"/>
        <v>82152</v>
      </c>
      <c r="L14" s="466">
        <v>80121</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783635</v>
      </c>
      <c r="D33" s="1692">
        <f t="shared" ref="D33:L33" si="1">SUM(D5:D32)</f>
        <v>189433</v>
      </c>
      <c r="E33" s="1692">
        <f t="shared" si="1"/>
        <v>26354</v>
      </c>
      <c r="F33" s="1692">
        <f t="shared" si="1"/>
        <v>61965</v>
      </c>
      <c r="G33" s="1692">
        <f t="shared" si="1"/>
        <v>12598</v>
      </c>
      <c r="H33" s="1692">
        <f t="shared" si="1"/>
        <v>80</v>
      </c>
      <c r="I33" s="1692">
        <f t="shared" si="1"/>
        <v>0</v>
      </c>
      <c r="J33" s="1692">
        <f t="shared" si="1"/>
        <v>0</v>
      </c>
      <c r="K33" s="1692">
        <f t="shared" si="1"/>
        <v>1074065</v>
      </c>
      <c r="L33" s="1692">
        <f t="shared" si="1"/>
        <v>1078426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45025</v>
      </c>
      <c r="D36" s="481">
        <v>12709</v>
      </c>
      <c r="E36" s="481"/>
      <c r="F36" s="481"/>
      <c r="G36" s="481"/>
      <c r="H36" s="481"/>
      <c r="I36" s="467"/>
      <c r="J36" s="467"/>
      <c r="K36" s="1693">
        <f t="shared" ref="K36:K41" si="2">SUM(C36:J36)</f>
        <v>57734</v>
      </c>
      <c r="L36" s="466">
        <v>57597</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26818</v>
      </c>
      <c r="D38" s="466"/>
      <c r="E38" s="466">
        <v>260</v>
      </c>
      <c r="F38" s="466">
        <v>166</v>
      </c>
      <c r="G38" s="466"/>
      <c r="H38" s="466"/>
      <c r="I38" s="467"/>
      <c r="J38" s="467"/>
      <c r="K38" s="1693">
        <f t="shared" si="2"/>
        <v>27244</v>
      </c>
      <c r="L38" s="466">
        <v>26543</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55525</v>
      </c>
      <c r="D40" s="466">
        <v>14043</v>
      </c>
      <c r="E40" s="466"/>
      <c r="F40" s="466"/>
      <c r="G40" s="466"/>
      <c r="H40" s="466"/>
      <c r="I40" s="467"/>
      <c r="J40" s="467"/>
      <c r="K40" s="1693">
        <f t="shared" si="2"/>
        <v>69568</v>
      </c>
      <c r="L40" s="466">
        <v>69439</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127368</v>
      </c>
      <c r="D42" s="1692">
        <f t="shared" ref="D42:L42" si="3">SUM(D36:D41)</f>
        <v>26752</v>
      </c>
      <c r="E42" s="1692">
        <f t="shared" si="3"/>
        <v>260</v>
      </c>
      <c r="F42" s="1692">
        <f t="shared" si="3"/>
        <v>166</v>
      </c>
      <c r="G42" s="1692">
        <f t="shared" si="3"/>
        <v>0</v>
      </c>
      <c r="H42" s="1692">
        <f t="shared" si="3"/>
        <v>0</v>
      </c>
      <c r="I42" s="1692">
        <f t="shared" si="3"/>
        <v>0</v>
      </c>
      <c r="J42" s="1692">
        <f t="shared" si="3"/>
        <v>0</v>
      </c>
      <c r="K42" s="1692">
        <f t="shared" si="3"/>
        <v>154546</v>
      </c>
      <c r="L42" s="1692">
        <f t="shared" si="3"/>
        <v>153579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9793</v>
      </c>
      <c r="F44" s="481">
        <v>4800</v>
      </c>
      <c r="G44" s="481">
        <v>1401</v>
      </c>
      <c r="H44" s="481"/>
      <c r="I44" s="467"/>
      <c r="J44" s="467"/>
      <c r="K44" s="1694">
        <f>SUM(C44:J44)</f>
        <v>15994</v>
      </c>
      <c r="L44" s="481">
        <v>13800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9793</v>
      </c>
      <c r="F47" s="1692">
        <f t="shared" si="4"/>
        <v>4800</v>
      </c>
      <c r="G47" s="1692">
        <f t="shared" si="4"/>
        <v>1401</v>
      </c>
      <c r="H47" s="1692">
        <f t="shared" si="4"/>
        <v>0</v>
      </c>
      <c r="I47" s="1692">
        <f t="shared" si="4"/>
        <v>0</v>
      </c>
      <c r="J47" s="1692">
        <f t="shared" si="4"/>
        <v>0</v>
      </c>
      <c r="K47" s="1692">
        <f t="shared" si="4"/>
        <v>15994</v>
      </c>
      <c r="L47" s="1692">
        <f>SUM(L44:L46)</f>
        <v>13800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1697</v>
      </c>
      <c r="F49" s="481">
        <v>3729</v>
      </c>
      <c r="G49" s="481"/>
      <c r="H49" s="481">
        <v>1405</v>
      </c>
      <c r="I49" s="467"/>
      <c r="J49" s="467"/>
      <c r="K49" s="1694">
        <f>SUM(C49:J49)</f>
        <v>6831</v>
      </c>
      <c r="L49" s="481">
        <v>7050</v>
      </c>
    </row>
    <row r="50" spans="1:14" x14ac:dyDescent="0.2">
      <c r="A50" s="1526" t="s">
        <v>872</v>
      </c>
      <c r="B50" s="615">
        <v>2320</v>
      </c>
      <c r="C50" s="466">
        <v>77997</v>
      </c>
      <c r="D50" s="466">
        <v>16927</v>
      </c>
      <c r="E50" s="466">
        <v>1045</v>
      </c>
      <c r="F50" s="466">
        <v>1194</v>
      </c>
      <c r="G50" s="466"/>
      <c r="H50" s="466">
        <v>738</v>
      </c>
      <c r="I50" s="467"/>
      <c r="J50" s="467"/>
      <c r="K50" s="1694">
        <f>SUM(C50:J50)</f>
        <v>97901</v>
      </c>
      <c r="L50" s="466">
        <v>97900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77997</v>
      </c>
      <c r="D53" s="1692">
        <f t="shared" ref="D53:L53" si="5">SUM(D49:D52)</f>
        <v>16927</v>
      </c>
      <c r="E53" s="1692">
        <f t="shared" si="5"/>
        <v>2742</v>
      </c>
      <c r="F53" s="1692">
        <f t="shared" si="5"/>
        <v>4923</v>
      </c>
      <c r="G53" s="1692">
        <f t="shared" si="5"/>
        <v>0</v>
      </c>
      <c r="H53" s="1692">
        <f t="shared" si="5"/>
        <v>2143</v>
      </c>
      <c r="I53" s="1692">
        <f t="shared" si="5"/>
        <v>0</v>
      </c>
      <c r="J53" s="1692">
        <f t="shared" si="5"/>
        <v>0</v>
      </c>
      <c r="K53" s="1692">
        <f t="shared" si="5"/>
        <v>104732</v>
      </c>
      <c r="L53" s="1692">
        <f t="shared" si="5"/>
        <v>104950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60175</v>
      </c>
      <c r="D55" s="481">
        <v>14103</v>
      </c>
      <c r="E55" s="481">
        <v>584</v>
      </c>
      <c r="F55" s="481"/>
      <c r="G55" s="481"/>
      <c r="H55" s="481">
        <v>280</v>
      </c>
      <c r="I55" s="467"/>
      <c r="J55" s="467"/>
      <c r="K55" s="1694">
        <f>SUM(C55:J55)</f>
        <v>75142</v>
      </c>
      <c r="L55" s="481">
        <v>75764</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60175</v>
      </c>
      <c r="D57" s="1696">
        <f t="shared" ref="D57:K57" si="6">SUM(D55:D56)</f>
        <v>14103</v>
      </c>
      <c r="E57" s="1696">
        <f t="shared" si="6"/>
        <v>584</v>
      </c>
      <c r="F57" s="1696">
        <f t="shared" si="6"/>
        <v>0</v>
      </c>
      <c r="G57" s="1696">
        <f t="shared" si="6"/>
        <v>0</v>
      </c>
      <c r="H57" s="1696">
        <f t="shared" si="6"/>
        <v>280</v>
      </c>
      <c r="I57" s="1696">
        <f t="shared" si="6"/>
        <v>0</v>
      </c>
      <c r="J57" s="1696">
        <f t="shared" si="6"/>
        <v>0</v>
      </c>
      <c r="K57" s="1696">
        <f t="shared" si="6"/>
        <v>75142</v>
      </c>
      <c r="L57" s="1692">
        <f>SUM(L55:L56)</f>
        <v>75764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67598</v>
      </c>
      <c r="D60" s="466">
        <v>9971</v>
      </c>
      <c r="E60" s="466">
        <v>3217</v>
      </c>
      <c r="F60" s="466">
        <v>65</v>
      </c>
      <c r="G60" s="466"/>
      <c r="H60" s="466"/>
      <c r="I60" s="467"/>
      <c r="J60" s="467"/>
      <c r="K60" s="1694">
        <f t="shared" si="7"/>
        <v>80851</v>
      </c>
      <c r="L60" s="466">
        <v>61963</v>
      </c>
      <c r="M60" s="610"/>
      <c r="N60" s="610"/>
    </row>
    <row r="61" spans="1:14" s="343" customFormat="1" x14ac:dyDescent="0.2">
      <c r="A61" s="1526" t="s">
        <v>206</v>
      </c>
      <c r="B61" s="615">
        <v>2540</v>
      </c>
      <c r="C61" s="466">
        <v>44949</v>
      </c>
      <c r="D61" s="466">
        <v>9708</v>
      </c>
      <c r="E61" s="466">
        <v>4929</v>
      </c>
      <c r="F61" s="466">
        <v>74192</v>
      </c>
      <c r="G61" s="466"/>
      <c r="H61" s="466"/>
      <c r="I61" s="467"/>
      <c r="J61" s="467"/>
      <c r="K61" s="1694">
        <f t="shared" si="7"/>
        <v>133778</v>
      </c>
      <c r="L61" s="466">
        <v>133340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44765</v>
      </c>
      <c r="D63" s="466">
        <v>13899</v>
      </c>
      <c r="E63" s="466">
        <v>587</v>
      </c>
      <c r="F63" s="466">
        <v>36226</v>
      </c>
      <c r="G63" s="466"/>
      <c r="H63" s="466"/>
      <c r="I63" s="467"/>
      <c r="J63" s="467"/>
      <c r="K63" s="1694">
        <f t="shared" si="7"/>
        <v>95477</v>
      </c>
      <c r="L63" s="466">
        <v>103170</v>
      </c>
    </row>
    <row r="64" spans="1:14" s="610" customFormat="1" x14ac:dyDescent="0.2">
      <c r="A64" s="1531" t="s">
        <v>103</v>
      </c>
      <c r="B64" s="631">
        <v>2570</v>
      </c>
      <c r="C64" s="481">
        <v>25525</v>
      </c>
      <c r="D64" s="481">
        <v>6950</v>
      </c>
      <c r="E64" s="481">
        <v>7085</v>
      </c>
      <c r="F64" s="481">
        <v>4539</v>
      </c>
      <c r="G64" s="481"/>
      <c r="H64" s="481"/>
      <c r="I64" s="467"/>
      <c r="J64" s="467"/>
      <c r="K64" s="1694">
        <f t="shared" si="7"/>
        <v>44099</v>
      </c>
      <c r="L64" s="481">
        <v>44099</v>
      </c>
    </row>
    <row r="65" spans="1:14" s="343" customFormat="1" ht="12.75" customHeight="1" thickBot="1" x14ac:dyDescent="0.25">
      <c r="A65" s="1690" t="s">
        <v>743</v>
      </c>
      <c r="B65" s="1691" t="s">
        <v>35</v>
      </c>
      <c r="C65" s="1692">
        <f>SUM(C59:C64)</f>
        <v>182837</v>
      </c>
      <c r="D65" s="1692">
        <f t="shared" ref="D65:L65" si="8">SUM(D59:D64)</f>
        <v>40528</v>
      </c>
      <c r="E65" s="1692">
        <f t="shared" si="8"/>
        <v>15818</v>
      </c>
      <c r="F65" s="1692">
        <f t="shared" si="8"/>
        <v>115022</v>
      </c>
      <c r="G65" s="1692">
        <f t="shared" si="8"/>
        <v>0</v>
      </c>
      <c r="H65" s="1692">
        <f t="shared" si="8"/>
        <v>0</v>
      </c>
      <c r="I65" s="1692">
        <f t="shared" si="8"/>
        <v>0</v>
      </c>
      <c r="J65" s="1692">
        <f t="shared" si="8"/>
        <v>0</v>
      </c>
      <c r="K65" s="1692">
        <f t="shared" si="8"/>
        <v>354205</v>
      </c>
      <c r="L65" s="1692">
        <f t="shared" si="8"/>
        <v>342572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448377</v>
      </c>
      <c r="D74" s="1699">
        <f t="shared" ref="D74:K74" si="10">SUM(D42,D47,D53,D57,D65,D72,D73)</f>
        <v>98310</v>
      </c>
      <c r="E74" s="1699">
        <f t="shared" si="10"/>
        <v>29197</v>
      </c>
      <c r="F74" s="1699">
        <f t="shared" si="10"/>
        <v>124911</v>
      </c>
      <c r="G74" s="1699">
        <f t="shared" si="10"/>
        <v>1401</v>
      </c>
      <c r="H74" s="1699">
        <f t="shared" si="10"/>
        <v>2423</v>
      </c>
      <c r="I74" s="1699">
        <f t="shared" si="10"/>
        <v>0</v>
      </c>
      <c r="J74" s="1699">
        <f t="shared" si="10"/>
        <v>0</v>
      </c>
      <c r="K74" s="1699">
        <f t="shared" si="10"/>
        <v>704619</v>
      </c>
      <c r="L74" s="1699">
        <f>SUM(L42,L47,L53,L57,L65,L72,L73)</f>
        <v>690665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30855</v>
      </c>
      <c r="F79" s="617"/>
      <c r="G79" s="617"/>
      <c r="H79" s="466"/>
      <c r="I79" s="477"/>
      <c r="J79" s="477"/>
      <c r="K79" s="1693">
        <f t="shared" si="11"/>
        <v>30855</v>
      </c>
      <c r="L79" s="466">
        <v>21300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30855</v>
      </c>
      <c r="F84" s="617"/>
      <c r="G84" s="617"/>
      <c r="H84" s="1692">
        <f>SUM(H78:H83)</f>
        <v>0</v>
      </c>
      <c r="I84" s="477"/>
      <c r="J84" s="477"/>
      <c r="K84" s="1692">
        <f>SUM(K78:K83)</f>
        <v>30855</v>
      </c>
      <c r="L84" s="1692">
        <f>SUM(L78:L83)</f>
        <v>21300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30855</v>
      </c>
      <c r="F102" s="617"/>
      <c r="G102" s="617"/>
      <c r="H102" s="1699">
        <f>SUM(H84,H92,H100,H101)</f>
        <v>0</v>
      </c>
      <c r="I102" s="477"/>
      <c r="J102" s="477"/>
      <c r="K102" s="1699">
        <f>SUM(K84,K92,K100,K101)</f>
        <v>30855</v>
      </c>
      <c r="L102" s="1699">
        <f>SUM(L84,L92,L100,L101)</f>
        <v>21300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1232012</v>
      </c>
      <c r="D114" s="1692">
        <f t="shared" ref="D114:K114" si="13">SUM(D33,D74,D75,D102,D112,D113)</f>
        <v>287743</v>
      </c>
      <c r="E114" s="1692">
        <f t="shared" si="13"/>
        <v>86406</v>
      </c>
      <c r="F114" s="1692">
        <f t="shared" si="13"/>
        <v>186876</v>
      </c>
      <c r="G114" s="1692">
        <f t="shared" si="13"/>
        <v>13999</v>
      </c>
      <c r="H114" s="1692">
        <f>SUM(H33,H74,H75,H102,H112,H113)</f>
        <v>2503</v>
      </c>
      <c r="I114" s="1692">
        <f t="shared" si="13"/>
        <v>0</v>
      </c>
      <c r="J114" s="1692">
        <f t="shared" si="13"/>
        <v>0</v>
      </c>
      <c r="K114" s="1692">
        <f t="shared" si="13"/>
        <v>1809539</v>
      </c>
      <c r="L114" s="1692">
        <f>SUM(L33,L74,L75,L102,L112,L113)</f>
        <v>1790391</v>
      </c>
    </row>
    <row r="115" spans="1:14" ht="13.5" thickTop="1" x14ac:dyDescent="0.2">
      <c r="A115" s="2173" t="s">
        <v>1053</v>
      </c>
      <c r="B115" s="2174"/>
      <c r="C115" s="619"/>
      <c r="D115" s="619"/>
      <c r="E115" s="619"/>
      <c r="F115" s="619"/>
      <c r="G115" s="619"/>
      <c r="H115" s="619"/>
      <c r="I115" s="619"/>
      <c r="J115" s="619"/>
      <c r="K115" s="1706">
        <f>'Revenues 9-14'!C275-'Expenditures 15-22'!K114</f>
        <v>54907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15176</v>
      </c>
      <c r="F124" s="466">
        <v>14532</v>
      </c>
      <c r="G124" s="466">
        <v>19066</v>
      </c>
      <c r="H124" s="466"/>
      <c r="I124" s="467"/>
      <c r="J124" s="467"/>
      <c r="K124" s="1692">
        <f>SUM(C124:J124)</f>
        <v>48774</v>
      </c>
      <c r="L124" s="466">
        <v>48500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15176</v>
      </c>
      <c r="F127" s="1692">
        <f t="shared" si="14"/>
        <v>14532</v>
      </c>
      <c r="G127" s="1692">
        <f t="shared" si="14"/>
        <v>19066</v>
      </c>
      <c r="H127" s="1692">
        <f t="shared" si="14"/>
        <v>0</v>
      </c>
      <c r="I127" s="1692">
        <f t="shared" si="14"/>
        <v>0</v>
      </c>
      <c r="J127" s="1692">
        <f t="shared" si="14"/>
        <v>0</v>
      </c>
      <c r="K127" s="1692">
        <f t="shared" si="14"/>
        <v>48774</v>
      </c>
      <c r="L127" s="1692">
        <f t="shared" si="14"/>
        <v>48500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15176</v>
      </c>
      <c r="F129" s="1699">
        <f t="shared" si="15"/>
        <v>14532</v>
      </c>
      <c r="G129" s="1699">
        <f t="shared" si="15"/>
        <v>19066</v>
      </c>
      <c r="H129" s="1699">
        <f t="shared" si="15"/>
        <v>0</v>
      </c>
      <c r="I129" s="1699">
        <f t="shared" si="15"/>
        <v>0</v>
      </c>
      <c r="J129" s="1699">
        <f t="shared" si="15"/>
        <v>0</v>
      </c>
      <c r="K129" s="1699">
        <f t="shared" si="15"/>
        <v>48774</v>
      </c>
      <c r="L129" s="1699">
        <f t="shared" si="15"/>
        <v>48500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0</v>
      </c>
      <c r="D151" s="1692">
        <f t="shared" ref="D151:K151" si="16">SUM(D129,D130,D139,D149,D150)</f>
        <v>0</v>
      </c>
      <c r="E151" s="1692">
        <f t="shared" si="16"/>
        <v>15176</v>
      </c>
      <c r="F151" s="1692">
        <f t="shared" si="16"/>
        <v>14532</v>
      </c>
      <c r="G151" s="1692">
        <f t="shared" si="16"/>
        <v>19066</v>
      </c>
      <c r="H151" s="1692">
        <f t="shared" si="16"/>
        <v>0</v>
      </c>
      <c r="I151" s="1692">
        <f t="shared" si="16"/>
        <v>0</v>
      </c>
      <c r="J151" s="1692">
        <f t="shared" si="16"/>
        <v>0</v>
      </c>
      <c r="K151" s="1692">
        <f t="shared" si="16"/>
        <v>48774</v>
      </c>
      <c r="L151" s="1692">
        <f>SUM(L129,L130,L139,L149,L150)</f>
        <v>48500</v>
      </c>
    </row>
    <row r="152" spans="1:14" ht="12.75" customHeight="1" thickTop="1" x14ac:dyDescent="0.2">
      <c r="A152" s="2193" t="s">
        <v>1240</v>
      </c>
      <c r="B152" s="2194"/>
      <c r="C152" s="619"/>
      <c r="D152" s="619"/>
      <c r="E152" s="619"/>
      <c r="F152" s="619"/>
      <c r="G152" s="619"/>
      <c r="H152" s="619"/>
      <c r="I152" s="619"/>
      <c r="J152" s="617"/>
      <c r="K152" s="1706">
        <f>'Revenues 9-14'!D275-'Expenditures 15-22'!K151</f>
        <v>5019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19663</v>
      </c>
      <c r="I169" s="617"/>
      <c r="J169" s="617"/>
      <c r="K169" s="1693">
        <f>SUM(C169:H169)</f>
        <v>19663</v>
      </c>
      <c r="L169" s="657">
        <v>9399</v>
      </c>
    </row>
    <row r="170" spans="1:14" ht="33.75" customHeight="1" x14ac:dyDescent="0.2">
      <c r="A170" s="670" t="s">
        <v>1769</v>
      </c>
      <c r="B170" s="672" t="s">
        <v>31</v>
      </c>
      <c r="C170" s="617"/>
      <c r="D170" s="617"/>
      <c r="E170" s="617"/>
      <c r="F170" s="617"/>
      <c r="G170" s="617"/>
      <c r="H170" s="569">
        <v>90000</v>
      </c>
      <c r="I170" s="617"/>
      <c r="J170" s="617"/>
      <c r="K170" s="1693">
        <f>SUM(C170:J170)</f>
        <v>90000</v>
      </c>
      <c r="L170" s="569">
        <v>90000</v>
      </c>
    </row>
    <row r="171" spans="1:14" ht="15.75" customHeight="1" x14ac:dyDescent="0.2">
      <c r="A171" s="622" t="s">
        <v>790</v>
      </c>
      <c r="B171" s="673" t="s">
        <v>86</v>
      </c>
      <c r="C171" s="617"/>
      <c r="D171" s="617"/>
      <c r="E171" s="466"/>
      <c r="F171" s="617"/>
      <c r="G171" s="617"/>
      <c r="H171" s="569">
        <v>500</v>
      </c>
      <c r="I171" s="477"/>
      <c r="J171" s="617"/>
      <c r="K171" s="1693">
        <f>SUM(C171:J171)</f>
        <v>500</v>
      </c>
      <c r="L171" s="569">
        <v>500</v>
      </c>
    </row>
    <row r="172" spans="1:14" ht="12.75" customHeight="1" thickBot="1" x14ac:dyDescent="0.25">
      <c r="A172" s="1690" t="s">
        <v>659</v>
      </c>
      <c r="B172" s="1691" t="s">
        <v>513</v>
      </c>
      <c r="C172" s="617"/>
      <c r="D172" s="617"/>
      <c r="E172" s="1699">
        <f>SUM(E168,E169,E170,E171)</f>
        <v>0</v>
      </c>
      <c r="F172" s="617"/>
      <c r="G172" s="617"/>
      <c r="H172" s="1699">
        <f>SUM(H168,H169,H170,H171)</f>
        <v>110163</v>
      </c>
      <c r="I172" s="639"/>
      <c r="J172" s="617"/>
      <c r="K172" s="1699">
        <f>SUM(K168,K169,K170,K171)</f>
        <v>110163</v>
      </c>
      <c r="L172" s="1699">
        <f>SUM(L168,L169,L170,L171)</f>
        <v>99899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110163</v>
      </c>
      <c r="I174" s="639"/>
      <c r="J174" s="617"/>
      <c r="K174" s="1699">
        <f>SUM(K160,K172,K173)</f>
        <v>110163</v>
      </c>
      <c r="L174" s="1699">
        <f>SUM(L160,L172,L173)</f>
        <v>99899</v>
      </c>
    </row>
    <row r="175" spans="1:14" ht="13.5" thickTop="1" x14ac:dyDescent="0.2">
      <c r="A175" s="2173" t="s">
        <v>1053</v>
      </c>
      <c r="B175" s="2174"/>
      <c r="C175" s="617"/>
      <c r="D175" s="617"/>
      <c r="E175" s="617"/>
      <c r="F175" s="617"/>
      <c r="G175" s="617"/>
      <c r="H175" s="619"/>
      <c r="I175" s="617"/>
      <c r="J175" s="617"/>
      <c r="K175" s="1706">
        <f>'Revenues 9-14'!E275-'Expenditures 15-22'!K174</f>
        <v>-10129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76530</v>
      </c>
      <c r="D182" s="466">
        <v>11920</v>
      </c>
      <c r="E182" s="466">
        <v>17247</v>
      </c>
      <c r="F182" s="466">
        <v>17848</v>
      </c>
      <c r="G182" s="466">
        <v>70047</v>
      </c>
      <c r="H182" s="466"/>
      <c r="I182" s="467"/>
      <c r="J182" s="467"/>
      <c r="K182" s="1693">
        <f>SUM(C182:J182)</f>
        <v>193592</v>
      </c>
      <c r="L182" s="466">
        <v>212917</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76530</v>
      </c>
      <c r="D184" s="1699">
        <f t="shared" ref="D184:J184" si="17">SUM(D180,D182,D183)</f>
        <v>11920</v>
      </c>
      <c r="E184" s="1699">
        <f t="shared" si="17"/>
        <v>17247</v>
      </c>
      <c r="F184" s="1699">
        <f t="shared" si="17"/>
        <v>17848</v>
      </c>
      <c r="G184" s="1699">
        <f t="shared" si="17"/>
        <v>70047</v>
      </c>
      <c r="H184" s="1699">
        <f t="shared" si="17"/>
        <v>0</v>
      </c>
      <c r="I184" s="1699">
        <f t="shared" si="17"/>
        <v>0</v>
      </c>
      <c r="J184" s="1699">
        <f t="shared" si="17"/>
        <v>0</v>
      </c>
      <c r="K184" s="1699">
        <f>SUM(K180,K182,K183)</f>
        <v>193592</v>
      </c>
      <c r="L184" s="1699">
        <f>SUM(L180, L182:L183)</f>
        <v>212917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76530</v>
      </c>
      <c r="D210" s="1692">
        <f>SUM(D184,D185)</f>
        <v>11920</v>
      </c>
      <c r="E210" s="1692">
        <f>SUM(E184,E185,E196)</f>
        <v>17247</v>
      </c>
      <c r="F210" s="1692">
        <f>SUM(F184,F185)</f>
        <v>17848</v>
      </c>
      <c r="G210" s="1692">
        <f>SUM(G184,G185)</f>
        <v>70047</v>
      </c>
      <c r="H210" s="1692">
        <f>SUM(H184,H185,H196,H208,H209)</f>
        <v>0</v>
      </c>
      <c r="I210" s="1692">
        <f>SUM(I184,I185)</f>
        <v>0</v>
      </c>
      <c r="J210" s="1692">
        <f>SUM(J184,J185)</f>
        <v>0</v>
      </c>
      <c r="K210" s="1693">
        <f>SUM(K184,K185,K196,K208,K209)</f>
        <v>193592</v>
      </c>
      <c r="L210" s="1692">
        <f>SUM(L184,L185,L196,L208,L209)</f>
        <v>212917</v>
      </c>
    </row>
    <row r="211" spans="1:14" ht="13.5" thickTop="1" x14ac:dyDescent="0.2">
      <c r="A211" s="2173" t="s">
        <v>1053</v>
      </c>
      <c r="B211" s="2174"/>
      <c r="C211" s="619"/>
      <c r="D211" s="619"/>
      <c r="E211" s="619"/>
      <c r="F211" s="619"/>
      <c r="G211" s="619"/>
      <c r="H211" s="619"/>
      <c r="I211" s="617"/>
      <c r="J211" s="617"/>
      <c r="K211" s="1706">
        <f>'Revenues 9-14'!F275-'Expenditures 15-22'!K210</f>
        <v>1726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20881</v>
      </c>
      <c r="E215" s="617"/>
      <c r="F215" s="617"/>
      <c r="G215" s="617"/>
      <c r="H215" s="617"/>
      <c r="I215" s="617"/>
      <c r="J215" s="617"/>
      <c r="K215" s="1693">
        <f>D215</f>
        <v>20881</v>
      </c>
      <c r="L215" s="466">
        <v>21303</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6083</v>
      </c>
      <c r="E217" s="617"/>
      <c r="F217" s="617"/>
      <c r="G217" s="617"/>
      <c r="H217" s="617"/>
      <c r="I217" s="617"/>
      <c r="J217" s="617"/>
      <c r="K217" s="1693">
        <f t="shared" si="19"/>
        <v>6083</v>
      </c>
      <c r="L217" s="466">
        <v>6084</v>
      </c>
    </row>
    <row r="218" spans="1:14" x14ac:dyDescent="0.2">
      <c r="A218" s="1526" t="s">
        <v>296</v>
      </c>
      <c r="B218" s="615" t="s">
        <v>1025</v>
      </c>
      <c r="C218" s="617"/>
      <c r="D218" s="467">
        <v>4626</v>
      </c>
      <c r="E218" s="617"/>
      <c r="F218" s="617"/>
      <c r="G218" s="617"/>
      <c r="H218" s="617"/>
      <c r="I218" s="617"/>
      <c r="J218" s="617"/>
      <c r="K218" s="1693">
        <f t="shared" si="19"/>
        <v>4626</v>
      </c>
      <c r="L218" s="466">
        <v>4594</v>
      </c>
    </row>
    <row r="219" spans="1:14" x14ac:dyDescent="0.2">
      <c r="A219" s="1526" t="s">
        <v>297</v>
      </c>
      <c r="B219" s="615">
        <v>1250</v>
      </c>
      <c r="C219" s="617"/>
      <c r="D219" s="466">
        <v>174</v>
      </c>
      <c r="E219" s="617"/>
      <c r="F219" s="617"/>
      <c r="G219" s="617"/>
      <c r="H219" s="617"/>
      <c r="I219" s="617"/>
      <c r="J219" s="617"/>
      <c r="K219" s="1693">
        <f t="shared" si="19"/>
        <v>174</v>
      </c>
      <c r="L219" s="466">
        <v>174</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1337</v>
      </c>
      <c r="E223" s="617"/>
      <c r="F223" s="617"/>
      <c r="G223" s="617"/>
      <c r="H223" s="617"/>
      <c r="I223" s="617"/>
      <c r="J223" s="617"/>
      <c r="K223" s="1693">
        <f t="shared" si="19"/>
        <v>1337</v>
      </c>
      <c r="L223" s="466">
        <v>1424</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33101</v>
      </c>
      <c r="E229" s="617"/>
      <c r="F229" s="617"/>
      <c r="G229" s="617"/>
      <c r="H229" s="617"/>
      <c r="I229" s="617"/>
      <c r="J229" s="617"/>
      <c r="K229" s="1692">
        <f>SUM(K215:K228)</f>
        <v>33101</v>
      </c>
      <c r="L229" s="1692">
        <f>SUM(L215:L228)</f>
        <v>33579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653</v>
      </c>
      <c r="E232" s="617"/>
      <c r="F232" s="617"/>
      <c r="G232" s="617"/>
      <c r="H232" s="617"/>
      <c r="I232" s="617"/>
      <c r="J232" s="617"/>
      <c r="K232" s="1693">
        <f t="shared" ref="K232:K237" si="20">D232</f>
        <v>653</v>
      </c>
      <c r="L232" s="466">
        <v>648</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5843</v>
      </c>
      <c r="E234" s="617"/>
      <c r="F234" s="617"/>
      <c r="G234" s="617"/>
      <c r="H234" s="617"/>
      <c r="I234" s="617"/>
      <c r="J234" s="617"/>
      <c r="K234" s="1693">
        <f t="shared" si="20"/>
        <v>5843</v>
      </c>
      <c r="L234" s="466">
        <v>5696</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805</v>
      </c>
      <c r="E236" s="617"/>
      <c r="F236" s="617"/>
      <c r="G236" s="617"/>
      <c r="H236" s="617"/>
      <c r="I236" s="617"/>
      <c r="J236" s="617"/>
      <c r="K236" s="1693">
        <f t="shared" si="20"/>
        <v>805</v>
      </c>
      <c r="L236" s="466">
        <v>800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7301</v>
      </c>
      <c r="E238" s="617"/>
      <c r="F238" s="617"/>
      <c r="G238" s="617"/>
      <c r="H238" s="617"/>
      <c r="I238" s="617"/>
      <c r="J238" s="617"/>
      <c r="K238" s="1692">
        <f>SUM(K232:K237)</f>
        <v>7301</v>
      </c>
      <c r="L238" s="1692">
        <f>SUM(L232:L237)</f>
        <v>7144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1131</v>
      </c>
      <c r="E246" s="617"/>
      <c r="F246" s="617"/>
      <c r="G246" s="617"/>
      <c r="H246" s="617"/>
      <c r="I246" s="617"/>
      <c r="J246" s="617"/>
      <c r="K246" s="1694">
        <f t="shared" ref="K246:K256" si="21">D246</f>
        <v>1131</v>
      </c>
      <c r="L246" s="466">
        <v>1124</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1131</v>
      </c>
      <c r="E257" s="617"/>
      <c r="F257" s="617"/>
      <c r="G257" s="617"/>
      <c r="H257" s="617"/>
      <c r="I257" s="617"/>
      <c r="J257" s="617"/>
      <c r="K257" s="1692">
        <f>SUM(K245:K256)</f>
        <v>1131</v>
      </c>
      <c r="L257" s="1692">
        <f>SUM(L245:L256)</f>
        <v>1124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873</v>
      </c>
      <c r="E259" s="617"/>
      <c r="F259" s="617"/>
      <c r="G259" s="617"/>
      <c r="H259" s="617"/>
      <c r="I259" s="617"/>
      <c r="J259" s="617"/>
      <c r="K259" s="1694">
        <f>D259</f>
        <v>873</v>
      </c>
      <c r="L259" s="481">
        <v>870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873</v>
      </c>
      <c r="E261" s="617"/>
      <c r="F261" s="617"/>
      <c r="G261" s="617"/>
      <c r="H261" s="617"/>
      <c r="I261" s="617"/>
      <c r="J261" s="617"/>
      <c r="K261" s="1692">
        <f>SUM(K259:K260)</f>
        <v>873</v>
      </c>
      <c r="L261" s="1692">
        <f>SUM(L259:L260)</f>
        <v>870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14724</v>
      </c>
      <c r="E264" s="617"/>
      <c r="F264" s="617"/>
      <c r="G264" s="617"/>
      <c r="H264" s="617"/>
      <c r="I264" s="617"/>
      <c r="J264" s="617"/>
      <c r="K264" s="1694">
        <f t="shared" ref="K264:K269" si="22">D264</f>
        <v>14724</v>
      </c>
      <c r="L264" s="466">
        <v>11205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9979</v>
      </c>
      <c r="E266" s="617"/>
      <c r="F266" s="617"/>
      <c r="G266" s="617"/>
      <c r="H266" s="617"/>
      <c r="I266" s="617"/>
      <c r="J266" s="617"/>
      <c r="K266" s="1694">
        <f t="shared" si="22"/>
        <v>9979</v>
      </c>
      <c r="L266" s="466">
        <v>7816</v>
      </c>
    </row>
    <row r="267" spans="1:14" x14ac:dyDescent="0.2">
      <c r="A267" s="1526" t="s">
        <v>1010</v>
      </c>
      <c r="B267" s="615">
        <v>2550</v>
      </c>
      <c r="C267" s="617"/>
      <c r="D267" s="466">
        <v>11752</v>
      </c>
      <c r="E267" s="617"/>
      <c r="F267" s="617"/>
      <c r="G267" s="617"/>
      <c r="H267" s="617"/>
      <c r="I267" s="617"/>
      <c r="J267" s="617"/>
      <c r="K267" s="1694">
        <f t="shared" si="22"/>
        <v>11752</v>
      </c>
      <c r="L267" s="466">
        <v>14652</v>
      </c>
    </row>
    <row r="268" spans="1:14" x14ac:dyDescent="0.2">
      <c r="A268" s="1526" t="s">
        <v>102</v>
      </c>
      <c r="B268" s="615">
        <v>2560</v>
      </c>
      <c r="C268" s="617"/>
      <c r="D268" s="466">
        <v>9753</v>
      </c>
      <c r="E268" s="617"/>
      <c r="F268" s="617"/>
      <c r="G268" s="617"/>
      <c r="H268" s="617"/>
      <c r="I268" s="617"/>
      <c r="J268" s="617"/>
      <c r="K268" s="1694">
        <f t="shared" si="22"/>
        <v>9753</v>
      </c>
      <c r="L268" s="466">
        <v>9681</v>
      </c>
    </row>
    <row r="269" spans="1:14" x14ac:dyDescent="0.2">
      <c r="A269" s="1526" t="s">
        <v>103</v>
      </c>
      <c r="B269" s="615">
        <v>2570</v>
      </c>
      <c r="C269" s="617"/>
      <c r="D269" s="466">
        <v>5559</v>
      </c>
      <c r="E269" s="617"/>
      <c r="F269" s="617"/>
      <c r="G269" s="617"/>
      <c r="H269" s="617"/>
      <c r="I269" s="617"/>
      <c r="J269" s="617"/>
      <c r="K269" s="1694">
        <f t="shared" si="22"/>
        <v>5559</v>
      </c>
      <c r="L269" s="466">
        <v>5532</v>
      </c>
    </row>
    <row r="270" spans="1:14" ht="12.75" customHeight="1" thickBot="1" x14ac:dyDescent="0.25">
      <c r="A270" s="1690" t="s">
        <v>743</v>
      </c>
      <c r="B270" s="1697" t="s">
        <v>35</v>
      </c>
      <c r="C270" s="617"/>
      <c r="D270" s="1692">
        <f>SUM(D263:D269)</f>
        <v>51767</v>
      </c>
      <c r="E270" s="617"/>
      <c r="F270" s="617"/>
      <c r="G270" s="617"/>
      <c r="H270" s="617"/>
      <c r="I270" s="617"/>
      <c r="J270" s="617"/>
      <c r="K270" s="1692">
        <f>SUM(K263:K269)</f>
        <v>51767</v>
      </c>
      <c r="L270" s="1692">
        <f>SUM(L263:L269)</f>
        <v>48886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61072</v>
      </c>
      <c r="E279" s="617"/>
      <c r="F279" s="617"/>
      <c r="G279" s="617"/>
      <c r="H279" s="617"/>
      <c r="I279" s="617"/>
      <c r="J279" s="617"/>
      <c r="K279" s="1699">
        <f>SUM(K238,K243,K257,K261,K270,K277,K278)</f>
        <v>61072</v>
      </c>
      <c r="L279" s="1699">
        <f>SUM(L238,L243,L257,L261,L270,L277,L278)</f>
        <v>58024</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94173</v>
      </c>
      <c r="E295" s="617"/>
      <c r="F295" s="617"/>
      <c r="G295" s="617"/>
      <c r="H295" s="1692">
        <f>H293</f>
        <v>0</v>
      </c>
      <c r="I295" s="617"/>
      <c r="J295" s="617"/>
      <c r="K295" s="1692">
        <f>SUM(K229,K279,K280,K285,K293,K294)</f>
        <v>94173</v>
      </c>
      <c r="L295" s="1692">
        <f>SUM(L229,L279,L280,L285,L293,L294)</f>
        <v>91603</v>
      </c>
    </row>
    <row r="296" spans="1:14" ht="13.5" thickTop="1" x14ac:dyDescent="0.2">
      <c r="A296" s="2173" t="s">
        <v>1053</v>
      </c>
      <c r="B296" s="2174"/>
      <c r="C296" s="617"/>
      <c r="D296" s="619"/>
      <c r="E296" s="617"/>
      <c r="F296" s="617"/>
      <c r="G296" s="617"/>
      <c r="H296" s="688"/>
      <c r="I296" s="617"/>
      <c r="J296" s="617"/>
      <c r="K296" s="1706">
        <f>'Revenues 9-14'!G275-'Expenditures 15-22'!K295</f>
        <v>4546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12249</v>
      </c>
      <c r="F320" s="467"/>
      <c r="G320" s="467"/>
      <c r="H320" s="467"/>
      <c r="I320" s="467"/>
      <c r="J320" s="467"/>
      <c r="K320" s="1693">
        <f t="shared" ref="K320:K327" si="24">SUM(C320:J320)</f>
        <v>12249</v>
      </c>
      <c r="L320" s="467">
        <v>12249</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100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v>28500</v>
      </c>
      <c r="D323" s="467"/>
      <c r="E323" s="467">
        <v>364</v>
      </c>
      <c r="F323" s="467"/>
      <c r="G323" s="467"/>
      <c r="H323" s="467"/>
      <c r="I323" s="467"/>
      <c r="J323" s="467"/>
      <c r="K323" s="1693">
        <f t="shared" si="24"/>
        <v>28864</v>
      </c>
      <c r="L323" s="467">
        <v>25280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725</v>
      </c>
      <c r="F327" s="467"/>
      <c r="G327" s="467"/>
      <c r="H327" s="467"/>
      <c r="I327" s="467"/>
      <c r="J327" s="467"/>
      <c r="K327" s="1693">
        <f t="shared" si="24"/>
        <v>725</v>
      </c>
      <c r="L327" s="467">
        <v>3000</v>
      </c>
      <c r="M327" s="666"/>
      <c r="N327" s="666"/>
    </row>
    <row r="328" spans="1:14" s="675" customFormat="1" x14ac:dyDescent="0.2">
      <c r="A328" s="1542" t="s">
        <v>492</v>
      </c>
      <c r="B328" s="691" t="s">
        <v>1194</v>
      </c>
      <c r="C328" s="474"/>
      <c r="D328" s="474"/>
      <c r="E328" s="474">
        <v>21559</v>
      </c>
      <c r="F328" s="474"/>
      <c r="G328" s="474"/>
      <c r="H328" s="474"/>
      <c r="I328" s="474"/>
      <c r="J328" s="474"/>
      <c r="K328" s="1721">
        <f>SUM(C328:J328)</f>
        <v>21559</v>
      </c>
      <c r="L328" s="474">
        <v>20543</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28500</v>
      </c>
      <c r="D330" s="1692">
        <f t="shared" ref="D330:J330" si="25">SUM(D319:D329)</f>
        <v>0</v>
      </c>
      <c r="E330" s="1692">
        <f t="shared" si="25"/>
        <v>34897</v>
      </c>
      <c r="F330" s="1692">
        <f t="shared" si="25"/>
        <v>0</v>
      </c>
      <c r="G330" s="1692">
        <f t="shared" si="25"/>
        <v>0</v>
      </c>
      <c r="H330" s="1692">
        <f t="shared" si="25"/>
        <v>0</v>
      </c>
      <c r="I330" s="1692">
        <f t="shared" si="25"/>
        <v>0</v>
      </c>
      <c r="J330" s="1692">
        <f t="shared" si="25"/>
        <v>0</v>
      </c>
      <c r="K330" s="1692">
        <f>SUM(K319:K329)</f>
        <v>63397</v>
      </c>
      <c r="L330" s="1692">
        <f>SUM(L319:L329)</f>
        <v>61172</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28500</v>
      </c>
      <c r="D342" s="1692">
        <f>SUM(D330)</f>
        <v>0</v>
      </c>
      <c r="E342" s="1692">
        <f>SUM(E330)</f>
        <v>34897</v>
      </c>
      <c r="F342" s="1692">
        <f>SUM(F330)</f>
        <v>0</v>
      </c>
      <c r="G342" s="1692">
        <f>SUM(G330)</f>
        <v>0</v>
      </c>
      <c r="H342" s="1692">
        <f>SUM(H330,H334,H340)</f>
        <v>0</v>
      </c>
      <c r="I342" s="1692">
        <f>SUM(I330)</f>
        <v>0</v>
      </c>
      <c r="J342" s="1692">
        <f>SUM(J330)</f>
        <v>0</v>
      </c>
      <c r="K342" s="1692">
        <f>SUM(K330,K334,K340)</f>
        <v>63397</v>
      </c>
      <c r="L342" s="1699">
        <f>SUM(L330,L340,L341)</f>
        <v>61172</v>
      </c>
    </row>
    <row r="343" spans="1:14" ht="12.75" customHeight="1" thickTop="1" x14ac:dyDescent="0.2">
      <c r="A343" s="2186" t="s">
        <v>1053</v>
      </c>
      <c r="B343" s="2187"/>
      <c r="C343" s="617"/>
      <c r="D343" s="617"/>
      <c r="E343" s="617"/>
      <c r="F343" s="617"/>
      <c r="G343" s="617"/>
      <c r="H343" s="617"/>
      <c r="I343" s="617"/>
      <c r="J343" s="617"/>
      <c r="K343" s="1706">
        <f>'Revenues 9-14'!J275-'Expenditures 15-22'!K342</f>
        <v>15494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6610</v>
      </c>
      <c r="F348" s="466">
        <v>1986</v>
      </c>
      <c r="G348" s="466"/>
      <c r="H348" s="466"/>
      <c r="I348" s="467"/>
      <c r="J348" s="467"/>
      <c r="K348" s="1693">
        <f>SUM(C348:J348)</f>
        <v>8596</v>
      </c>
      <c r="L348" s="466">
        <v>12000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6610</v>
      </c>
      <c r="F350" s="1692">
        <f t="shared" si="26"/>
        <v>1986</v>
      </c>
      <c r="G350" s="1692">
        <f t="shared" si="26"/>
        <v>0</v>
      </c>
      <c r="H350" s="1692">
        <f t="shared" si="26"/>
        <v>0</v>
      </c>
      <c r="I350" s="1692">
        <f t="shared" si="26"/>
        <v>0</v>
      </c>
      <c r="J350" s="1692">
        <f t="shared" si="26"/>
        <v>0</v>
      </c>
      <c r="K350" s="1692">
        <f t="shared" si="26"/>
        <v>8596</v>
      </c>
      <c r="L350" s="1692">
        <f t="shared" si="26"/>
        <v>12000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6610</v>
      </c>
      <c r="F352" s="1692">
        <f t="shared" si="27"/>
        <v>1986</v>
      </c>
      <c r="G352" s="1692">
        <f t="shared" si="27"/>
        <v>0</v>
      </c>
      <c r="H352" s="1692">
        <f t="shared" si="27"/>
        <v>0</v>
      </c>
      <c r="I352" s="1692">
        <f t="shared" si="27"/>
        <v>0</v>
      </c>
      <c r="J352" s="1692">
        <f t="shared" si="27"/>
        <v>0</v>
      </c>
      <c r="K352" s="1692">
        <f t="shared" si="27"/>
        <v>8596</v>
      </c>
      <c r="L352" s="1692">
        <f t="shared" si="27"/>
        <v>12000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6610</v>
      </c>
      <c r="F367" s="1692">
        <f t="shared" si="28"/>
        <v>1986</v>
      </c>
      <c r="G367" s="1692">
        <f t="shared" si="28"/>
        <v>0</v>
      </c>
      <c r="H367" s="1692">
        <f t="shared" si="28"/>
        <v>0</v>
      </c>
      <c r="I367" s="1692">
        <f t="shared" si="28"/>
        <v>0</v>
      </c>
      <c r="J367" s="1692">
        <f t="shared" si="28"/>
        <v>0</v>
      </c>
      <c r="K367" s="1692">
        <f t="shared" si="28"/>
        <v>8596</v>
      </c>
      <c r="L367" s="1692">
        <f t="shared" si="28"/>
        <v>12000</v>
      </c>
    </row>
    <row r="368" spans="1:14" ht="13.5" thickTop="1" x14ac:dyDescent="0.2">
      <c r="A368" s="2173" t="s">
        <v>1053</v>
      </c>
      <c r="B368" s="2174"/>
      <c r="C368" s="655"/>
      <c r="D368" s="655"/>
      <c r="E368" s="627"/>
      <c r="F368" s="627"/>
      <c r="G368" s="627"/>
      <c r="H368" s="627"/>
      <c r="I368" s="627"/>
      <c r="J368" s="624"/>
      <c r="K368" s="1693">
        <f>'Revenues 9-14'!K275-'Expenditures 15-22'!K367</f>
        <v>1169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 xml:space="preserve">&amp;L&amp;8Print Date: &amp;D
&amp;F&amp;CThe accompanying notes are an integral part of this statement.
</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http://purl.org/dc/term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2018-10-03T17:54:19Z</cp:lastPrinted>
  <dcterms:created xsi:type="dcterms:W3CDTF">2003-10-29T19:06:34Z</dcterms:created>
  <dcterms:modified xsi:type="dcterms:W3CDTF">2018-10-24T21:09:34Z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