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39" i="3" l="1"/>
  <c r="L4" i="3"/>
  <c r="M19" i="3" l="1"/>
  <c r="H5" i="29"/>
  <c r="E79" i="29"/>
  <c r="D55" i="29"/>
  <c r="D45" i="29"/>
  <c r="D37" i="29"/>
  <c r="D17" i="29"/>
  <c r="D10" i="29"/>
  <c r="D8" i="29"/>
  <c r="D7" i="29"/>
  <c r="F5" i="29"/>
  <c r="E5" i="29"/>
  <c r="D5" i="29"/>
  <c r="C5" i="29"/>
  <c r="C171" i="5"/>
  <c r="C4" i="3"/>
  <c r="C124" i="29"/>
  <c r="F124" i="29"/>
  <c r="E124" i="29"/>
  <c r="F182" i="29"/>
  <c r="D215" i="29"/>
  <c r="H4" i="3"/>
  <c r="L10" i="37" l="1"/>
  <c r="H10" i="37"/>
  <c r="F10" i="37"/>
  <c r="D50"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D11" i="37"/>
  <c r="J22" i="37"/>
  <c r="D24" i="37"/>
  <c r="B4270" i="106" s="1"/>
  <c r="D4270" i="106" s="1"/>
  <c r="D9" i="7"/>
  <c r="B1767" i="106" s="1"/>
  <c r="D1767" i="106" s="1"/>
  <c r="F136" i="34"/>
  <c r="F128" i="34"/>
  <c r="F127" i="34"/>
  <c r="B5847" i="106"/>
  <c r="D5847" i="106" s="1"/>
  <c r="B5752" i="106"/>
  <c r="D5752" i="106" s="1"/>
  <c r="B5599" i="106"/>
  <c r="D5599" i="106" s="1"/>
  <c r="H173" i="5"/>
  <c r="B5906" i="106" s="1"/>
  <c r="D5906" i="106" s="1"/>
  <c r="D17" i="7"/>
  <c r="B4104" i="106" s="1"/>
  <c r="D4104" i="106" s="1"/>
  <c r="D15" i="7" l="1"/>
  <c r="B1772" i="106" s="1"/>
  <c r="D1772" i="106" s="1"/>
  <c r="H6" i="4"/>
  <c r="B2656" i="106" s="1"/>
  <c r="D2656" i="106" s="1"/>
  <c r="H109" i="5"/>
  <c r="K274" i="5"/>
  <c r="F131" i="34"/>
  <c r="B5770" i="106"/>
  <c r="D5770" i="106" s="1"/>
  <c r="D13" i="7"/>
  <c r="B3726" i="106" s="1"/>
  <c r="D3726" i="106" s="1"/>
  <c r="D5" i="4"/>
  <c r="B3406" i="106" s="1"/>
  <c r="D3406" i="106" s="1"/>
  <c r="I173" i="5"/>
  <c r="B4216" i="106" s="1"/>
  <c r="D4216" i="106" s="1"/>
  <c r="C172" i="5"/>
  <c r="B5214" i="106" s="1"/>
  <c r="D5214" i="106" s="1"/>
  <c r="L367" i="29"/>
  <c r="F94" i="34"/>
  <c r="B7235" i="106"/>
  <c r="D7235" i="106" s="1"/>
  <c r="B3621" i="106"/>
  <c r="D3621" i="106" s="1"/>
  <c r="C367" i="29"/>
  <c r="F130" i="34"/>
  <c r="H44" i="4"/>
  <c r="B3254" i="106"/>
  <c r="D3254" i="106" s="1"/>
  <c r="I24" i="12"/>
  <c r="I26" i="12" s="1"/>
  <c r="B7741" i="106" s="1"/>
  <c r="D7741" i="106" s="1"/>
  <c r="K285" i="29"/>
  <c r="E174" i="29"/>
  <c r="B1309" i="106" s="1"/>
  <c r="D1309" i="106" s="1"/>
  <c r="G30" i="108"/>
  <c r="E30" i="108"/>
  <c r="B5260" i="106"/>
  <c r="D5260" i="106" s="1"/>
  <c r="F106" i="34"/>
  <c r="C173" i="5"/>
  <c r="B5223" i="106" s="1"/>
  <c r="D5223" i="106" s="1"/>
  <c r="C109" i="5"/>
  <c r="B5121" i="106" s="1"/>
  <c r="D5121" i="106" s="1"/>
  <c r="D4" i="7"/>
  <c r="B1760" i="106" s="1"/>
  <c r="D1760" i="106" s="1"/>
  <c r="C129" i="29"/>
  <c r="D109" i="5"/>
  <c r="D5" i="7"/>
  <c r="B1761" i="106" s="1"/>
  <c r="D1761" i="106" s="1"/>
  <c r="B1746" i="106"/>
  <c r="D1746" i="106" s="1"/>
  <c r="B1329" i="106"/>
  <c r="D1329" i="106" s="1"/>
  <c r="F61" i="34"/>
  <c r="E109" i="5"/>
  <c r="E4" i="4" s="1"/>
  <c r="B2630" i="106" s="1"/>
  <c r="D2630" i="106" s="1"/>
  <c r="E29" i="108"/>
  <c r="G29" i="108"/>
  <c r="K184" i="29"/>
  <c r="F13" i="4" s="1"/>
  <c r="B2596" i="106" s="1"/>
  <c r="D2596" i="106" s="1"/>
  <c r="F111" i="34"/>
  <c r="D7" i="7"/>
  <c r="B1763" i="106" s="1"/>
  <c r="D1763" i="106" s="1"/>
  <c r="B1410" i="106"/>
  <c r="D1410" i="106" s="1"/>
  <c r="G109" i="5"/>
  <c r="D11" i="7"/>
  <c r="B1768" i="106" s="1"/>
  <c r="D1768" i="106" s="1"/>
  <c r="C342" i="29"/>
  <c r="B7216" i="106" s="1"/>
  <c r="D7216" i="106" s="1"/>
  <c r="B3649" i="106"/>
  <c r="D3649" i="106" s="1"/>
  <c r="G367" i="29"/>
  <c r="K350" i="29"/>
  <c r="D12" i="7"/>
  <c r="B1769" i="106" s="1"/>
  <c r="D1769" i="106" s="1"/>
  <c r="D52" i="36"/>
  <c r="D54" i="36"/>
  <c r="L15" i="11"/>
  <c r="B3459" i="106" s="1"/>
  <c r="D3459" i="106" s="1"/>
  <c r="N22" i="3"/>
  <c r="B283" i="106" s="1"/>
  <c r="D283" i="106" s="1"/>
  <c r="D31" i="36"/>
  <c r="H29" i="118"/>
  <c r="L342" i="29"/>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K28" i="118"/>
  <c r="O27" i="118" s="1"/>
  <c r="O29" i="118"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D274" i="5"/>
  <c r="B7270" i="106"/>
  <c r="B3628" i="106" l="1"/>
  <c r="D3628" i="106" s="1"/>
  <c r="F73" i="34"/>
  <c r="G15" i="4"/>
  <c r="B6032" i="106" s="1"/>
  <c r="D6032" i="106" s="1"/>
  <c r="H367" i="29"/>
  <c r="B3660" i="106" s="1"/>
  <c r="D3660" i="106" s="1"/>
  <c r="B6025" i="106"/>
  <c r="D6025" i="106" s="1"/>
  <c r="H4" i="4"/>
  <c r="C6" i="4"/>
  <c r="B2553" i="106" s="1"/>
  <c r="D2553" i="106" s="1"/>
  <c r="C4" i="4"/>
  <c r="B2551" i="106" s="1"/>
  <c r="D2551" i="106" s="1"/>
  <c r="B5356" i="106"/>
  <c r="D5356" i="106" s="1"/>
  <c r="D4" i="4"/>
  <c r="B2564" i="106" s="1"/>
  <c r="D2564" i="106" s="1"/>
  <c r="B1317" i="106"/>
  <c r="D1317" i="106" s="1"/>
  <c r="B5527" i="106"/>
  <c r="D5527" i="106" s="1"/>
  <c r="B6024" i="106"/>
  <c r="D6024" i="106" s="1"/>
  <c r="G4" i="4"/>
  <c r="B2603" i="106" s="1"/>
  <c r="D2603" i="106" s="1"/>
  <c r="K342" i="29"/>
  <c r="F13" i="34" s="1"/>
  <c r="B3670" i="106"/>
  <c r="D3670" i="106" s="1"/>
  <c r="K352" i="29"/>
  <c r="K367" i="29" s="1"/>
  <c r="D44" i="36"/>
  <c r="C114" i="29"/>
  <c r="B757" i="106" s="1"/>
  <c r="D757" i="106" s="1"/>
  <c r="L114" i="29"/>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F8" i="4"/>
  <c r="D8" i="146" s="1"/>
  <c r="G41" i="108"/>
  <c r="G44" i="108" s="1"/>
  <c r="G45" i="108" s="1"/>
  <c r="E41" i="108"/>
  <c r="E44" i="108" s="1"/>
  <c r="E45" i="108" s="1"/>
  <c r="J17" i="4"/>
  <c r="J19" i="4" s="1"/>
  <c r="B6229" i="106" s="1"/>
  <c r="D6229" i="106" s="1"/>
  <c r="K13" i="4"/>
  <c r="B3572" i="106" s="1"/>
  <c r="D3572" i="106" s="1"/>
  <c r="B3672" i="106"/>
  <c r="D3672" i="106"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2658" i="106" l="1"/>
  <c r="D2658" i="106" s="1"/>
  <c r="H10" i="4"/>
  <c r="B4127" i="106" s="1"/>
  <c r="D4127" i="106" s="1"/>
  <c r="J20" i="4"/>
  <c r="F76" i="34"/>
  <c r="D10" i="171"/>
  <c r="D19" i="171" s="1"/>
  <c r="D32" i="171" s="1"/>
  <c r="D49" i="171" s="1"/>
  <c r="F10" i="4"/>
  <c r="B4125" i="106" s="1"/>
  <c r="D4125" i="106" s="1"/>
  <c r="K17" i="4"/>
  <c r="K20" i="4"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3575" i="106" l="1"/>
  <c r="D3575" i="106"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<sst xmlns="http://schemas.openxmlformats.org/spreadsheetml/2006/main" count="5046" uniqueCount="2111">
  <si>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</si>
  <si>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</si>
  <si>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</si>
  <si>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</si>
  <si>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</si>
  <si>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</si>
  <si>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</si>
  <si>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</si>
  <si>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</si>
  <si>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</si>
  <si>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</si>
  <si>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</si>
  <si>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</si>
  <si>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</si>
  <si>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</si>
  <si>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</si>
  <si>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</si>
  <si>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</si>
  <si>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</si>
  <si>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</si>
  <si>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</si>
  <si>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</si>
  <si>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</si>
  <si>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</si>
  <si>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</si>
  <si>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</si>
  <si>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</si>
  <si>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</si>
  <si>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</si>
  <si>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</si>
  <si>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</si>
  <si>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</si>
  <si>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</si>
  <si>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</si>
  <si>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</si>
  <si>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</si>
  <si>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</si>
  <si>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</si>
  <si>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</si>
  <si>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</si>
  <si>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</si>
  <si>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</si>
  <si>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</si>
  <si>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</si>
  <si>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</si>
  <si>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</si>
  <si>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</si>
  <si>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</si>
  <si>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</si>
  <si>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</si>
  <si>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</si>
  <si>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</si>
  <si>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</si>
  <si>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</si>
  <si>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</si>
  <si>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</si>
  <si>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</si>
  <si>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</si>
  <si>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</si>
  <si>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</si>
  <si>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</si>
  <si>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</si>
  <si>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</si>
  <si>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</si>
  <si>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</si>
  <si>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</si>
  <si>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</si>
  <si>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</si>
  <si>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</si>
  <si>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</si>
  <si>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</si>
  <si>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</si>
  <si>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</si>
  <si>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</si>
  <si>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</si>
  <si>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</si>
  <si>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</si>
  <si>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</si>
  <si>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</si>
  <si>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</si>
  <si>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</si>
  <si>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</si>
  <si>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</si>
  <si>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</si>
  <si>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</si>
  <si>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</si>
  <si>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</si>
  <si>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</si>
  <si>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</si>
  <si>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</si>
  <si>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</si>
  <si>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</si>
  <si>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</si>
  <si>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</si>
  <si>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</si>
  <si>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</si>
  <si>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</si>
  <si>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</si>
  <si>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</si>
  <si>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</si>
  <si>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</si>
  <si>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</si>
  <si>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</si>
  <si>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</si>
  <si>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</si>
  <si>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</si>
  <si>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</si>
  <si>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</si>
  <si>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</si>
  <si>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</si>
  <si>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</si>
  <si>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</si>
  <si>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</si>
  <si>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</si>
  <si>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</si>
  <si>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</si>
  <si>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</si>
  <si>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</si>
  <si>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</si>
  <si>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</si>
  <si>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</si>
  <si>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</si>
  <si>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</si>
  <si>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</si>
  <si>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</si>
  <si>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</si>
  <si>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</si>
  <si>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</si>
  <si>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</si>
  <si>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</si>
  <si>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</si>
  <si>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</si>
  <si>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</si>
  <si>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</si>
  <si>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</si>
  <si>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</si>
  <si>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</si>
  <si>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</si>
  <si>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</si>
  <si>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</si>
  <si>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</si>
  <si>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</si>
  <si>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</si>
  <si>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</si>
  <si>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</si>
  <si>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</si>
  <si>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</si>
  <si>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</si>
  <si>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</si>
  <si>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</si>
  <si>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</si>
  <si>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</si>
  <si>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</si>
  <si>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</si>
  <si>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</si>
  <si>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</si>
  <si>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</si>
  <si>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</si>
  <si>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</si>
  <si>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</si>
  <si>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</si>
  <si>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</si>
  <si>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</si>
  <si>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</si>
  <si>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</si>
  <si>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</si>
  <si>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</si>
  <si>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</si>
  <si>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</si>
  <si>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</si>
  <si>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</si>
  <si>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</si>
  <si>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</si>
  <si>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</si>
  <si>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</si>
  <si>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</si>
  <si>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</si>
  <si>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</si>
  <si>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</si>
  <si>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</si>
  <si>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</si>
  <si>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</si>
  <si>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</si>
  <si>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</si>
  <si>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</si>
  <si>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</si>
  <si>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</si>
  <si>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</si>
  <si>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</si>
  <si>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</si>
  <si>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</si>
  <si>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</si>
  <si>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</si>
  <si>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</si>
  <si>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</si>
  <si>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</si>
  <si>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</si>
  <si>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</si>
  <si>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</si>
  <si>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</si>
  <si>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</si>
  <si>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</si>
  <si>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</si>
  <si>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</si>
  <si>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</si>
  <si>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</si>
  <si>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</si>
  <si>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</si>
  <si>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</si>
  <si>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</si>
  <si>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</si>
  <si>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</si>
  <si>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</si>
  <si>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</si>
  <si>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</si>
  <si>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</si>
  <si>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</si>
  <si>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</si>
  <si>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</si>
  <si>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</si>
  <si>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</si>
  <si>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</si>
  <si>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</si>
  <si>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</si>
  <si>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</si>
  <si>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</si>
  <si>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</si>
  <si>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</si>
  <si>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</si>
  <si>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</si>
  <si>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</si>
  <si>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</si>
  <si>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</si>
  <si>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</si>
  <si>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</si>
  <si>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</si>
  <si>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</si>
  <si>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</si>
  <si>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</si>
  <si>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</si>
  <si>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</si>
  <si>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</si>
  <si>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</si>
  <si>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</si>
  <si>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</si>
  <si>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</si>
  <si>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</si>
  <si>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</si>
  <si>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</si>
  <si>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</si>
  <si>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</si>
  <si>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</si>
  <si>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</si>
  <si>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</si>
  <si>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</si>
  <si>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</si>
  <si>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</si>
  <si>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</si>
  <si>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</si>
  <si>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</si>
  <si>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</si>
  <si>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</si>
  <si>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</si>
  <si>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</si>
  <si>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</si>
  <si>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</si>
  <si>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</si>
  <si>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</si>
  <si>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</si>
  <si>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</si>
  <si>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</si>
  <si>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</si>
  <si>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</si>
  <si>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</si>
  <si>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</si>
  <si>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</si>
  <si>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</si>
  <si>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</si>
  <si>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</si>
  <si>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</si>
  <si>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</si>
  <si>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</si>
  <si>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</si>
  <si>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</si>
  <si>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</si>
  <si>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</si>
  <si>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</si>
  <si>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</si>
  <si>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</si>
  <si>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</si>
  <si>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</si>
  <si>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</si>
  <si>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</si>
  <si>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</si>
  <si>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</si>
  <si>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</si>
  <si>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</si>
  <si>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</si>
  <si>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</si>
  <si>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</si>
  <si>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</si>
  <si>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</si>
  <si>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</si>
  <si>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</si>
  <si>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</si>
  <si>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</si>
  <si>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</si>
  <si>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</si>
  <si>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</si>
  <si>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</si>
  <si>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</si>
  <si>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</si>
  <si>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</si>
  <si>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</si>
  <si>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</si>
  <si>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</si>
  <si>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</si>
  <si>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</si>
  <si>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</si>
  <si>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</si>
  <si>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</si>
  <si>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</si>
  <si>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</si>
  <si>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</si>
  <si>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</si>
  <si>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</si>
  <si>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</si>
  <si>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</si>
  <si>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</si>
  <si>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</si>
  <si>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</si>
  <si>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</si>
  <si>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</si>
  <si>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</si>
  <si>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</si>
  <si>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</si>
  <si>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</si>
  <si>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</si>
  <si>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</si>
  <si>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</si>
  <si>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</si>
  <si>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</si>
  <si>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</si>
  <si>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</si>
  <si>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</si>
  <si>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</si>
  <si>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</si>
  <si>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</si>
  <si>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</si>
  <si>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</si>
  <si>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</si>
  <si>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</si>
  <si>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</si>
  <si>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</si>
  <si>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</si>
  <si>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</si>
  <si>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</si>
  <si>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</si>
  <si>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</si>
  <si>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</si>
  <si>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</si>
  <si>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</si>
  <si>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</si>
  <si>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</si>
  <si>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</si>
  <si>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</si>
  <si>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</si>
  <si>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</si>
  <si>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</si>
  <si>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</si>
  <si>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</si>
  <si>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</si>
  <si>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</si>
  <si>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</si>
  <si>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</si>
  <si>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</si>
  <si>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</si>
  <si>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</si>
  <si>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</si>
  <si>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</si>
  <si>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</si>
  <si>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</si>
  <si>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</si>
  <si>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</si>
  <si>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</si>
  <si>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</si>
  <si>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</si>
  <si>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</si>
  <si>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</si>
  <si>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</si>
  <si>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</si>
  <si>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</si>
  <si>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</si>
  <si>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</si>
  <si>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</si>
  <si>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</si>
  <si>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</si>
  <si>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</si>
  <si>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</si>
  <si>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</si>
  <si>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</si>
  <si>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</si>
  <si>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</si>
  <si>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</si>
  <si>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</si>
  <si>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</si>
  <si>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</si>
  <si>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</si>
  <si>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</si>
  <si>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</si>
  <si>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</si>
  <si>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</si>
  <si>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</si>
  <si>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</si>
  <si>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</si>
  <si>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</si>
  <si>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</si>
  <si>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</si>
  <si>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</si>
  <si>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</si>
  <si>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</si>
  <si>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</si>
  <si>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</si>
  <si>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</si>
  <si>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</si>
  <si>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</si>
  <si>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</si>
  <si>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</si>
  <si>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</si>
  <si>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</si>
  <si>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</si>
  <si>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</si>
  <si>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</si>
  <si>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</si>
  <si>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</si>
  <si>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</si>
  <si>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</si>
  <si>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</si>
  <si>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</si>
  <si>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</si>
  <si>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</si>
  <si>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</si>
  <si>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</si>
  <si>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</si>
  <si>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</si>
  <si>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</si>
  <si>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</si>
  <si>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</si>
  <si>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</si>
  <si>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</si>
  <si>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</si>
  <si>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</si>
  <si>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</si>
  <si>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</si>
  <si>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</si>
  <si>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</si>
  <si>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</si>
  <si>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</si>
  <si>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</si>
  <si>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</si>
  <si>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</si>
  <si>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</si>
  <si>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</si>
  <si>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</si>
  <si>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</si>
  <si>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</si>
  <si>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</si>
  <si>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</si>
  <si>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</si>
  <si>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</si>
  <si>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</si>
  <si>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</si>
  <si>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</si>
  <si>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</si>
  <si>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</si>
  <si>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</si>
  <si>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</si>
  <si>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</si>
  <si>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</si>
  <si>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</si>
  <si>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</si>
  <si>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</si>
  <si>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</si>
  <si>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</si>
  <si>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</si>
  <si>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</si>
  <si>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</si>
  <si>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</si>
  <si>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</si>
  <si>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</si>
  <si>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</si>
  <si>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</si>
  <si>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</si>
  <si>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</si>
  <si>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</si>
  <si>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</si>
  <si>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</si>
  <si>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</si>
  <si>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</si>
  <si>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</si>
  <si>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</si>
  <si>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</si>
  <si>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</si>
  <si>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</si>
  <si>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</si>
  <si>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</si>
  <si>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</si>
  <si>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</si>
  <si>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</si>
  <si>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</si>
  <si>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</si>
  <si>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</si>
  <si>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</si>
  <si>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</si>
  <si>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</si>
  <si>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</si>
  <si>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</si>
  <si>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</si>
  <si>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</si>
  <si>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</si>
  <si>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</si>
  <si>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</si>
  <si>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</si>
  <si>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</si>
  <si>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</si>
  <si>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</si>
  <si>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</si>
  <si>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</si>
  <si>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</si>
  <si>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</si>
  <si>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</si>
  <si>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</si>
  <si>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</si>
  <si>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</si>
  <si>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</si>
  <si>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</si>
  <si>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</si>
  <si>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</si>
  <si>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</si>
  <si>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</si>
  <si>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</si>
  <si>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</si>
  <si>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</si>
  <si>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</si>
  <si>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</si>
  <si>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</si>
  <si>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</si>
  <si>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</si>
  <si>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</si>
  <si>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</si>
  <si>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</si>
  <si>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</si>
  <si>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</si>
  <si>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</si>
  <si>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</si>
  <si>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</si>
  <si>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</si>
  <si>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</si>
  <si>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</si>
  <si>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</si>
  <si>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</si>
  <si>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</si>
  <si>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</si>
  <si>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</si>
  <si>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</si>
  <si>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</si>
  <si>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</si>
  <si>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</si>
  <si>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</si>
  <si>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</si>
  <si>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</si>
  <si>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</si>
  <si>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</si>
  <si>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</si>
  <si>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</si>
  <si>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</si>
  <si>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</si>
  <si>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</si>
  <si>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</si>
  <si>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</si>
  <si>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</si>
  <si>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</si>
  <si>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</si>
  <si>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</si>
  <si>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</si>
  <si>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</si>
  <si>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</si>
  <si>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</si>
  <si>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</si>
  <si>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</si>
  <si>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</si>
  <si>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</si>
  <si>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</si>
  <si>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</si>
  <si>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</si>
  <si>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</si>
  <si>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</si>
  <si>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</si>
  <si>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</si>
  <si>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</si>
  <si>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</si>
  <si>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</si>
  <si>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</si>
  <si>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</si>
  <si>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</si>
  <si>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</si>
  <si>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</si>
  <si>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</si>
  <si>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</si>
  <si>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</si>
  <si>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</si>
  <si>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</si>
  <si>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</si>
  <si>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</si>
  <si>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</si>
  <si>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</si>
  <si>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</si>
  <si>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</si>
  <si>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</si>
  <si>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</si>
  <si>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</si>
  <si>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</si>
  <si>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</si>
  <si>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</si>
  <si>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</si>
  <si>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</si>
  <si>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</si>
  <si>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</si>
  <si>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</si>
  <si>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</si>
  <si>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</si>
  <si>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</si>
  <si>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</si>
  <si>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</si>
  <si>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</si>
  <si>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</si>
  <si>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</si>
  <si>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</si>
  <si>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</si>
  <si>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</si>
  <si>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</si>
  <si>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</si>
  <si>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</si>
  <si>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</si>
  <si>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</si>
  <si>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</si>
  <si>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</si>
  <si>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</si>
  <si>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</si>
  <si>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</si>
  <si>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</si>
  <si>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</si>
  <si>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</si>
  <si>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</si>
  <si>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</si>
  <si>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</si>
  <si>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</si>
  <si>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</si>
  <si>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</si>
  <si>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</si>
  <si>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</si>
  <si>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</si>
  <si>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</si>
  <si>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</si>
  <si>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</si>
  <si>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</si>
  <si>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</si>
  <si>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</si>
  <si>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</si>
  <si>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</si>
  <si>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</si>
  <si>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</si>
  <si>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</si>
  <si>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</si>
  <si>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</si>
  <si>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</si>
  <si>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</si>
  <si>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</si>
  <si>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</si>
  <si>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</si>
  <si>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</si>
  <si>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</si>
  <si>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</si>
  <si>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</si>
  <si>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</si>
  <si>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</si>
  <si>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</si>
  <si>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</si>
  <si>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</si>
  <si>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</si>
  <si>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</si>
  <si>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</si>
  <si>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</si>
  <si>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</si>
  <si>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</si>
  <si>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</si>
  <si>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</si>
  <si>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</si>
  <si>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</si>
  <si>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</si>
  <si>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</si>
  <si>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</si>
  <si>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</si>
  <si>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</si>
  <si>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</si>
  <si>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</si>
  <si>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</si>
  <si>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</si>
  <si>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</si>
  <si>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</si>
  <si>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</si>
  <si>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</si>
  <si>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</si>
  <si>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</si>
  <si>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</si>
  <si>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</si>
  <si>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</si>
  <si>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</si>
  <si>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</si>
  <si>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</si>
  <si>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</si>
  <si>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</si>
  <si>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</si>
  <si>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</si>
  <si>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</si>
  <si>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</si>
  <si>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</si>
  <si>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</si>
  <si>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</si>
  <si>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</si>
  <si>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</si>
  <si>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</si>
  <si>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</si>
  <si>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</si>
  <si>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</si>
  <si>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</si>
  <si>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</si>
  <si>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</si>
  <si>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</si>
  <si>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</si>
  <si>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</si>
  <si>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</si>
  <si>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</si>
  <si>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</si>
  <si>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</si>
  <si>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</si>
  <si>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</si>
  <si>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</si>
  <si>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</si>
  <si>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</si>
  <si>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</si>
  <si>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</si>
  <si>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</si>
  <si>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</si>
  <si>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</si>
  <si>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</si>
  <si>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</si>
  <si>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</si>
  <si>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</si>
  <si>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</si>
  <si>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</si>
  <si>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</si>
  <si>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</si>
  <si>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</si>
  <si>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</si>
  <si>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</si>
  <si>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</si>
  <si>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</si>
  <si>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</si>
  <si>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</si>
  <si>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</si>
  <si>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</si>
  <si>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</si>
  <si>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</si>
  <si>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</si>
  <si>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</si>
  <si>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</si>
  <si>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</si>
  <si>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</si>
  <si>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</si>
  <si>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</si>
  <si>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</si>
  <si>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</si>
  <si>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</si>
  <si>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</si>
  <si>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</si>
  <si>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</si>
  <si>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</si>
  <si>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</si>
  <si>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</si>
  <si>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</si>
  <si>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</si>
  <si>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</si>
  <si>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</si>
  <si>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</si>
  <si>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</si>
  <si>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</si>
  <si>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</si>
  <si>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</si>
  <si>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</si>
  <si>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</si>
  <si>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</si>
  <si>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</si>
  <si>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</si>
  <si>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</si>
  <si>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</si>
  <si>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</si>
  <si>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</si>
  <si>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</si>
  <si>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</si>
  <si>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</si>
  <si>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</si>
  <si>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</si>
  <si>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</si>
  <si>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</si>
  <si>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</si>
  <si>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</si>
  <si>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</si>
  <si>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</si>
  <si>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</si>
  <si>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</si>
  <si>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</si>
  <si>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</si>
  <si>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</si>
  <si>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</si>
  <si>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</si>
  <si>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</si>
  <si>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</si>
  <si>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</si>
  <si>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</si>
  <si>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</si>
  <si>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</si>
  <si>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</si>
  <si>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</si>
  <si>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</si>
  <si>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</si>
  <si>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</si>
  <si>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</si>
  <si>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</si>
  <si>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</si>
  <si>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</si>
  <si>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</si>
  <si>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</si>
  <si>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</si>
  <si>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</si>
  <si>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</si>
  <si>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</si>
  <si>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</si>
  <si>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</si>
  <si>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</si>
  <si>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</si>
  <si>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</si>
  <si>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</si>
  <si>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</si>
  <si>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</si>
  <si>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</si>
  <si>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</si>
  <si>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</si>
  <si>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</si>
  <si>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</si>
  <si>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</si>
  <si>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</si>
  <si>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</si>
  <si>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</si>
  <si>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</si>
  <si>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</si>
  <si>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</si>
  <si>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</si>
  <si>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</si>
  <si>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</si>
  <si>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</si>
  <si>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</si>
  <si>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</si>
  <si>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</si>
  <si>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</si>
  <si>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</si>
  <si>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</si>
  <si>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</si>
  <si>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</si>
  <si>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</si>
  <si>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</si>
  <si>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</si>
  <si>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</si>
  <si>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</si>
  <si>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</si>
  <si>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</si>
  <si>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</si>
  <si>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</si>
  <si>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</si>
  <si>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</si>
  <si>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</si>
  <si>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</si>
  <si>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</si>
  <si>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</si>
  <si>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</si>
  <si>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</si>
  <si>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</si>
  <si>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</si>
  <si>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</si>
  <si>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</si>
  <si>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</si>
  <si>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</si>
  <si>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</si>
  <si>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</si>
  <si>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</si>
  <si>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</si>
  <si>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</si>
  <si>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</si>
  <si>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</si>
  <si>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</si>
  <si>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</si>
  <si>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</si>
  <si>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</si>
  <si>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</si>
  <si>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</si>
  <si>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</si>
  <si>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</si>
  <si>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</si>
  <si>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</si>
  <si>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</si>
  <si>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</si>
  <si>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</si>
  <si>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</si>
  <si>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</si>
  <si>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</si>
  <si>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</si>
  <si>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</si>
  <si>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</si>
  <si>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</si>
  <si>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</si>
  <si>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</si>
  <si>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</si>
  <si>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</si>
  <si>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</si>
  <si>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</si>
  <si>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</si>
  <si>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</si>
  <si>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</si>
  <si>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</si>
  <si>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</si>
  <si>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</si>
  <si>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</si>
  <si>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</si>
  <si>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</si>
  <si>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</si>
  <si>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</si>
  <si>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</si>
  <si>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</si>
  <si>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</si>
  <si>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</si>
  <si>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</si>
  <si>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</si>
  <si>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</si>
  <si>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</si>
  <si>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</si>
  <si>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</si>
  <si>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</si>
  <si>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</si>
  <si>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</si>
  <si>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</si>
  <si>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</si>
  <si>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</si>
  <si>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</si>
  <si>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</si>
  <si>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</si>
  <si>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</si>
  <si>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</si>
  <si>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</si>
  <si>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</si>
  <si>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</si>
  <si>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</si>
  <si>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</si>
  <si>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</si>
  <si>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</si>
  <si>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</si>
  <si>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</si>
  <si>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</si>
  <si>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</si>
  <si>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</si>
  <si>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</si>
  <si>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</si>
  <si>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</si>
  <si>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</si>
  <si>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</si>
  <si>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</si>
  <si>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</si>
  <si>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</si>
  <si>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</si>
  <si>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</si>
  <si>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</si>
  <si>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</si>
  <si>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</si>
  <si>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</si>
  <si>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</si>
  <si>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</si>
  <si>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</si>
  <si>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</si>
  <si>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</si>
  <si>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</si>
  <si>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</si>
  <si>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</si>
  <si>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</si>
  <si>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</si>
  <si>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</si>
  <si>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</si>
  <si>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</si>
  <si>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</si>
  <si>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</si>
  <si>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</si>
  <si>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</si>
  <si>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</si>
  <si>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</si>
  <si>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</si>
  <si>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</si>
  <si>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</si>
  <si>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</si>
  <si>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</si>
  <si>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</si>
  <si>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</si>
  <si>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</si>
  <si>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</si>
  <si>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</si>
  <si>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</si>
  <si>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</si>
  <si>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</si>
  <si>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</si>
  <si>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</si>
  <si>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</si>
  <si>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</si>
  <si>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</si>
  <si>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</si>
  <si>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</si>
  <si>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</si>
  <si>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</si>
  <si>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</si>
  <si>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</si>
  <si>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</si>
  <si>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</si>
  <si>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</si>
  <si>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</si>
  <si>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</si>
  <si>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</si>
  <si>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</si>
  <si>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</si>
  <si>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</si>
  <si>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</si>
  <si>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</si>
  <si>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</si>
  <si>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</si>
  <si>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</si>
  <si>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</si>
  <si>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</si>
  <si>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</si>
  <si>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</si>
  <si>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</si>
  <si>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</si>
  <si>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</si>
  <si>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</si>
  <si>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</si>
  <si>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</si>
  <si>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</si>
  <si>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</si>
  <si>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</si>
  <si>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</si>
  <si>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</si>
  <si>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</si>
  <si>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</si>
  <si>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</si>
  <si>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</si>
  <si>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</si>
  <si>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</si>
  <si>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</si>
  <si>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</si>
  <si>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</si>
  <si>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</si>
  <si>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</si>
  <si>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</si>
  <si>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</si>
  <si>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</si>
  <si>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</si>
  <si>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</si>
  <si>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</si>
  <si>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</si>
  <si>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</si>
  <si>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</si>
  <si>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</si>
  <si>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</si>
  <si>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</si>
  <si>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</si>
  <si>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</si>
  <si>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</si>
  <si>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</si>
  <si>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</si>
  <si>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</si>
  <si>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</si>
  <si>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</si>
  <si>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</si>
  <si>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</si>
  <si>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</si>
  <si>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</si>
  <si>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</si>
  <si>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</si>
  <si>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</si>
  <si>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</si>
  <si>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</si>
  <si>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</si>
  <si>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</si>
  <si>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</si>
  <si>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</si>
  <si>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</si>
  <si>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</si>
  <si>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</si>
  <si>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</si>
  <si>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</si>
  <si>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</si>
  <si>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</si>
  <si>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</si>
  <si>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</si>
  <si>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</si>
  <si>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</si>
  <si>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</si>
  <si>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</si>
  <si>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</si>
  <si>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</si>
  <si>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</si>
  <si>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</si>
  <si>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</si>
  <si>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</si>
  <si>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</si>
  <si>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</si>
  <si>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</si>
  <si>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</si>
  <si>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</si>
  <si>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</si>
  <si>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</si>
  <si>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</si>
  <si>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</si>
  <si>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</si>
  <si>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</si>
  <si>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</si>
  <si>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</si>
  <si>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</si>
  <si>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</si>
  <si>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</si>
  <si>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</si>
  <si>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</si>
  <si>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</si>
  <si>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</si>
  <si>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</si>
  <si>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</si>
  <si>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</si>
  <si>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</si>
  <si>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</si>
  <si>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</si>
  <si>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</si>
  <si>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</si>
  <si>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</si>
  <si>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</si>
  <si>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</si>
  <si>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</si>
  <si>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</si>
  <si>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</si>
  <si>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</si>
  <si>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</si>
  <si>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</si>
  <si>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</si>
  <si>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</si>
  <si>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</si>
  <si>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</si>
  <si>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</si>
  <si>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</si>
  <si>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</si>
  <si>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</si>
  <si>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</si>
  <si>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</si>
  <si>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</si>
  <si>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</si>
  <si>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</si>
  <si>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</si>
  <si>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</si>
  <si>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</si>
  <si>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</si>
  <si>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</si>
  <si>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</si>
  <si>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</si>
  <si>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</si>
  <si>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</si>
  <si>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</si>
  <si>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</si>
  <si>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</si>
  <si>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</si>
  <si>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</si>
  <si>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</si>
  <si>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</si>
  <si>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</si>
  <si>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</si>
  <si>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</si>
  <si>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</si>
  <si>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</si>
  <si>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</si>
  <si>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</si>
  <si>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</si>
  <si>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</si>
  <si>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</si>
  <si>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</si>
  <si>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</si>
  <si>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</si>
  <si>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</si>
  <si>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</si>
  <si>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</si>
  <si>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</si>
  <si>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</si>
  <si>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</si>
  <si>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</si>
  <si>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</si>
  <si>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</si>
  <si>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</si>
  <si>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</si>
  <si>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</si>
  <si>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</si>
  <si>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</si>
  <si>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</si>
  <si>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</si>
  <si>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</si>
  <si>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</si>
  <si>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</si>
  <si>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</si>
  <si>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</si>
  <si>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</si>
  <si>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</si>
  <si>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</si>
  <si>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</si>
  <si>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</si>
  <si>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</si>
  <si>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</si>
  <si>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</si>
  <si>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</si>
  <si>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</si>
  <si>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</si>
  <si>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</si>
  <si>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</si>
  <si>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</si>
  <si>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</si>
  <si>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</si>
  <si>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</si>
  <si>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</si>
  <si>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</si>
  <si>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</si>
  <si>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</si>
  <si>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</si>
  <si>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</si>
  <si>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</si>
  <si>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</si>
  <si>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</si>
  <si>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</si>
  <si>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</si>
  <si>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</si>
  <si>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</si>
  <si>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</si>
  <si>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</si>
  <si>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</si>
  <si>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</si>
  <si>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</si>
  <si>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</si>
  <si>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</si>
  <si>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</si>
  <si>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</si>
  <si>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</si>
  <si>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</si>
  <si>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</si>
  <si>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</si>
  <si>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</si>
  <si>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</si>
  <si>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</si>
  <si>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</si>
  <si>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</si>
  <si>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</si>
  <si>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</si>
  <si>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</si>
  <si>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</si>
  <si>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</si>
  <si>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</si>
  <si>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</si>
  <si>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</si>
  <si>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</si>
  <si>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</si>
  <si>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</si>
  <si>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</si>
  <si>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</si>
  <si>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</si>
  <si>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</si>
  <si>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</si>
  <si>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</si>
  <si>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</si>
  <si>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</si>
  <si>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</si>
  <si>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</si>
  <si>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</si>
  <si>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</si>
  <si>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</si>
  <si>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</si>
  <si>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</si>
  <si>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</si>
  <si>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</si>
  <si>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</si>
  <si>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</si>
  <si>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</si>
  <si>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</si>
  <si>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</si>
  <si>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</si>
  <si>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</si>
  <si>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</si>
  <si>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</si>
  <si>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</si>
  <si>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</si>
  <si>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</si>
  <si>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</si>
  <si>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</si>
  <si>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</si>
  <si>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</si>
  <si>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</si>
  <si>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</si>
  <si>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</si>
  <si>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</si>
  <si>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</si>
  <si>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</si>
  <si>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</si>
  <si>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</si>
  <si>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</si>
  <si>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</si>
  <si>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</si>
  <si>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</si>
  <si>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</si>
  <si>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</si>
  <si>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</si>
  <si>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</si>
  <si>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</si>
  <si>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</si>
  <si>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</si>
  <si>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</si>
  <si>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</si>
  <si>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</si>
  <si>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</si>
  <si>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</si>
  <si>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</si>
  <si>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</si>
  <si>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</si>
  <si>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</si>
  <si>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</si>
  <si>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</si>
  <si>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</si>
  <si>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</si>
  <si>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</si>
  <si>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</si>
  <si>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</si>
  <si>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</si>
  <si>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</si>
  <si>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</si>
  <si>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</si>
  <si>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</si>
  <si>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</si>
  <si>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</si>
  <si>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</si>
  <si>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</si>
  <si>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</si>
  <si>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</si>
  <si>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</si>
  <si>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</si>
  <si>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</si>
  <si>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</si>
  <si>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</si>
  <si>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</si>
  <si>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</si>
  <si>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</si>
  <si>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</si>
  <si>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</si>
  <si>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</si>
  <si>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</si>
  <si>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</si>
  <si>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</si>
  <si>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</si>
  <si>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</si>
  <si>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</si>
  <si>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</si>
  <si>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</si>
  <si>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</si>
  <si>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</si>
  <si>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</si>
  <si>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</si>
  <si>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</si>
  <si>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</si>
  <si>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</si>
  <si>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</si>
  <si>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</si>
  <si>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</si>
  <si>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</si>
  <si>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</si>
  <si>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</si>
  <si>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</si>
  <si>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</si>
  <si>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</si>
  <si>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</si>
  <si>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</si>
  <si>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</si>
  <si>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</si>
  <si>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</si>
  <si>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</si>
  <si>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</si>
  <si>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</si>
  <si>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</si>
  <si>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</si>
  <si>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</si>
  <si>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</si>
  <si>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</si>
  <si>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</si>
  <si>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</si>
  <si>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</si>
  <si>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</si>
  <si>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</si>
  <si>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</si>
  <si>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</si>
  <si>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</si>
  <si>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</si>
  <si>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</si>
  <si>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</si>
  <si>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</si>
  <si>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</si>
  <si>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</si>
  <si>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</si>
  <si>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</si>
  <si>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</si>
  <si>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</si>
  <si>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</si>
  <si>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</si>
  <si>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</si>
  <si>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</si>
  <si>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</si>
  <si>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</si>
  <si>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</si>
  <si>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</si>
  <si>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</si>
  <si>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</si>
  <si>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</si>
  <si>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</si>
  <si>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</si>
  <si>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</si>
  <si>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</si>
  <si>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</si>
  <si>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</si>
  <si>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</si>
  <si>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</si>
  <si>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</si>
  <si>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</si>
  <si>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</si>
  <si>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</si>
  <si>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</si>
  <si>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</si>
  <si>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</si>
  <si>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</si>
  <si>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</si>
  <si>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</si>
  <si>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</si>
  <si>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</si>
  <si>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</si>
  <si>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</si>
  <si>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</si>
  <si>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</si>
  <si>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</si>
  <si>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</si>
  <si>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</si>
  <si>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</si>
  <si>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</si>
  <si>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</si>
  <si>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</si>
  <si>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</si>
  <si>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</si>
  <si>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</si>
  <si>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</si>
  <si>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</si>
  <si>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</si>
  <si>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</si>
  <si>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</si>
  <si>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</si>
  <si>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</si>
  <si>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</si>
  <si>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</si>
  <si>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</si>
  <si>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</si>
  <si>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</si>
  <si>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</si>
  <si>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</si>
  <si>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</si>
  <si>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</si>
  <si>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</si>
  <si>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</si>
  <si>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</si>
  <si>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</si>
  <si>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</si>
  <si>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</si>
  <si>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</si>
  <si>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</si>
  <si>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</si>
  <si>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</si>
  <si>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</si>
  <si>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</si>
  <si>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</si>
  <si>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</si>
  <si>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</si>
  <si>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</si>
  <si>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</si>
  <si>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</si>
  <si>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</si>
  <si>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</si>
  <si>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</si>
  <si>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</si>
  <si>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</si>
  <si>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</si>
  <si>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</si>
  <si>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</si>
  <si>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</si>
  <si>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</si>
  <si>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</si>
  <si>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</si>
  <si>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</si>
  <si>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</si>
  <si>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</si>
  <si>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</si>
  <si>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</si>
  <si>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</si>
  <si>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</si>
  <si>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</si>
  <si>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</si>
  <si>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</si>
  <si>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</si>
  <si>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</si>
  <si>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</si>
  <si>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</si>
  <si>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</si>
  <si>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</si>
  <si>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</si>
  <si>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</si>
  <si>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</si>
  <si>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</si>
  <si>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</si>
  <si>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</si>
  <si>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</si>
  <si>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</si>
  <si>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</si>
  <si>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</si>
  <si>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</si>
  <si>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</si>
  <si>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</si>
  <si>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</si>
  <si>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</si>
  <si>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</si>
  <si>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</si>
  <si>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</si>
  <si>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</si>
  <si>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</si>
  <si>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</si>
  <si>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</si>
  <si>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</si>
  <si>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</si>
  <si>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</si>
  <si>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</si>
  <si>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</si>
  <si>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</si>
  <si>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</si>
  <si>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</si>
  <si>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</si>
  <si>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</si>
  <si>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</si>
  <si>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</si>
  <si>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</si>
  <si>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</si>
  <si>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</si>
  <si>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</si>
  <si>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</si>
  <si>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</si>
  <si>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</si>
  <si>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</si>
  <si>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</si>
  <si>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</si>
  <si>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</si>
  <si>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</si>
  <si>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</si>
  <si>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</si>
  <si>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</si>
  <si>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</si>
  <si>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</si>
  <si>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</si>
  <si>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</si>
  <si>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</si>
  <si>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</si>
  <si>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</si>
  <si>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</si>
  <si>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</si>
  <si>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</si>
  <si>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</si>
  <si>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</si>
  <si>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</si>
  <si>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</si>
  <si>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</si>
  <si>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</si>
  <si>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</si>
  <si>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</si>
  <si>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</si>
  <si>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</si>
  <si>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</si>
  <si>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</si>
  <si>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</si>
  <si>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</si>
  <si>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</si>
  <si>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</si>
  <si>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</si>
  <si>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</si>
  <si>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</si>
  <si>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</si>
  <si>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</si>
  <si>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</si>
  <si>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</si>
  <si>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</si>
  <si>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</si>
  <si>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</si>
  <si>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</si>
  <si>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</si>
  <si>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</si>
  <si>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</si>
  <si>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</si>
  <si>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</si>
  <si>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</si>
  <si>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</si>
  <si>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</si>
  <si>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</si>
  <si>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</si>
  <si>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</si>
  <si>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</si>
  <si>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</si>
  <si>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</si>
  <si>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</si>
  <si>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</si>
  <si>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</si>
  <si>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</si>
  <si>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</si>
  <si>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</si>
  <si>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</si>
  <si>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</si>
  <si>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</si>
  <si>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</si>
  <si>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</si>
  <si>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</si>
  <si>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</si>
  <si>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</si>
  <si>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</si>
  <si>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</si>
  <si>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</si>
  <si>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</si>
  <si>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</si>
  <si>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</si>
  <si>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</si>
  <si>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</si>
  <si>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</si>
  <si>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</si>
  <si>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</si>
  <si>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</si>
  <si>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</si>
  <si>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</si>
  <si>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</si>
  <si>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</si>
  <si>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</si>
  <si>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</si>
  <si>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</si>
  <si>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</si>
  <si>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</si>
  <si>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</si>
  <si>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</si>
  <si>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</si>
  <si>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</si>
  <si>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</si>
  <si>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</si>
  <si>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</si>
  <si>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</si>
  <si>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</si>
  <si>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</si>
  <si>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</si>
  <si>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</si>
  <si>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</si>
  <si>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</si>
  <si>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</si>
  <si>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</si>
  <si>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</si>
  <si>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</si>
  <si>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</si>
  <si>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</si>
  <si>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</si>
  <si>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</si>
  <si>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</si>
  <si>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</si>
  <si>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</si>
  <si>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</si>
  <si>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</si>
  <si>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</si>
  <si>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</si>
  <si>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</si>
  <si>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</si>
  <si>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</si>
  <si>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</si>
  <si>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</si>
  <si>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</si>
  <si>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</si>
  <si>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</si>
  <si>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</si>
  <si>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</si>
  <si>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</si>
  <si>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</si>
  <si>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</si>
  <si>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</si>
  <si>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</si>
  <si>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</si>
  <si>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</si>
  <si>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</si>
  <si>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</si>
  <si>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</si>
  <si>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</si>
  <si>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</si>
  <si>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</si>
  <si>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</si>
  <si>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</si>
  <si>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</si>
  <si>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</si>
  <si>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</si>
  <si>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</si>
  <si>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</si>
  <si>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</si>
  <si>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</si>
  <si>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</si>
  <si>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</si>
  <si>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</si>
  <si>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</si>
  <si>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</si>
  <si>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</si>
  <si>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</si>
  <si>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</si>
  <si>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</si>
  <si>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</si>
  <si>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</si>
  <si>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</si>
  <si>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</si>
  <si>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</si>
  <si>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</si>
  <si>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</si>
  <si>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</si>
  <si>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</si>
  <si>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</si>
  <si>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</si>
  <si>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</si>
  <si>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</si>
  <si>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</si>
  <si>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</si>
  <si>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</si>
  <si>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</si>
  <si>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</si>
  <si>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</si>
  <si>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</si>
  <si>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</si>
  <si>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</si>
  <si>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</si>
  <si>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</si>
  <si>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</si>
  <si>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</si>
  <si>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</si>
  <si>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</si>
  <si>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</si>
  <si>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</si>
  <si>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</si>
  <si>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</si>
  <si>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</si>
  <si>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</si>
  <si>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</si>
  <si>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</si>
  <si>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</si>
  <si>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</si>
  <si>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</si>
  <si>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</si>
  <si>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</si>
  <si>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</si>
  <si>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</si>
  <si>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</si>
  <si>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</si>
  <si>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</si>
  <si>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</si>
  <si>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</si>
  <si>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</si>
  <si>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</si>
  <si>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</si>
  <si>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</si>
  <si>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</si>
  <si>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</si>
  <si>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</si>
  <si>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</si>
  <si>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</si>
  <si>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</si>
  <si>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</si>
  <si>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</si>
  <si>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</si>
  <si>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</si>
  <si>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</si>
  <si>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</si>
  <si>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</si>
  <si>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</si>
  <si>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</si>
  <si>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</si>
  <si>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</si>
  <si>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</si>
  <si>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</si>
  <si>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</si>
  <si>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</si>
  <si>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</si>
  <si>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</si>
  <si>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</si>
  <si>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</si>
  <si>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</si>
  <si>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</si>
  <si>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</si>
  <si>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</si>
  <si>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</si>
  <si>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</si>
  <si>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</si>
  <si>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</si>
  <si>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</si>
  <si>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</si>
  <si>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</si>
  <si>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</si>
  <si>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</si>
  <si>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</si>
  <si>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</si>
  <si>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</si>
  <si>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</si>
  <si>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</si>
  <si>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</si>
  <si>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</si>
  <si>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</si>
  <si>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</si>
  <si>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</si>
  <si>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</si>
  <si>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</si>
  <si>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</si>
  <si>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</si>
  <si>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</si>
  <si>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</si>
  <si>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</si>
  <si>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</si>
  <si>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</si>
  <si>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</si>
  <si>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</si>
  <si>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</si>
  <si>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</si>
  <si>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</si>
  <si>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</si>
  <si>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</si>
  <si>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</si>
  <si>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</si>
  <si>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</si>
  <si>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</si>
  <si>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</si>
  <si>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</si>
  <si>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</si>
  <si>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</si>
  <si>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</si>
  <si>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</si>
  <si>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</si>
  <si>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</si>
  <si>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</si>
  <si>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</si>
  <si>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</si>
  <si>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</si>
  <si>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</si>
  <si>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</si>
  <si>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</si>
  <si>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</si>
  <si>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</si>
  <si>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</si>
  <si>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</si>
  <si>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</si>
  <si>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</si>
  <si>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</si>
  <si>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</si>
  <si>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</si>
  <si>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</si>
  <si>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</si>
  <si>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</si>
  <si>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</si>
  <si>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</si>
  <si>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</si>
  <si>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</si>
  <si>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</si>
  <si>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</si>
  <si>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</si>
  <si>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</si>
  <si>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</si>
  <si>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</si>
  <si>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</si>
  <si>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</si>
  <si>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</si>
  <si>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</si>
  <si>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</si>
  <si>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</si>
  <si>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</si>
  <si>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</si>
  <si>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</si>
  <si>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</si>
  <si>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</si>
  <si>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</si>
  <si>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</si>
  <si>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</si>
  <si>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</si>
  <si>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</si>
  <si>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</si>
  <si>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</si>
  <si>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</si>
  <si>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</si>
  <si>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</si>
  <si>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</si>
  <si>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</si>
  <si>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</si>
  <si>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</si>
  <si>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</si>
  <si>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</si>
  <si>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</si>
  <si>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</si>
  <si>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</si>
  <si>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</si>
  <si>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</si>
  <si>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</si>
  <si>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</si>
  <si>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</si>
  <si>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</si>
  <si>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</si>
  <si>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</si>
  <si>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</si>
  <si>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</si>
  <si>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</si>
  <si>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</si>
  <si>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</si>
  <si>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</si>
  <si>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</si>
  <si>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</si>
  <si>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</si>
  <si>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</si>
  <si>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</si>
  <si>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</si>
  <si>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</si>
  <si>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</si>
  <si>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</si>
  <si>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</si>
  <si>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</si>
  <si>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</si>
  <si>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</si>
  <si>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</si>
  <si>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</si>
  <si>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</si>
  <si>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</si>
  <si>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</si>
  <si>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</si>
  <si>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</si>
  <si>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</si>
  <si>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</si>
  <si>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</si>
  <si>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</si>
  <si>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</si>
  <si>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</si>
  <si>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</si>
  <si>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</si>
  <si>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</si>
  <si>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</si>
  <si>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</si>
  <si>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</si>
  <si>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</si>
  <si>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</si>
  <si>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</si>
  <si>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</si>
  <si>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</si>
  <si>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</si>
  <si>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</si>
  <si>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</si>
  <si>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</si>
  <si>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</si>
  <si>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</si>
  <si>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</si>
  <si>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</si>
  <si>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</si>
  <si>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</si>
  <si>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</si>
  <si>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</si>
  <si>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</si>
  <si>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</si>
  <si>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</si>
  <si>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</si>
  <si>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</si>
  <si>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</si>
  <si>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</si>
  <si>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</si>
  <si>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</si>
  <si>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</si>
  <si>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</si>
  <si>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</si>
  <si>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</si>
  <si>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</si>
  <si>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</si>
  <si>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</si>
  <si>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</si>
  <si>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</si>
  <si>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</si>
  <si>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</si>
  <si>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</si>
  <si>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</si>
  <si>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</si>
  <si>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</si>
  <si>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</si>
  <si>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</si>
  <si>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</si>
  <si>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</si>
  <si>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</si>
  <si>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</si>
  <si>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</si>
  <si>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</si>
  <si>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</si>
  <si>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</si>
  <si>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</si>
  <si>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</si>
  <si>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</si>
  <si>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</si>
  <si>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</si>
  <si>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</si>
  <si>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</si>
  <si>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</si>
  <si>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</si>
  <si>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</si>
  <si>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</si>
  <si>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</si>
  <si>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</si>
  <si>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</si>
  <si>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</si>
  <si>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</si>
  <si>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</si>
  <si>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</si>
  <si>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</si>
  <si>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</si>
  <si>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</si>
  <si>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</si>
  <si>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</si>
  <si>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</si>
  <si>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</si>
  <si>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</si>
  <si>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</si>
  <si>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</si>
  <si>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</si>
  <si>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</si>
  <si>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</si>
  <si>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</si>
  <si>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</si>
  <si>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</si>
  <si>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</si>
  <si>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</si>
  <si>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</si>
  <si>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</si>
  <si>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</si>
  <si>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</si>
  <si>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</si>
  <si>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</si>
  <si>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</si>
  <si>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</si>
  <si>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</si>
  <si>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</si>
  <si>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</si>
  <si>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</si>
  <si>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</si>
  <si>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</si>
  <si>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</si>
  <si>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</si>
  <si>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</si>
  <si>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</si>
  <si>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</si>
  <si>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</si>
  <si>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</si>
  <si>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JOHNSON</t>
  </si>
  <si>
    <t>201 S FERNE CLYFFE RD</t>
  </si>
  <si>
    <t>GOREVILLE</t>
  </si>
  <si>
    <t>DR STEVEN D WEBB</t>
  </si>
  <si>
    <t>swebb@gorevilleschools.com</t>
  </si>
  <si>
    <t>618-995-9831</t>
  </si>
  <si>
    <t>618-995-9832</t>
  </si>
  <si>
    <t>2003 REFUNDING BONDS</t>
  </si>
  <si>
    <t>2008 FUNDING BONDS</t>
  </si>
  <si>
    <t>2011 REFUNDING BONDS</t>
  </si>
  <si>
    <t>LEASE PURCHASE</t>
  </si>
  <si>
    <t>2014A REFUNDING BONDS</t>
  </si>
  <si>
    <t>2014B REFUNDING BONDS</t>
  </si>
  <si>
    <t>2017 LEASE CERTIFICATE</t>
  </si>
  <si>
    <t>LEASE CERTIFICATE</t>
  </si>
  <si>
    <t>2017 FUNDING BONDS</t>
  </si>
  <si>
    <t>JAMP SPECIAL EDUCATION COOP</t>
  </si>
  <si>
    <t>FIVE COUNTY REGIONAL VOCATION COOP</t>
  </si>
  <si>
    <t>066-005023</t>
  </si>
  <si>
    <t>2018 REFUNDING BONDS</t>
  </si>
  <si>
    <t>LIFE SKILLS-VIENNA HIGH SCHOOL/LANGUAGE-NEW SIMPSON HILL SCHOOL</t>
  </si>
  <si>
    <t>None</t>
  </si>
  <si>
    <t>00-0000-000</t>
  </si>
  <si>
    <t>Fund 10, Account 4999: REAP $32,441</t>
  </si>
  <si>
    <t>Fund 10, Account 3999: AG Supplement $1,019, IL Library Grant $1,500</t>
  </si>
  <si>
    <t>Goreville CUD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</si>
</sst>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4" t="s">
        <v>424</v>
      </c>
      <c r="J1" s="2035"/>
      <c r="K1" s="2035"/>
      <c r="L1" s="2035"/>
      <c r="M1" s="2035"/>
      <c r="N1" s="2035"/>
      <c r="O1" s="2035"/>
      <c r="P1" s="2035"/>
      <c r="Q1" s="2035"/>
      <c r="R1" s="2035"/>
      <c r="S1" s="2035"/>
    </row>
    <row r="2" spans="1:28" ht="12" customHeight="1" x14ac:dyDescent="0.2">
      <c r="A2" s="47" t="s">
        <v>1683</v>
      </c>
      <c r="D2" s="48"/>
      <c r="I2" s="2036" t="s">
        <v>1035</v>
      </c>
      <c r="J2" s="2035"/>
      <c r="K2" s="2035"/>
      <c r="L2" s="2035"/>
      <c r="M2" s="2035"/>
      <c r="N2" s="2035"/>
      <c r="O2" s="2035"/>
      <c r="P2" s="2035"/>
      <c r="Q2" s="2035"/>
      <c r="R2" s="2035"/>
      <c r="S2" s="2035"/>
    </row>
    <row r="3" spans="1:28" ht="12" customHeight="1" x14ac:dyDescent="0.2">
      <c r="A3" s="155" t="s">
        <v>1684</v>
      </c>
      <c r="B3" s="156"/>
      <c r="C3" s="156"/>
      <c r="D3" s="157"/>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4" t="s">
        <v>2076</v>
      </c>
      <c r="C5" s="26" t="s">
        <v>965</v>
      </c>
      <c r="D5" s="84"/>
      <c r="E5" s="84"/>
      <c r="H5" s="38"/>
      <c r="I5" s="2043" t="s">
        <v>700</v>
      </c>
      <c r="J5" s="1988"/>
      <c r="K5" s="1988"/>
      <c r="L5" s="1988"/>
      <c r="M5" s="1988"/>
      <c r="N5" s="1988"/>
      <c r="O5" s="1988"/>
      <c r="P5" s="1988"/>
      <c r="Q5" s="1988"/>
      <c r="R5" s="1988"/>
      <c r="S5" s="1988"/>
    </row>
    <row r="6" spans="1:28" ht="14.1" customHeight="1" x14ac:dyDescent="0.2">
      <c r="B6" s="104"/>
      <c r="C6" s="26" t="s">
        <v>966</v>
      </c>
      <c r="D6" s="84"/>
      <c r="E6" s="84"/>
      <c r="I6" s="2042" t="s">
        <v>937</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694</v>
      </c>
      <c r="J9" s="2040"/>
      <c r="K9" s="2040"/>
      <c r="L9" s="2040"/>
      <c r="M9" s="2040"/>
      <c r="N9" s="2040"/>
      <c r="O9" s="2040"/>
      <c r="P9" s="2040"/>
      <c r="Q9" s="2040"/>
      <c r="R9" s="2040"/>
      <c r="S9" s="2041"/>
      <c r="T9" s="1984" t="s">
        <v>553</v>
      </c>
      <c r="U9" s="1985"/>
      <c r="V9" s="1985"/>
      <c r="W9" s="1985"/>
      <c r="X9" s="1985"/>
      <c r="Y9" s="1985"/>
      <c r="Z9" s="1985"/>
      <c r="AA9" s="1986"/>
    </row>
    <row r="10" spans="1:28" ht="13.5" customHeight="1" x14ac:dyDescent="0.2">
      <c r="A10" s="1993" t="s">
        <v>695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1011</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4">
        <v>21044001026</v>
      </c>
      <c r="B13" s="2005"/>
      <c r="C13" s="2005"/>
      <c r="D13" s="2005"/>
      <c r="E13" s="2005"/>
      <c r="F13" s="2005"/>
      <c r="G13" s="2005"/>
      <c r="H13" s="2006"/>
      <c r="I13" s="31"/>
      <c r="J13" s="30"/>
      <c r="K13" s="28"/>
      <c r="L13" s="30"/>
      <c r="M13" s="30"/>
      <c r="N13" s="30"/>
      <c r="O13" s="30"/>
      <c r="P13" s="30"/>
      <c r="Q13" s="30"/>
      <c r="R13" s="30"/>
      <c r="S13" s="30"/>
      <c r="T13" s="2009" t="s">
        <v>2077</v>
      </c>
      <c r="U13" s="2010"/>
      <c r="V13" s="2010"/>
      <c r="W13" s="2010"/>
      <c r="X13" s="2010"/>
      <c r="Y13" s="2011"/>
      <c r="Z13" s="2011"/>
      <c r="AA13" s="201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2" t="s">
        <v>2085</v>
      </c>
      <c r="B15" s="2007"/>
      <c r="C15" s="2007"/>
      <c r="D15" s="2007"/>
      <c r="E15" s="2007"/>
      <c r="F15" s="2007"/>
      <c r="G15" s="2007"/>
      <c r="H15" s="2008"/>
      <c r="T15" s="1970" t="s">
        <v>2078</v>
      </c>
      <c r="U15" s="1971"/>
      <c r="V15" s="1971"/>
      <c r="W15" s="1971"/>
      <c r="X15" s="1971"/>
      <c r="Y15" s="2013"/>
      <c r="Z15" s="2013"/>
      <c r="AA15" s="201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2" t="s">
        <v>2110</v>
      </c>
      <c r="B17" s="2032"/>
      <c r="C17" s="2032"/>
      <c r="D17" s="2032"/>
      <c r="E17" s="2032"/>
      <c r="F17" s="2032"/>
      <c r="G17" s="2032"/>
      <c r="H17" s="2033"/>
      <c r="T17" s="2019" t="s">
        <v>2079</v>
      </c>
      <c r="U17" s="2020"/>
      <c r="V17" s="2020"/>
      <c r="W17" s="2020"/>
      <c r="X17" s="2020"/>
      <c r="Y17" s="2020"/>
      <c r="Z17" s="2020"/>
      <c r="AA17" s="2021"/>
    </row>
    <row r="18" spans="1:27" ht="13.5" customHeight="1" x14ac:dyDescent="0.2">
      <c r="A18" s="85" t="s">
        <v>550</v>
      </c>
      <c r="B18" s="76"/>
      <c r="C18" s="72"/>
      <c r="D18" s="76"/>
      <c r="E18" s="76"/>
      <c r="F18" s="76"/>
      <c r="G18" s="76"/>
      <c r="H18" s="56"/>
      <c r="I18" s="2029" t="s">
        <v>696</v>
      </c>
      <c r="J18" s="2030"/>
      <c r="K18" s="2030"/>
      <c r="L18" s="2030"/>
      <c r="M18" s="2030"/>
      <c r="N18" s="2030"/>
      <c r="O18" s="2030"/>
      <c r="P18" s="2030"/>
      <c r="Q18" s="2030"/>
      <c r="R18" s="2030"/>
      <c r="S18" s="2031"/>
      <c r="T18" s="85" t="s">
        <v>734</v>
      </c>
      <c r="U18" s="51"/>
      <c r="V18" s="72"/>
      <c r="W18" s="50"/>
      <c r="X18" s="85" t="s">
        <v>283</v>
      </c>
      <c r="Y18" s="81"/>
      <c r="Z18" s="159" t="s">
        <v>697</v>
      </c>
      <c r="AA18" s="46"/>
    </row>
    <row r="19" spans="1:27" ht="13.5" customHeight="1" x14ac:dyDescent="0.2">
      <c r="A19" s="2002" t="s">
        <v>2086</v>
      </c>
      <c r="B19" s="2003"/>
      <c r="C19" s="2003"/>
      <c r="D19" s="2003"/>
      <c r="E19" s="2003"/>
      <c r="F19" s="2003"/>
      <c r="G19" s="2003"/>
      <c r="H19" s="2001"/>
      <c r="I19" s="30"/>
      <c r="J19" s="99"/>
      <c r="K19" s="40"/>
      <c r="L19" s="38"/>
      <c r="M19" s="112" t="s">
        <v>332</v>
      </c>
      <c r="P19" s="27"/>
      <c r="Q19" s="27"/>
      <c r="R19" s="27"/>
      <c r="S19" s="31"/>
      <c r="T19" s="2002" t="s">
        <v>2080</v>
      </c>
      <c r="U19" s="2000"/>
      <c r="V19" s="2000"/>
      <c r="W19" s="2001"/>
      <c r="X19" s="2017" t="s">
        <v>2081</v>
      </c>
      <c r="Y19" s="2018"/>
      <c r="Z19" s="2015">
        <v>62906</v>
      </c>
      <c r="AA19" s="201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9" t="s">
        <v>2087</v>
      </c>
      <c r="B21" s="2000"/>
      <c r="C21" s="2000"/>
      <c r="D21" s="2000"/>
      <c r="E21" s="2000"/>
      <c r="F21" s="2000"/>
      <c r="G21" s="2000"/>
      <c r="H21" s="2001"/>
      <c r="I21" s="2025" t="s">
        <v>698</v>
      </c>
      <c r="J21" s="1988"/>
      <c r="K21" s="1988"/>
      <c r="L21" s="1988"/>
      <c r="M21" s="1988"/>
      <c r="N21" s="1988"/>
      <c r="O21" s="1988"/>
      <c r="P21" s="1988"/>
      <c r="Q21" s="1988"/>
      <c r="R21" s="1988"/>
      <c r="S21" s="1989"/>
      <c r="T21" s="1967" t="s">
        <v>2082</v>
      </c>
      <c r="U21" s="1968"/>
      <c r="V21" s="1968"/>
      <c r="W21" s="1968"/>
      <c r="X21" s="1981" t="s">
        <v>2083</v>
      </c>
      <c r="Y21" s="1982"/>
      <c r="Z21" s="1982"/>
      <c r="AA21" s="1983"/>
    </row>
    <row r="22" spans="1:27" ht="13.5" customHeight="1" x14ac:dyDescent="0.2">
      <c r="A22" s="87" t="s">
        <v>551</v>
      </c>
      <c r="B22" s="59"/>
      <c r="C22" s="59"/>
      <c r="D22" s="59"/>
      <c r="E22" s="59"/>
      <c r="F22" s="59"/>
      <c r="G22" s="59"/>
      <c r="H22" s="60"/>
      <c r="I22" s="2026" t="s">
        <v>1503</v>
      </c>
      <c r="J22" s="2027"/>
      <c r="K22" s="2027"/>
      <c r="L22" s="2027"/>
      <c r="M22" s="2027"/>
      <c r="N22" s="2027"/>
      <c r="O22" s="2027"/>
      <c r="P22" s="2027"/>
      <c r="Q22" s="2027"/>
      <c r="R22" s="2027"/>
      <c r="S22" s="2028"/>
      <c r="T22" s="85" t="s">
        <v>1595</v>
      </c>
      <c r="U22" s="51"/>
      <c r="V22" s="72"/>
      <c r="W22" s="51"/>
      <c r="X22" s="160" t="s">
        <v>1384</v>
      </c>
      <c r="Z22" s="45"/>
      <c r="AA22" s="46"/>
    </row>
    <row r="23" spans="1:27" ht="13.5" customHeight="1" x14ac:dyDescent="0.2">
      <c r="A23" s="2022"/>
      <c r="B23" s="2023"/>
      <c r="C23" s="2023"/>
      <c r="D23" s="2023"/>
      <c r="E23" s="2023"/>
      <c r="F23" s="2023"/>
      <c r="G23" s="2023"/>
      <c r="H23" s="2024"/>
      <c r="T23" s="1962" t="s">
        <v>2103</v>
      </c>
      <c r="U23" s="1963"/>
      <c r="V23" s="1963"/>
      <c r="W23" s="1963"/>
      <c r="X23" s="1978">
        <v>43434</v>
      </c>
      <c r="Y23" s="1979"/>
      <c r="Z23" s="1979"/>
      <c r="AA23" s="1980"/>
    </row>
    <row r="24" spans="1:27" ht="14.1" customHeight="1" x14ac:dyDescent="0.2">
      <c r="A24" s="88" t="s">
        <v>697</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551</v>
      </c>
      <c r="U24" s="106"/>
      <c r="V24" s="106"/>
      <c r="W24" s="106"/>
      <c r="X24" s="107"/>
      <c r="Y24" s="107"/>
      <c r="Z24" s="107"/>
      <c r="AA24" s="108"/>
    </row>
    <row r="25" spans="1:27" ht="14.1" customHeight="1" x14ac:dyDescent="0.2">
      <c r="A25" s="1999">
        <v>62939</v>
      </c>
      <c r="B25" s="2000"/>
      <c r="C25" s="2000"/>
      <c r="D25" s="2000"/>
      <c r="E25" s="2000"/>
      <c r="F25" s="2000"/>
      <c r="G25" s="2000"/>
      <c r="H25" s="2001"/>
      <c r="I25" s="113"/>
      <c r="J25" s="2066"/>
      <c r="K25" s="2066"/>
      <c r="L25" s="2066"/>
      <c r="M25" s="2066"/>
      <c r="N25" s="2066"/>
      <c r="O25" s="2066"/>
      <c r="P25" s="2066"/>
      <c r="Q25" s="2066"/>
      <c r="R25" s="2066"/>
      <c r="S25" s="2067"/>
      <c r="T25" s="1959" t="s">
        <v>2084</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7" t="s">
        <v>1590</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2" t="s">
        <v>2088</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551</v>
      </c>
      <c r="B39" s="2056"/>
      <c r="C39" s="72"/>
      <c r="D39" s="69"/>
      <c r="E39" s="69"/>
      <c r="F39" s="79"/>
      <c r="G39" s="69"/>
      <c r="H39" s="56"/>
      <c r="I39" s="2055" t="s">
        <v>551</v>
      </c>
      <c r="J39" s="2056"/>
      <c r="K39" s="2056"/>
      <c r="L39" s="2056"/>
      <c r="M39" s="2056"/>
      <c r="N39" s="67"/>
      <c r="O39" s="72"/>
      <c r="P39" s="72"/>
      <c r="Q39" s="78"/>
      <c r="R39" s="72"/>
      <c r="S39" s="56"/>
      <c r="T39" s="72" t="s">
        <v>551</v>
      </c>
      <c r="U39" s="51"/>
      <c r="V39" s="72"/>
      <c r="W39" s="50"/>
      <c r="X39" s="78"/>
      <c r="Y39" s="45"/>
      <c r="Z39" s="45"/>
      <c r="AA39" s="46"/>
    </row>
    <row r="40" spans="1:27" ht="13.5" customHeight="1" x14ac:dyDescent="0.2">
      <c r="A40" s="2058" t="s">
        <v>2089</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8" t="s">
        <v>2090</v>
      </c>
      <c r="B42" s="2049"/>
      <c r="C42" s="2050"/>
      <c r="D42" s="2063" t="s">
        <v>2091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2034</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1216</v>
      </c>
      <c r="B4" s="1771">
        <f>'Revenues 9-14'!C5</f>
        <v>1165371</v>
      </c>
      <c r="C4" s="1546">
        <v>0</v>
      </c>
      <c r="D4" s="1774">
        <f>B4-C4</f>
        <v>1165371</v>
      </c>
      <c r="E4" s="1546">
        <v>1189296</v>
      </c>
      <c r="F4" s="1774">
        <f>E4-C4</f>
        <v>1189296</v>
      </c>
    </row>
    <row r="5" spans="1:6" ht="13.7" customHeight="1" x14ac:dyDescent="0.2">
      <c r="A5" s="716" t="s">
        <v>924</v>
      </c>
      <c r="B5" s="1772">
        <f>'Revenues 9-14'!D5</f>
        <v>291343</v>
      </c>
      <c r="C5" s="585">
        <v>0</v>
      </c>
      <c r="D5" s="1775">
        <f t="shared" ref="D5:D18" si="0">B5-C5</f>
        <v>291343</v>
      </c>
      <c r="E5" s="585">
        <v>297324</v>
      </c>
      <c r="F5" s="1775">
        <f>E5-C5</f>
        <v>297324</v>
      </c>
    </row>
    <row r="6" spans="1:6" ht="13.7" customHeight="1" x14ac:dyDescent="0.2">
      <c r="A6" s="716" t="s">
        <v>430</v>
      </c>
      <c r="B6" s="1772">
        <f>'Revenues 9-14'!E5</f>
        <v>467271</v>
      </c>
      <c r="C6" s="585">
        <v>0</v>
      </c>
      <c r="D6" s="1775">
        <f t="shared" si="0"/>
        <v>467271</v>
      </c>
      <c r="E6" s="585">
        <v>466483</v>
      </c>
      <c r="F6" s="1775">
        <f t="shared" ref="F6:F18" si="1">E6-C6</f>
        <v>466483</v>
      </c>
    </row>
    <row r="7" spans="1:6" ht="13.7" customHeight="1" x14ac:dyDescent="0.2">
      <c r="A7" s="716" t="s">
        <v>157</v>
      </c>
      <c r="B7" s="1772">
        <f>'Revenues 9-14'!F5</f>
        <v>116537</v>
      </c>
      <c r="C7" s="585">
        <v>0</v>
      </c>
      <c r="D7" s="1775">
        <f t="shared" si="0"/>
        <v>116537</v>
      </c>
      <c r="E7" s="585">
        <v>118930</v>
      </c>
      <c r="F7" s="1775">
        <f t="shared" si="1"/>
        <v>118930</v>
      </c>
    </row>
    <row r="8" spans="1:6" ht="13.7" customHeight="1" x14ac:dyDescent="0.2">
      <c r="A8" s="716" t="s">
        <v>1240</v>
      </c>
      <c r="B8" s="1772">
        <f>'Revenues 9-14'!G5</f>
        <v>72862</v>
      </c>
      <c r="C8" s="585">
        <v>0</v>
      </c>
      <c r="D8" s="1775">
        <f t="shared" si="0"/>
        <v>72862</v>
      </c>
      <c r="E8" s="585">
        <v>75078</v>
      </c>
      <c r="F8" s="1775">
        <f t="shared" si="1"/>
        <v>75078</v>
      </c>
    </row>
    <row r="9" spans="1:6" ht="13.7" customHeight="1" x14ac:dyDescent="0.2">
      <c r="A9" s="716" t="s">
        <v>427</v>
      </c>
      <c r="B9" s="1772">
        <f>'Revenues 9-14'!H5</f>
        <v>0</v>
      </c>
      <c r="C9" s="585">
        <v>0</v>
      </c>
      <c r="D9" s="1775">
        <f t="shared" si="0"/>
        <v>0</v>
      </c>
      <c r="E9" s="585">
        <v>0</v>
      </c>
      <c r="F9" s="1775">
        <f t="shared" si="1"/>
        <v>0</v>
      </c>
    </row>
    <row r="10" spans="1:6" ht="13.7" customHeight="1" x14ac:dyDescent="0.2">
      <c r="A10" s="716" t="s">
        <v>426</v>
      </c>
      <c r="B10" s="1772">
        <f>'Revenues 9-14'!I5</f>
        <v>29134</v>
      </c>
      <c r="C10" s="585">
        <v>0</v>
      </c>
      <c r="D10" s="1775">
        <f t="shared" si="0"/>
        <v>29134</v>
      </c>
      <c r="E10" s="585">
        <v>29732</v>
      </c>
      <c r="F10" s="1775">
        <f t="shared" si="1"/>
        <v>29732</v>
      </c>
    </row>
    <row r="11" spans="1:6" x14ac:dyDescent="0.2">
      <c r="A11" s="716" t="s">
        <v>428</v>
      </c>
      <c r="B11" s="1772">
        <f>'Revenues 9-14'!J5</f>
        <v>406019</v>
      </c>
      <c r="C11" s="585">
        <v>0</v>
      </c>
      <c r="D11" s="1775">
        <f t="shared" si="0"/>
        <v>406019</v>
      </c>
      <c r="E11" s="585">
        <v>460483</v>
      </c>
      <c r="F11" s="1775">
        <f t="shared" si="1"/>
        <v>460483</v>
      </c>
    </row>
    <row r="12" spans="1:6" ht="13.7" customHeight="1" x14ac:dyDescent="0.2">
      <c r="A12" s="716" t="s">
        <v>159</v>
      </c>
      <c r="B12" s="1772">
        <f>'Revenues 9-14'!K5</f>
        <v>29134</v>
      </c>
      <c r="C12" s="585">
        <v>0</v>
      </c>
      <c r="D12" s="1775">
        <f t="shared" si="0"/>
        <v>29134</v>
      </c>
      <c r="E12" s="585">
        <v>29732</v>
      </c>
      <c r="F12" s="1775">
        <f t="shared" si="1"/>
        <v>29732</v>
      </c>
    </row>
    <row r="13" spans="1:6" ht="13.7" customHeight="1" x14ac:dyDescent="0.2">
      <c r="A13" s="716" t="s">
        <v>992</v>
      </c>
      <c r="B13" s="1772">
        <f>SUM('Revenues 9-14'!C6:D6)</f>
        <v>29134</v>
      </c>
      <c r="C13" s="585">
        <v>0</v>
      </c>
      <c r="D13" s="1775">
        <f t="shared" si="0"/>
        <v>29134</v>
      </c>
      <c r="E13" s="585">
        <v>29732</v>
      </c>
      <c r="F13" s="1775">
        <f t="shared" si="1"/>
        <v>29732</v>
      </c>
    </row>
    <row r="14" spans="1:6" ht="13.7" customHeight="1" x14ac:dyDescent="0.2">
      <c r="A14" s="716" t="s">
        <v>429</v>
      </c>
      <c r="B14" s="1772">
        <f>SUM('Revenues 9-14'!C7:D7,'Revenues 9-14'!F7:H7)</f>
        <v>23307</v>
      </c>
      <c r="C14" s="585">
        <v>0</v>
      </c>
      <c r="D14" s="1775">
        <f t="shared" si="0"/>
        <v>23307</v>
      </c>
      <c r="E14" s="585">
        <v>23786</v>
      </c>
      <c r="F14" s="1775">
        <f t="shared" si="1"/>
        <v>23786</v>
      </c>
    </row>
    <row r="15" spans="1:6" ht="13.7" customHeight="1" x14ac:dyDescent="0.2">
      <c r="A15" s="716" t="s">
        <v>1219</v>
      </c>
      <c r="B15" s="1772">
        <f>'Revenues 9-14'!E9</f>
        <v>0</v>
      </c>
      <c r="C15" s="585">
        <v>0</v>
      </c>
      <c r="D15" s="1775">
        <f t="shared" si="0"/>
        <v>0</v>
      </c>
      <c r="E15" s="585">
        <v>0</v>
      </c>
      <c r="F15" s="1775">
        <f t="shared" si="1"/>
        <v>0</v>
      </c>
    </row>
    <row r="16" spans="1:6" ht="13.7" customHeight="1" x14ac:dyDescent="0.2">
      <c r="A16" s="716" t="s">
        <v>1220</v>
      </c>
      <c r="B16" s="1772">
        <f>'Revenues 9-14'!G8</f>
        <v>79849</v>
      </c>
      <c r="C16" s="585">
        <v>0</v>
      </c>
      <c r="D16" s="1775">
        <f t="shared" si="0"/>
        <v>79849</v>
      </c>
      <c r="E16" s="585">
        <v>80086</v>
      </c>
      <c r="F16" s="1775">
        <f t="shared" si="1"/>
        <v>80086</v>
      </c>
    </row>
    <row r="17" spans="1:6" ht="13.7" customHeight="1" x14ac:dyDescent="0.2">
      <c r="A17" s="716" t="s">
        <v>1221</v>
      </c>
      <c r="B17" s="1772">
        <f>'Revenues 9-14'!C10</f>
        <v>0</v>
      </c>
      <c r="C17" s="585">
        <v>0</v>
      </c>
      <c r="D17" s="1775">
        <f t="shared" si="0"/>
        <v>0</v>
      </c>
      <c r="E17" s="585">
        <v>0</v>
      </c>
      <c r="F17" s="1775">
        <f t="shared" si="1"/>
        <v>0</v>
      </c>
    </row>
    <row r="18" spans="1:6" ht="13.7" customHeight="1" x14ac:dyDescent="0.2">
      <c r="A18" s="716" t="s">
        <v>785</v>
      </c>
      <c r="B18" s="1772">
        <f>SUM('Revenues 9-14'!C11:K11)</f>
        <v>0</v>
      </c>
      <c r="C18" s="585">
        <v>0</v>
      </c>
      <c r="D18" s="1775">
        <f t="shared" si="0"/>
        <v>0</v>
      </c>
      <c r="E18" s="585">
        <v>0</v>
      </c>
      <c r="F18" s="1775">
        <f t="shared" si="1"/>
        <v>0</v>
      </c>
    </row>
    <row r="19" spans="1:6" ht="13.7" customHeight="1" thickBot="1" x14ac:dyDescent="0.25">
      <c r="A19" s="1776" t="s">
        <v>1222</v>
      </c>
      <c r="B19" s="1773">
        <f>SUM(B4:B18)</f>
        <v>2709961</v>
      </c>
      <c r="C19" s="1773">
        <f>SUM(C4:C18)</f>
        <v>0</v>
      </c>
      <c r="D19" s="1773">
        <f>SUM(D4:D18)</f>
        <v>2709961</v>
      </c>
      <c r="E19" s="1773">
        <f>SUM(E4:E18)</f>
        <v>2800662</v>
      </c>
      <c r="F19" s="1773">
        <f>SUM(F4:F18)</f>
        <v>2800662</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649</v>
      </c>
      <c r="B1" s="2208"/>
      <c r="C1" s="722"/>
    </row>
    <row r="2" spans="1:7" ht="33.75" x14ac:dyDescent="0.2">
      <c r="A2" s="2216" t="s">
        <v>1904</v>
      </c>
      <c r="B2" s="2217"/>
      <c r="C2" s="1909" t="s">
        <v>2035</v>
      </c>
      <c r="D2" s="724" t="s">
        <v>2042</v>
      </c>
      <c r="E2" s="724" t="s">
        <v>2043</v>
      </c>
      <c r="F2" s="1909" t="s">
        <v>2036</v>
      </c>
    </row>
    <row r="3" spans="1:7" ht="15.75" customHeight="1" x14ac:dyDescent="0.2">
      <c r="A3" s="2220" t="s">
        <v>1175</v>
      </c>
      <c r="B3" s="2221"/>
      <c r="C3" s="2209"/>
      <c r="D3" s="2210"/>
      <c r="E3" s="2210"/>
      <c r="F3" s="2211"/>
    </row>
    <row r="4" spans="1:7" ht="12.75" customHeight="1" thickBot="1" x14ac:dyDescent="0.25">
      <c r="A4" s="2218" t="s">
        <v>650</v>
      </c>
      <c r="B4" s="2219"/>
      <c r="C4" s="581">
        <v>0</v>
      </c>
      <c r="D4" s="581">
        <v>0</v>
      </c>
      <c r="E4" s="581">
        <v>0</v>
      </c>
      <c r="F4" s="1777">
        <f>SUM(C4+D4)-E4</f>
        <v>0</v>
      </c>
    </row>
    <row r="5" spans="1:7" ht="15.75" customHeight="1" thickTop="1" x14ac:dyDescent="0.2">
      <c r="A5" s="2203" t="s">
        <v>1171</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528</v>
      </c>
      <c r="B8" s="726"/>
      <c r="C8" s="727">
        <v>0</v>
      </c>
      <c r="D8" s="585">
        <v>0</v>
      </c>
      <c r="E8" s="727">
        <v>0</v>
      </c>
      <c r="F8" s="1777">
        <f t="shared" si="0"/>
        <v>0</v>
      </c>
    </row>
    <row r="9" spans="1:7" ht="12.75" customHeight="1" thickTop="1" thickBot="1" x14ac:dyDescent="0.25">
      <c r="A9" s="725" t="s">
        <v>529</v>
      </c>
      <c r="B9" s="726"/>
      <c r="C9" s="727">
        <v>0</v>
      </c>
      <c r="D9" s="585">
        <v>0</v>
      </c>
      <c r="E9" s="727">
        <v>0</v>
      </c>
      <c r="F9" s="1777">
        <f t="shared" si="0"/>
        <v>0</v>
      </c>
    </row>
    <row r="10" spans="1:7" ht="12.75" customHeight="1" thickTop="1" thickBot="1" x14ac:dyDescent="0.25">
      <c r="A10" s="725" t="s">
        <v>530</v>
      </c>
      <c r="B10" s="726"/>
      <c r="C10" s="727">
        <v>0</v>
      </c>
      <c r="D10" s="585">
        <v>0</v>
      </c>
      <c r="E10" s="727">
        <v>0</v>
      </c>
      <c r="F10" s="1777">
        <f t="shared" si="0"/>
        <v>0</v>
      </c>
    </row>
    <row r="11" spans="1:7" ht="12.75" customHeight="1" thickTop="1" thickBot="1" x14ac:dyDescent="0.25">
      <c r="A11" s="725" t="s">
        <v>358</v>
      </c>
      <c r="B11" s="726"/>
      <c r="C11" s="727">
        <v>0</v>
      </c>
      <c r="D11" s="585">
        <v>0</v>
      </c>
      <c r="E11" s="727">
        <v>0</v>
      </c>
      <c r="F11" s="1777">
        <f t="shared" si="0"/>
        <v>0</v>
      </c>
    </row>
    <row r="12" spans="1:7" ht="12.75" customHeight="1" thickTop="1" thickBot="1" x14ac:dyDescent="0.25">
      <c r="A12" s="725" t="s">
        <v>1218</v>
      </c>
      <c r="B12" s="726"/>
      <c r="C12" s="727">
        <v>0</v>
      </c>
      <c r="D12" s="585">
        <v>0</v>
      </c>
      <c r="E12" s="727">
        <v>0</v>
      </c>
      <c r="F12" s="1777">
        <f t="shared" si="0"/>
        <v>0</v>
      </c>
    </row>
    <row r="13" spans="1:7" ht="12.75" customHeight="1" thickTop="1" thickBot="1" x14ac:dyDescent="0.25">
      <c r="A13" s="725" t="s">
        <v>405</v>
      </c>
      <c r="B13" s="726"/>
      <c r="C13" s="727">
        <v>0</v>
      </c>
      <c r="D13" s="585">
        <v>0</v>
      </c>
      <c r="E13" s="727">
        <v>0</v>
      </c>
      <c r="F13" s="1777">
        <f t="shared" si="0"/>
        <v>0</v>
      </c>
    </row>
    <row r="14" spans="1:7" ht="12.75" customHeight="1" thickTop="1" thickBot="1" x14ac:dyDescent="0.25">
      <c r="A14" s="725" t="s">
        <v>467</v>
      </c>
      <c r="B14" s="726"/>
      <c r="C14" s="727">
        <v>0</v>
      </c>
      <c r="D14" s="585">
        <v>0</v>
      </c>
      <c r="E14" s="727">
        <v>0</v>
      </c>
      <c r="F14" s="1777">
        <f t="shared" si="0"/>
        <v>0</v>
      </c>
    </row>
    <row r="15" spans="1:7" ht="14.25" thickTop="1" thickBot="1" x14ac:dyDescent="0.25">
      <c r="A15" s="2205" t="s">
        <v>651</v>
      </c>
      <c r="B15" s="2206"/>
      <c r="C15" s="1777">
        <f>SUM(C6:C14)</f>
        <v>0</v>
      </c>
      <c r="D15" s="1777">
        <f>SUM(D6:D14)</f>
        <v>0</v>
      </c>
      <c r="E15" s="1777">
        <f>SUM(E6:E14)</f>
        <v>0</v>
      </c>
      <c r="F15" s="1777">
        <f>SUM(F6:F14)</f>
        <v>0</v>
      </c>
      <c r="G15" s="552"/>
    </row>
    <row r="16" spans="1:7" s="202" customFormat="1" ht="15.75" customHeight="1" thickTop="1" x14ac:dyDescent="0.2">
      <c r="A16" s="2215" t="s">
        <v>1172</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405</v>
      </c>
      <c r="B19" s="2229"/>
      <c r="C19" s="727">
        <v>0</v>
      </c>
      <c r="D19" s="585">
        <v>0</v>
      </c>
      <c r="E19" s="727">
        <v>0</v>
      </c>
      <c r="F19" s="1777">
        <f>SUM(C19+D19)-E19</f>
        <v>0</v>
      </c>
    </row>
    <row r="20" spans="1:11" ht="12.75" customHeight="1" thickTop="1" thickBot="1" x14ac:dyDescent="0.25">
      <c r="A20" s="2228" t="s">
        <v>467</v>
      </c>
      <c r="B20" s="2229"/>
      <c r="C20" s="727">
        <v>0</v>
      </c>
      <c r="D20" s="585">
        <v>0</v>
      </c>
      <c r="E20" s="727">
        <v>0</v>
      </c>
      <c r="F20" s="1777">
        <f>SUM(C20+D20)-E20</f>
        <v>0</v>
      </c>
    </row>
    <row r="21" spans="1:11" ht="14.25" thickTop="1" thickBot="1" x14ac:dyDescent="0.25">
      <c r="A21" s="2205" t="s">
        <v>652</v>
      </c>
      <c r="B21" s="2206"/>
      <c r="C21" s="1777">
        <f>SUM(C17:C20)</f>
        <v>0</v>
      </c>
      <c r="D21" s="1777">
        <f>SUM(D17:D20)</f>
        <v>0</v>
      </c>
      <c r="E21" s="1777">
        <f>SUM(E17:E20)</f>
        <v>0</v>
      </c>
      <c r="F21" s="1777">
        <f>SUM(F17:F20)</f>
        <v>0</v>
      </c>
      <c r="G21" s="552"/>
    </row>
    <row r="22" spans="1:11" ht="15.75" customHeight="1" thickTop="1" x14ac:dyDescent="0.2">
      <c r="A22" s="2230" t="s">
        <v>1173</v>
      </c>
      <c r="B22" s="2204"/>
      <c r="C22" s="2212"/>
      <c r="D22" s="2213"/>
      <c r="E22" s="2213"/>
      <c r="F22" s="2214"/>
    </row>
    <row r="23" spans="1:11" ht="13.5" thickBot="1" x14ac:dyDescent="0.25">
      <c r="A23" s="2218" t="s">
        <v>653</v>
      </c>
      <c r="B23" s="2219"/>
      <c r="C23" s="581">
        <v>0</v>
      </c>
      <c r="D23" s="581">
        <v>0</v>
      </c>
      <c r="E23" s="581">
        <v>0</v>
      </c>
      <c r="F23" s="1777">
        <f>SUM(C23+D23)-E23</f>
        <v>0</v>
      </c>
      <c r="G23" s="552"/>
    </row>
    <row r="24" spans="1:11" ht="15.75" customHeight="1" thickTop="1" x14ac:dyDescent="0.2">
      <c r="A24" s="2230" t="s">
        <v>1174</v>
      </c>
      <c r="B24" s="2204"/>
      <c r="C24" s="2212"/>
      <c r="D24" s="2213"/>
      <c r="E24" s="2213"/>
      <c r="F24" s="2214"/>
    </row>
    <row r="25" spans="1:11" ht="13.5" thickBot="1" x14ac:dyDescent="0.25">
      <c r="A25" s="2218" t="s">
        <v>654</v>
      </c>
      <c r="B25" s="2219"/>
      <c r="C25" s="581">
        <v>0</v>
      </c>
      <c r="D25" s="581">
        <v>0</v>
      </c>
      <c r="E25" s="581">
        <v>0</v>
      </c>
      <c r="F25" s="1777">
        <f>SUM(C25+D25)-E25</f>
        <v>0</v>
      </c>
      <c r="G25" s="552"/>
    </row>
    <row r="26" spans="1:11" ht="15.75" customHeight="1" thickTop="1" x14ac:dyDescent="0.2">
      <c r="A26" s="2203" t="s">
        <v>677</v>
      </c>
      <c r="B26" s="2204"/>
      <c r="C26" s="728"/>
      <c r="D26" s="728"/>
      <c r="E26" s="728"/>
      <c r="F26" s="729"/>
    </row>
    <row r="27" spans="1:11" ht="13.5" thickBot="1" x14ac:dyDescent="0.25">
      <c r="A27" s="2205" t="s">
        <v>1129</v>
      </c>
      <c r="B27" s="2206"/>
      <c r="C27" s="585">
        <v>0</v>
      </c>
      <c r="D27" s="585">
        <v>0</v>
      </c>
      <c r="E27" s="585">
        <v>0</v>
      </c>
      <c r="F27" s="1777">
        <f>SUM(C27+D27)-E27</f>
        <v>0</v>
      </c>
      <c r="G27" s="552"/>
    </row>
    <row r="28" spans="1:11" ht="7.5" customHeight="1" thickTop="1" x14ac:dyDescent="0.2">
      <c r="A28" s="594"/>
    </row>
    <row r="29" spans="1:11" ht="23.25" customHeight="1" x14ac:dyDescent="0.2">
      <c r="A29" s="2231" t="s">
        <v>602</v>
      </c>
      <c r="B29" s="2208"/>
      <c r="C29" s="730"/>
      <c r="D29" s="730"/>
      <c r="E29" s="730"/>
      <c r="F29" s="730"/>
      <c r="G29" s="730"/>
      <c r="H29" s="730"/>
      <c r="I29" s="730"/>
      <c r="J29" s="730"/>
    </row>
    <row r="30" spans="1:11" ht="33.75" x14ac:dyDescent="0.2">
      <c r="A30" s="1551" t="s">
        <v>1130</v>
      </c>
      <c r="B30" s="731" t="s">
        <v>1185</v>
      </c>
      <c r="C30" s="1910" t="s">
        <v>603</v>
      </c>
      <c r="D30" s="1910" t="s">
        <v>1771</v>
      </c>
      <c r="E30" s="1910" t="s">
        <v>2037</v>
      </c>
      <c r="F30" s="1910" t="s">
        <v>2038</v>
      </c>
      <c r="G30" s="1910" t="s">
        <v>2041</v>
      </c>
      <c r="H30" s="1910" t="s">
        <v>2039</v>
      </c>
      <c r="I30" s="1910" t="s">
        <v>2040</v>
      </c>
      <c r="J30" s="1911" t="s">
        <v>2</v>
      </c>
      <c r="K30" s="732"/>
    </row>
    <row r="31" spans="1:11" ht="12" customHeight="1" x14ac:dyDescent="0.2">
      <c r="A31" s="733" t="s">
        <v>2092</v>
      </c>
      <c r="B31" s="734">
        <v>37681</v>
      </c>
      <c r="C31" s="735">
        <v>1735000</v>
      </c>
      <c r="D31" s="736">
        <v>3</v>
      </c>
      <c r="E31" s="735">
        <v>530000</v>
      </c>
      <c r="F31" s="735">
        <v>0</v>
      </c>
      <c r="G31" s="735">
        <v>0</v>
      </c>
      <c r="H31" s="735">
        <v>100000</v>
      </c>
      <c r="I31" s="1778">
        <f>((E31+F31)-H31)+G31</f>
        <v>430000</v>
      </c>
      <c r="J31" s="735">
        <v>299474</v>
      </c>
      <c r="K31" s="737"/>
    </row>
    <row r="32" spans="1:11" ht="12" customHeight="1" x14ac:dyDescent="0.2">
      <c r="A32" s="733" t="s">
        <v>2093</v>
      </c>
      <c r="B32" s="734">
        <v>39692</v>
      </c>
      <c r="C32" s="735">
        <v>800000</v>
      </c>
      <c r="D32" s="736">
        <v>2</v>
      </c>
      <c r="E32" s="735">
        <v>680000</v>
      </c>
      <c r="F32" s="735">
        <v>0</v>
      </c>
      <c r="G32" s="735">
        <v>0</v>
      </c>
      <c r="H32" s="735">
        <v>680000</v>
      </c>
      <c r="I32" s="1778">
        <f>((E32+F32)-H32)+G32</f>
        <v>0</v>
      </c>
      <c r="J32" s="735">
        <v>0</v>
      </c>
      <c r="K32" s="737"/>
    </row>
    <row r="33" spans="1:11" ht="12" customHeight="1" x14ac:dyDescent="0.2">
      <c r="A33" s="733" t="s">
        <v>2094</v>
      </c>
      <c r="B33" s="734">
        <v>40848</v>
      </c>
      <c r="C33" s="735">
        <v>515000</v>
      </c>
      <c r="D33" s="736">
        <v>3</v>
      </c>
      <c r="E33" s="735">
        <v>35000</v>
      </c>
      <c r="F33" s="735">
        <v>0</v>
      </c>
      <c r="G33" s="735">
        <v>0</v>
      </c>
      <c r="H33" s="735">
        <v>35000</v>
      </c>
      <c r="I33" s="1778">
        <f t="shared" ref="I33:I48" si="1">((E33+F33)-H33)+G33</f>
        <v>0</v>
      </c>
      <c r="J33" s="735">
        <v>0</v>
      </c>
      <c r="K33" s="737"/>
    </row>
    <row r="34" spans="1:11" ht="12" customHeight="1" x14ac:dyDescent="0.2">
      <c r="A34" s="733" t="s">
        <v>2095</v>
      </c>
      <c r="B34" s="734">
        <v>41600</v>
      </c>
      <c r="C34" s="735">
        <v>45054</v>
      </c>
      <c r="D34" s="736">
        <v>8</v>
      </c>
      <c r="E34" s="735">
        <v>9220</v>
      </c>
      <c r="F34" s="735">
        <v>0</v>
      </c>
      <c r="G34" s="735">
        <v>0</v>
      </c>
      <c r="H34" s="735">
        <v>9220</v>
      </c>
      <c r="I34" s="1778">
        <f t="shared" si="1"/>
        <v>0</v>
      </c>
      <c r="J34" s="735">
        <v>0</v>
      </c>
      <c r="K34" s="738"/>
    </row>
    <row r="35" spans="1:11" ht="12" customHeight="1" x14ac:dyDescent="0.2">
      <c r="A35" s="733" t="s">
        <v>2096</v>
      </c>
      <c r="B35" s="734">
        <v>41823</v>
      </c>
      <c r="C35" s="739">
        <v>1540000</v>
      </c>
      <c r="D35" s="736">
        <v>3</v>
      </c>
      <c r="E35" s="739">
        <v>1330000</v>
      </c>
      <c r="F35" s="739">
        <v>0</v>
      </c>
      <c r="G35" s="739">
        <v>0</v>
      </c>
      <c r="H35" s="739">
        <v>135000</v>
      </c>
      <c r="I35" s="1778">
        <f t="shared" si="1"/>
        <v>1195000</v>
      </c>
      <c r="J35" s="739">
        <v>1195000</v>
      </c>
      <c r="K35" s="738"/>
    </row>
    <row r="36" spans="1:11" ht="12" customHeight="1" x14ac:dyDescent="0.2">
      <c r="A36" s="733" t="s">
        <v>2097</v>
      </c>
      <c r="B36" s="734">
        <v>41823</v>
      </c>
      <c r="C36" s="735">
        <v>560000</v>
      </c>
      <c r="D36" s="736">
        <v>3</v>
      </c>
      <c r="E36" s="735">
        <v>560000</v>
      </c>
      <c r="F36" s="735">
        <v>0</v>
      </c>
      <c r="G36" s="735">
        <v>0</v>
      </c>
      <c r="H36" s="735">
        <v>75000</v>
      </c>
      <c r="I36" s="1778">
        <f t="shared" si="1"/>
        <v>485000</v>
      </c>
      <c r="J36" s="735">
        <v>485000</v>
      </c>
      <c r="K36" s="740"/>
    </row>
    <row r="37" spans="1:11" ht="12" customHeight="1" x14ac:dyDescent="0.2">
      <c r="A37" s="733" t="s">
        <v>2098</v>
      </c>
      <c r="B37" s="734">
        <v>42843</v>
      </c>
      <c r="C37" s="467">
        <v>1360000</v>
      </c>
      <c r="D37" s="741">
        <v>7</v>
      </c>
      <c r="E37" s="467">
        <v>1360000</v>
      </c>
      <c r="F37" s="467">
        <v>0</v>
      </c>
      <c r="G37" s="467">
        <v>0</v>
      </c>
      <c r="H37" s="467">
        <v>5000</v>
      </c>
      <c r="I37" s="1778">
        <f t="shared" si="1"/>
        <v>1355000</v>
      </c>
      <c r="J37" s="467">
        <v>1355000</v>
      </c>
      <c r="K37" s="738"/>
    </row>
    <row r="38" spans="1:11" ht="12" customHeight="1" x14ac:dyDescent="0.2">
      <c r="A38" s="733" t="s">
        <v>2100</v>
      </c>
      <c r="B38" s="734">
        <v>42891</v>
      </c>
      <c r="C38" s="735">
        <v>1325000</v>
      </c>
      <c r="D38" s="742">
        <v>2</v>
      </c>
      <c r="E38" s="743">
        <v>1325000</v>
      </c>
      <c r="F38" s="743">
        <v>0</v>
      </c>
      <c r="G38" s="743">
        <v>0</v>
      </c>
      <c r="H38" s="743"/>
      <c r="I38" s="1778">
        <f t="shared" si="1"/>
        <v>1325000</v>
      </c>
      <c r="J38" s="744">
        <v>1325000</v>
      </c>
      <c r="K38" s="745"/>
    </row>
    <row r="39" spans="1:11" ht="12" customHeight="1" x14ac:dyDescent="0.2">
      <c r="A39" s="733" t="s">
        <v>2095</v>
      </c>
      <c r="B39" s="734">
        <v>42564</v>
      </c>
      <c r="C39" s="735">
        <v>95350</v>
      </c>
      <c r="D39" s="742">
        <v>8</v>
      </c>
      <c r="E39" s="743">
        <v>76874</v>
      </c>
      <c r="F39" s="743">
        <v>0</v>
      </c>
      <c r="G39" s="743">
        <v>0</v>
      </c>
      <c r="H39" s="743">
        <v>18768</v>
      </c>
      <c r="I39" s="1778">
        <f t="shared" si="1"/>
        <v>58106</v>
      </c>
      <c r="J39" s="744">
        <v>58106</v>
      </c>
      <c r="K39" s="745"/>
    </row>
    <row r="40" spans="1:11" ht="12" customHeight="1" x14ac:dyDescent="0.2">
      <c r="A40" s="733" t="s">
        <v>2104</v>
      </c>
      <c r="B40" s="734">
        <v>43130</v>
      </c>
      <c r="C40" s="735">
        <v>795000</v>
      </c>
      <c r="D40" s="742">
        <v>3</v>
      </c>
      <c r="E40" s="743"/>
      <c r="F40" s="743">
        <v>795000</v>
      </c>
      <c r="G40" s="743">
        <v>0</v>
      </c>
      <c r="H40" s="743"/>
      <c r="I40" s="1778">
        <f t="shared" si="1"/>
        <v>795000</v>
      </c>
      <c r="J40" s="744">
        <v>795000</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8770404</v>
      </c>
      <c r="D49" s="746"/>
      <c r="E49" s="1778">
        <f t="shared" ref="E49:J49" si="2">SUM(E31:E48)</f>
        <v>5906094</v>
      </c>
      <c r="F49" s="1778">
        <f t="shared" si="2"/>
        <v>795000</v>
      </c>
      <c r="G49" s="1778">
        <f t="shared" si="2"/>
        <v>0</v>
      </c>
      <c r="H49" s="1778">
        <f t="shared" si="2"/>
        <v>1057988</v>
      </c>
      <c r="I49" s="1778">
        <f t="shared" si="2"/>
        <v>5643106</v>
      </c>
      <c r="J49" s="1778">
        <f t="shared" si="2"/>
        <v>5512580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2" t="s">
        <v>604</v>
      </c>
      <c r="C52" s="2223"/>
      <c r="D52" s="2223"/>
      <c r="E52" s="750" t="s">
        <v>899</v>
      </c>
      <c r="F52" s="2224" t="s">
        <v>2099</v>
      </c>
      <c r="G52" s="2225"/>
      <c r="H52" s="737"/>
      <c r="I52" s="737"/>
      <c r="J52" s="747"/>
    </row>
    <row r="53" spans="1:11" ht="11.25" customHeight="1" x14ac:dyDescent="0.2">
      <c r="A53" s="751" t="s">
        <v>968</v>
      </c>
      <c r="B53" s="752" t="s">
        <v>1007</v>
      </c>
      <c r="C53" s="747"/>
      <c r="D53" s="738"/>
      <c r="E53" s="750" t="s">
        <v>517</v>
      </c>
      <c r="F53" s="2226" t="s">
        <v>2095</v>
      </c>
      <c r="G53" s="2227"/>
      <c r="H53" s="737"/>
      <c r="I53" s="737"/>
      <c r="J53" s="747"/>
    </row>
    <row r="54" spans="1:11" ht="11.25" customHeight="1" x14ac:dyDescent="0.2">
      <c r="A54" s="753" t="s">
        <v>969</v>
      </c>
      <c r="B54" s="748" t="s">
        <v>1008</v>
      </c>
      <c r="C54" s="747"/>
      <c r="D54" s="738"/>
      <c r="E54" s="750" t="s">
        <v>518</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910</v>
      </c>
      <c r="B1" s="2257"/>
      <c r="C1" s="2257"/>
      <c r="D1" s="2257"/>
      <c r="E1" s="2257"/>
      <c r="F1" s="2257"/>
      <c r="G1" s="2258"/>
      <c r="H1" s="1552"/>
      <c r="I1" s="761"/>
      <c r="J1" s="433"/>
    </row>
    <row r="2" spans="1:11" ht="26.25" x14ac:dyDescent="0.2">
      <c r="A2" s="2235" t="s">
        <v>1775</v>
      </c>
      <c r="B2" s="2236"/>
      <c r="C2" s="2236"/>
      <c r="D2" s="2236"/>
      <c r="E2" s="2237"/>
      <c r="F2" s="762" t="s">
        <v>959</v>
      </c>
      <c r="G2" s="763" t="s">
        <v>1772</v>
      </c>
      <c r="H2" s="763" t="s">
        <v>429</v>
      </c>
      <c r="I2" s="763" t="s">
        <v>1219</v>
      </c>
      <c r="J2" s="763" t="s">
        <v>1918</v>
      </c>
      <c r="K2" s="763" t="s">
        <v>140</v>
      </c>
    </row>
    <row r="3" spans="1:11" x14ac:dyDescent="0.2">
      <c r="A3" s="2238" t="s">
        <v>1697</v>
      </c>
      <c r="B3" s="2239"/>
      <c r="C3" s="2239"/>
      <c r="D3" s="2239"/>
      <c r="E3" s="2240"/>
      <c r="F3" s="764"/>
      <c r="G3" s="765">
        <v>0</v>
      </c>
      <c r="H3" s="765">
        <v>0</v>
      </c>
      <c r="I3" s="765">
        <v>0</v>
      </c>
      <c r="J3" s="766">
        <v>0</v>
      </c>
      <c r="K3" s="766">
        <v>0</v>
      </c>
    </row>
    <row r="4" spans="1:11" x14ac:dyDescent="0.2">
      <c r="A4" s="2241" t="s">
        <v>386</v>
      </c>
      <c r="B4" s="2242"/>
      <c r="C4" s="2242"/>
      <c r="D4" s="2242"/>
      <c r="E4" s="2223"/>
      <c r="F4" s="767"/>
      <c r="G4" s="768"/>
      <c r="H4" s="769"/>
      <c r="I4" s="768"/>
      <c r="J4" s="770"/>
      <c r="K4" s="770"/>
    </row>
    <row r="5" spans="1:11" x14ac:dyDescent="0.2">
      <c r="A5" s="2259" t="s">
        <v>1128</v>
      </c>
      <c r="B5" s="2232"/>
      <c r="C5" s="2232"/>
      <c r="D5" s="2232"/>
      <c r="E5" s="2260"/>
      <c r="F5" s="771" t="s">
        <v>902</v>
      </c>
      <c r="G5" s="772"/>
      <c r="H5" s="765">
        <v>23307</v>
      </c>
      <c r="I5" s="773">
        <v>0</v>
      </c>
      <c r="J5" s="774"/>
      <c r="K5" s="774"/>
    </row>
    <row r="6" spans="1:11" x14ac:dyDescent="0.2">
      <c r="A6" s="775" t="s">
        <v>743</v>
      </c>
      <c r="B6" s="776"/>
      <c r="C6" s="776"/>
      <c r="D6" s="776"/>
      <c r="E6" s="777"/>
      <c r="F6" s="778" t="s">
        <v>903</v>
      </c>
      <c r="G6" s="765">
        <v>0</v>
      </c>
      <c r="H6" s="765">
        <v>0</v>
      </c>
      <c r="I6" s="765">
        <v>0</v>
      </c>
      <c r="J6" s="766">
        <v>0</v>
      </c>
      <c r="K6" s="766">
        <v>0</v>
      </c>
    </row>
    <row r="7" spans="1:11" x14ac:dyDescent="0.2">
      <c r="A7" s="779" t="s">
        <v>264</v>
      </c>
      <c r="B7" s="780"/>
      <c r="C7" s="780"/>
      <c r="D7" s="780"/>
      <c r="E7" s="781"/>
      <c r="F7" s="771" t="s">
        <v>904</v>
      </c>
      <c r="G7" s="768"/>
      <c r="H7" s="768"/>
      <c r="I7" s="768"/>
      <c r="J7" s="782"/>
      <c r="K7" s="766">
        <v>0</v>
      </c>
    </row>
    <row r="8" spans="1:11" x14ac:dyDescent="0.2">
      <c r="A8" s="779" t="s">
        <v>362</v>
      </c>
      <c r="B8" s="780"/>
      <c r="C8" s="780"/>
      <c r="D8" s="780"/>
      <c r="E8" s="781"/>
      <c r="F8" s="771" t="s">
        <v>905</v>
      </c>
      <c r="G8" s="783"/>
      <c r="H8" s="783"/>
      <c r="I8" s="783"/>
      <c r="J8" s="766">
        <v>0</v>
      </c>
      <c r="K8" s="770"/>
    </row>
    <row r="9" spans="1:11" x14ac:dyDescent="0.2">
      <c r="A9" s="779" t="s">
        <v>140</v>
      </c>
      <c r="B9" s="780"/>
      <c r="C9" s="780"/>
      <c r="D9" s="780"/>
      <c r="E9" s="781"/>
      <c r="F9" s="778" t="s">
        <v>907</v>
      </c>
      <c r="G9" s="783"/>
      <c r="H9" s="772"/>
      <c r="I9" s="772"/>
      <c r="J9" s="782"/>
      <c r="K9" s="766">
        <v>9130</v>
      </c>
    </row>
    <row r="10" spans="1:11" x14ac:dyDescent="0.2">
      <c r="A10" s="2259" t="s">
        <v>1919</v>
      </c>
      <c r="B10" s="2232"/>
      <c r="C10" s="2232"/>
      <c r="D10" s="2232"/>
      <c r="E10" s="2261"/>
      <c r="F10" s="784" t="s">
        <v>916</v>
      </c>
      <c r="G10" s="783"/>
      <c r="H10" s="785">
        <v>0</v>
      </c>
      <c r="I10" s="765">
        <v>0</v>
      </c>
      <c r="J10" s="766">
        <v>0</v>
      </c>
      <c r="K10" s="766">
        <v>0</v>
      </c>
    </row>
    <row r="11" spans="1:11" x14ac:dyDescent="0.2">
      <c r="A11" s="2259" t="s">
        <v>162</v>
      </c>
      <c r="B11" s="2232"/>
      <c r="C11" s="2232"/>
      <c r="D11" s="2232"/>
      <c r="E11" s="2260"/>
      <c r="F11" s="771" t="s">
        <v>906</v>
      </c>
      <c r="G11" s="772"/>
      <c r="H11" s="765">
        <v>0</v>
      </c>
      <c r="I11" s="765">
        <v>0</v>
      </c>
      <c r="J11" s="766">
        <v>0</v>
      </c>
      <c r="K11" s="774"/>
    </row>
    <row r="12" spans="1:11" ht="13.5" thickBot="1" x14ac:dyDescent="0.25">
      <c r="A12" s="2249" t="s">
        <v>960</v>
      </c>
      <c r="B12" s="2250"/>
      <c r="C12" s="2250"/>
      <c r="D12" s="2250"/>
      <c r="E12" s="2251"/>
      <c r="F12" s="1779"/>
      <c r="G12" s="1780">
        <f>SUM(G5:G11)</f>
        <v>0</v>
      </c>
      <c r="H12" s="1780">
        <f>SUM(H5:H11)</f>
        <v>23307</v>
      </c>
      <c r="I12" s="1780">
        <f>SUM(I5:I11)</f>
        <v>0</v>
      </c>
      <c r="J12" s="1780">
        <f>SUM(J5:J11)</f>
        <v>0</v>
      </c>
      <c r="K12" s="1780">
        <f>SUM(K5:K11)</f>
        <v>9130</v>
      </c>
    </row>
    <row r="13" spans="1:11" ht="13.5" thickTop="1" x14ac:dyDescent="0.2">
      <c r="A13" s="2243" t="s">
        <v>387</v>
      </c>
      <c r="B13" s="2244"/>
      <c r="C13" s="2244"/>
      <c r="D13" s="2244"/>
      <c r="E13" s="2245"/>
      <c r="F13" s="786"/>
      <c r="G13" s="787"/>
      <c r="H13" s="788"/>
      <c r="I13" s="789"/>
      <c r="J13" s="789"/>
      <c r="K13" s="789"/>
    </row>
    <row r="14" spans="1:11" x14ac:dyDescent="0.2">
      <c r="A14" s="2265" t="s">
        <v>475</v>
      </c>
      <c r="B14" s="2265"/>
      <c r="C14" s="2265"/>
      <c r="D14" s="2265"/>
      <c r="E14" s="2266"/>
      <c r="F14" s="790" t="s">
        <v>908</v>
      </c>
      <c r="G14" s="783"/>
      <c r="H14" s="765">
        <v>23307</v>
      </c>
      <c r="I14" s="772"/>
      <c r="J14" s="774"/>
      <c r="K14" s="766">
        <v>9130</v>
      </c>
    </row>
    <row r="15" spans="1:11" x14ac:dyDescent="0.2">
      <c r="A15" s="2232" t="s">
        <v>4</v>
      </c>
      <c r="B15" s="2232"/>
      <c r="C15" s="2232"/>
      <c r="D15" s="2232"/>
      <c r="E15" s="2260"/>
      <c r="F15" s="790" t="s">
        <v>909</v>
      </c>
      <c r="G15" s="772"/>
      <c r="H15" s="765">
        <v>0</v>
      </c>
      <c r="I15" s="765">
        <v>0</v>
      </c>
      <c r="J15" s="766">
        <v>0</v>
      </c>
      <c r="K15" s="766">
        <v>0</v>
      </c>
    </row>
    <row r="16" spans="1:11" x14ac:dyDescent="0.2">
      <c r="A16" s="2232" t="s">
        <v>315</v>
      </c>
      <c r="B16" s="2232"/>
      <c r="C16" s="2232"/>
      <c r="D16" s="2232"/>
      <c r="E16" s="2260"/>
      <c r="F16" s="790" t="s">
        <v>979</v>
      </c>
      <c r="G16" s="773">
        <v>0</v>
      </c>
      <c r="H16" s="768"/>
      <c r="I16" s="768"/>
      <c r="J16" s="770"/>
      <c r="K16" s="770"/>
    </row>
    <row r="17" spans="1:11" x14ac:dyDescent="0.2">
      <c r="A17" s="2254" t="s">
        <v>991</v>
      </c>
      <c r="B17" s="2254"/>
      <c r="C17" s="2254"/>
      <c r="D17" s="2254"/>
      <c r="E17" s="2255"/>
      <c r="F17" s="791"/>
      <c r="G17" s="792"/>
      <c r="H17" s="793"/>
      <c r="I17" s="793"/>
      <c r="J17" s="794"/>
      <c r="K17" s="795"/>
    </row>
    <row r="18" spans="1:11" x14ac:dyDescent="0.2">
      <c r="A18" s="2246" t="s">
        <v>385</v>
      </c>
      <c r="B18" s="2247"/>
      <c r="C18" s="2247"/>
      <c r="D18" s="2247"/>
      <c r="E18" s="2248"/>
      <c r="F18" s="790" t="s">
        <v>988</v>
      </c>
      <c r="G18" s="783"/>
      <c r="H18" s="783"/>
      <c r="I18" s="783"/>
      <c r="J18" s="766">
        <v>0</v>
      </c>
      <c r="K18" s="796"/>
    </row>
    <row r="19" spans="1:11" ht="21.75" customHeight="1" x14ac:dyDescent="0.2">
      <c r="A19" s="2267" t="s">
        <v>1915</v>
      </c>
      <c r="B19" s="2267"/>
      <c r="C19" s="2267"/>
      <c r="D19" s="2267"/>
      <c r="E19" s="2268"/>
      <c r="F19" s="790" t="s">
        <v>989</v>
      </c>
      <c r="G19" s="783"/>
      <c r="H19" s="783"/>
      <c r="I19" s="783"/>
      <c r="J19" s="766">
        <v>0</v>
      </c>
      <c r="K19" s="796"/>
    </row>
    <row r="20" spans="1:11" x14ac:dyDescent="0.2">
      <c r="A20" s="2246" t="s">
        <v>1920</v>
      </c>
      <c r="B20" s="2247"/>
      <c r="C20" s="2247"/>
      <c r="D20" s="2247"/>
      <c r="E20" s="2248"/>
      <c r="F20" s="790" t="s">
        <v>990</v>
      </c>
      <c r="G20" s="783"/>
      <c r="H20" s="783"/>
      <c r="I20" s="783"/>
      <c r="J20" s="766">
        <v>0</v>
      </c>
      <c r="K20" s="796"/>
    </row>
    <row r="21" spans="1:11" ht="13.5" thickBot="1" x14ac:dyDescent="0.25">
      <c r="A21" s="2252" t="s">
        <v>658</v>
      </c>
      <c r="B21" s="2252"/>
      <c r="C21" s="2252"/>
      <c r="D21" s="2252"/>
      <c r="E21" s="2252"/>
      <c r="F21" s="1781"/>
      <c r="G21" s="793"/>
      <c r="H21" s="797"/>
      <c r="I21" s="797"/>
      <c r="J21" s="1782">
        <f>SUM(J18:J20)</f>
        <v>0</v>
      </c>
      <c r="K21" s="794"/>
    </row>
    <row r="22" spans="1:11" ht="13.5" thickTop="1" x14ac:dyDescent="0.2">
      <c r="A22" s="2232" t="s">
        <v>1921</v>
      </c>
      <c r="B22" s="2232"/>
      <c r="C22" s="2232"/>
      <c r="D22" s="2232"/>
      <c r="E22" s="2260"/>
      <c r="F22" s="790" t="s">
        <v>916</v>
      </c>
      <c r="G22" s="783"/>
      <c r="H22" s="765">
        <v>0</v>
      </c>
      <c r="I22" s="765">
        <v>0</v>
      </c>
      <c r="J22" s="798">
        <v>0</v>
      </c>
      <c r="K22" s="766">
        <v>0</v>
      </c>
    </row>
    <row r="23" spans="1:11" ht="13.5" thickBot="1" x14ac:dyDescent="0.25">
      <c r="A23" s="2253" t="s">
        <v>961</v>
      </c>
      <c r="B23" s="2252"/>
      <c r="C23" s="2252"/>
      <c r="D23" s="2252"/>
      <c r="E23" s="2252"/>
      <c r="F23" s="1783"/>
      <c r="G23" s="1780">
        <f>SUM(G14:G16,G21,G22)</f>
        <v>0</v>
      </c>
      <c r="H23" s="1780">
        <f>SUM(H14:H16,H21,H22)</f>
        <v>23307</v>
      </c>
      <c r="I23" s="1780">
        <f>SUM(I14:I16,I21,I22)</f>
        <v>0</v>
      </c>
      <c r="J23" s="1780">
        <f>SUM(J14:J16,J21,J22)</f>
        <v>0</v>
      </c>
      <c r="K23" s="1780">
        <f>SUM(K14:K16,K21,K22)</f>
        <v>9130</v>
      </c>
    </row>
    <row r="24" spans="1:11" ht="14.25" thickTop="1" thickBot="1" x14ac:dyDescent="0.25">
      <c r="A24" s="2253" t="s">
        <v>2023</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v>0</v>
      </c>
      <c r="H25" s="803">
        <v>0</v>
      </c>
      <c r="I25" s="803">
        <v>0</v>
      </c>
      <c r="J25" s="798">
        <v>0</v>
      </c>
      <c r="K25" s="798">
        <v>0</v>
      </c>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t="s">
        <v>2076</v>
      </c>
      <c r="E30" s="809" t="s">
        <v>791</v>
      </c>
      <c r="F30" s="202"/>
      <c r="G30" s="806"/>
    </row>
    <row r="31" spans="1:11" x14ac:dyDescent="0.2">
      <c r="A31" s="810"/>
      <c r="D31" s="237"/>
      <c r="E31" s="811" t="s">
        <v>792</v>
      </c>
      <c r="F31" s="812" t="s">
        <v>559</v>
      </c>
      <c r="G31" s="765"/>
      <c r="H31" s="2262"/>
      <c r="I31" s="2263"/>
      <c r="J31" s="2263"/>
      <c r="K31" s="2263"/>
    </row>
    <row r="32" spans="1:11" x14ac:dyDescent="0.2">
      <c r="A32" s="810"/>
      <c r="B32" s="237"/>
      <c r="C32" s="237"/>
      <c r="D32" s="237"/>
      <c r="E32" s="806"/>
      <c r="F32" s="812" t="s">
        <v>560</v>
      </c>
      <c r="G32" s="765"/>
      <c r="H32" s="2264"/>
      <c r="I32" s="2263"/>
      <c r="J32" s="2263"/>
      <c r="K32" s="2263"/>
    </row>
    <row r="33" spans="1:11" ht="1.5" customHeight="1" x14ac:dyDescent="0.2">
      <c r="A33" s="813" t="s">
        <v>1230</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2" t="s">
        <v>561</v>
      </c>
      <c r="B41" s="2233"/>
      <c r="C41" s="2233"/>
      <c r="D41" s="2233"/>
      <c r="E41" s="2233"/>
      <c r="F41" s="223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1" t="s">
        <v>947</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376251</v>
      </c>
      <c r="D5" s="842">
        <v>0</v>
      </c>
      <c r="E5" s="842">
        <v>0</v>
      </c>
      <c r="F5" s="1782">
        <f>(C5+D5)-E5</f>
        <v>376251</v>
      </c>
      <c r="G5" s="838"/>
      <c r="H5" s="843"/>
      <c r="I5" s="843"/>
      <c r="J5" s="843"/>
      <c r="K5" s="794"/>
      <c r="L5" s="1791">
        <f>F5-K5</f>
        <v>376251</v>
      </c>
    </row>
    <row r="6" spans="1:14" ht="14.25" thickTop="1" thickBot="1" x14ac:dyDescent="0.25">
      <c r="A6" s="779" t="s">
        <v>1178</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6514946</v>
      </c>
      <c r="D8" s="845">
        <v>0</v>
      </c>
      <c r="E8" s="845">
        <v>0</v>
      </c>
      <c r="F8" s="1782">
        <f>(C8+D8)-E8</f>
        <v>6514946</v>
      </c>
      <c r="G8" s="844">
        <v>50</v>
      </c>
      <c r="H8" s="766">
        <v>3352164</v>
      </c>
      <c r="I8" s="766">
        <v>130299</v>
      </c>
      <c r="J8" s="766">
        <v>0</v>
      </c>
      <c r="K8" s="1791">
        <f>(H8+I8)-J8</f>
        <v>3482463</v>
      </c>
      <c r="L8" s="1791">
        <f>F8-K8</f>
        <v>3032483</v>
      </c>
    </row>
    <row r="9" spans="1:14" ht="14.25" thickTop="1" thickBot="1" x14ac:dyDescent="0.25">
      <c r="A9" s="779" t="s">
        <v>1180</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1181</v>
      </c>
      <c r="B10" s="841">
        <v>240</v>
      </c>
      <c r="C10" s="847">
        <v>576560</v>
      </c>
      <c r="D10" s="847">
        <v>0</v>
      </c>
      <c r="E10" s="847">
        <v>0</v>
      </c>
      <c r="F10" s="1786">
        <f>(C10+D10)-E10</f>
        <v>576560</v>
      </c>
      <c r="G10" s="844">
        <v>20</v>
      </c>
      <c r="H10" s="848">
        <v>218243</v>
      </c>
      <c r="I10" s="848">
        <v>25808</v>
      </c>
      <c r="J10" s="848">
        <v>0</v>
      </c>
      <c r="K10" s="1791">
        <f>(H10+I10)-J10</f>
        <v>244051</v>
      </c>
      <c r="L10" s="1791">
        <f>F10-K10</f>
        <v>332509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839138</v>
      </c>
      <c r="D12" s="845">
        <v>34162</v>
      </c>
      <c r="E12" s="845">
        <v>0</v>
      </c>
      <c r="F12" s="1782">
        <f>(C12+D12)-E12</f>
        <v>873300</v>
      </c>
      <c r="G12" s="844">
        <v>10</v>
      </c>
      <c r="H12" s="766">
        <v>811718</v>
      </c>
      <c r="I12" s="766">
        <v>9771</v>
      </c>
      <c r="J12" s="766">
        <v>0</v>
      </c>
      <c r="K12" s="1791">
        <f>(H12+I12)-J12</f>
        <v>821489</v>
      </c>
      <c r="L12" s="1791">
        <f>F12-K12</f>
        <v>51811</v>
      </c>
    </row>
    <row r="13" spans="1:14" ht="14.25" thickTop="1" thickBot="1" x14ac:dyDescent="0.25">
      <c r="A13" s="849" t="s">
        <v>1183</v>
      </c>
      <c r="B13" s="841">
        <v>252</v>
      </c>
      <c r="C13" s="845">
        <v>77524</v>
      </c>
      <c r="D13" s="845">
        <v>2060</v>
      </c>
      <c r="E13" s="845">
        <v>0</v>
      </c>
      <c r="F13" s="1782">
        <f>(C13+D13)-E13</f>
        <v>79584</v>
      </c>
      <c r="G13" s="844">
        <v>5</v>
      </c>
      <c r="H13" s="766">
        <v>67294</v>
      </c>
      <c r="I13" s="766">
        <v>10641</v>
      </c>
      <c r="J13" s="766">
        <v>0</v>
      </c>
      <c r="K13" s="1791">
        <f>(H13+I13)-J13</f>
        <v>77935</v>
      </c>
      <c r="L13" s="1791">
        <f>F13-K13</f>
        <v>1649</v>
      </c>
    </row>
    <row r="14" spans="1:14" ht="14.25" thickTop="1" thickBot="1" x14ac:dyDescent="0.25">
      <c r="A14" s="849" t="s">
        <v>1184</v>
      </c>
      <c r="B14" s="841">
        <v>253</v>
      </c>
      <c r="C14" s="766">
        <v>253747</v>
      </c>
      <c r="D14" s="766">
        <v>16873</v>
      </c>
      <c r="E14" s="766">
        <v>0</v>
      </c>
      <c r="F14" s="1782">
        <f>(C14+D14)-E14</f>
        <v>270620</v>
      </c>
      <c r="G14" s="844">
        <v>3</v>
      </c>
      <c r="H14" s="766">
        <v>234092</v>
      </c>
      <c r="I14" s="766">
        <v>24510</v>
      </c>
      <c r="J14" s="766">
        <v>0</v>
      </c>
      <c r="K14" s="1791">
        <f>(H14+I14)-J14</f>
        <v>258602</v>
      </c>
      <c r="L14" s="1791">
        <f>F14-K14</f>
        <v>12018</v>
      </c>
    </row>
    <row r="15" spans="1:14" ht="15" customHeight="1" thickTop="1" thickBot="1" x14ac:dyDescent="0.25">
      <c r="A15" s="1653" t="s">
        <v>548</v>
      </c>
      <c r="B15" s="1652">
        <v>260</v>
      </c>
      <c r="C15" s="845">
        <v>162852</v>
      </c>
      <c r="D15" s="845">
        <v>1708687</v>
      </c>
      <c r="E15" s="845">
        <v>0</v>
      </c>
      <c r="F15" s="1782">
        <f>(C15+D15)-E15</f>
        <v>1871539</v>
      </c>
      <c r="G15" s="850" t="s">
        <v>916</v>
      </c>
      <c r="H15" s="782"/>
      <c r="I15" s="782"/>
      <c r="J15" s="782"/>
      <c r="K15" s="782"/>
      <c r="L15" s="1791">
        <f>F15-K15</f>
        <v>1871539</v>
      </c>
    </row>
    <row r="16" spans="1:14" ht="15" customHeight="1" thickTop="1" thickBot="1" x14ac:dyDescent="0.25">
      <c r="A16" s="1787" t="s">
        <v>663</v>
      </c>
      <c r="B16" s="1788">
        <v>200</v>
      </c>
      <c r="C16" s="1782">
        <f>SUM(C3,C5:C6,C8:C10,C12:C15)</f>
        <v>8801018</v>
      </c>
      <c r="D16" s="1782">
        <f>SUM(D3,D5:D6,D8:D10,D12:D15)</f>
        <v>1761782</v>
      </c>
      <c r="E16" s="1782">
        <f>SUM(E3,E5:E6,E8:E10,E12:E15)</f>
        <v>0</v>
      </c>
      <c r="F16" s="1782">
        <f>SUM(F3,F5:F6,F8:F10,F12:F15)</f>
        <v>10562800</v>
      </c>
      <c r="G16" s="844"/>
      <c r="H16" s="1782">
        <f>SUM(H3,H6,H8:H10,H12:H14,)</f>
        <v>4683511</v>
      </c>
      <c r="I16" s="1782">
        <f>SUM(I3,I6,I8:I10,I12:I14,)</f>
        <v>201029</v>
      </c>
      <c r="J16" s="1782">
        <f>SUM(J3,J6,J8:J10,J12:J14,)</f>
        <v>0</v>
      </c>
      <c r="K16" s="1782">
        <f>(H16+I16)-J16</f>
        <v>4884540</v>
      </c>
      <c r="L16" s="1782">
        <f>F16-K16</f>
        <v>5678260</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201029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25" sqref="F2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4082601</v>
      </c>
      <c r="G8" s="866"/>
    </row>
    <row r="9" spans="1:7" x14ac:dyDescent="0.2">
      <c r="A9" s="870" t="s">
        <v>479</v>
      </c>
      <c r="B9" s="871" t="s">
        <v>1987</v>
      </c>
      <c r="C9" s="872"/>
      <c r="D9" s="870" t="s">
        <v>521</v>
      </c>
      <c r="E9" s="869"/>
      <c r="F9" s="1935">
        <f>'Expenditures 15-22'!K151</f>
        <v>354368</v>
      </c>
      <c r="G9" s="873"/>
    </row>
    <row r="10" spans="1:7" x14ac:dyDescent="0.2">
      <c r="A10" s="870" t="s">
        <v>519</v>
      </c>
      <c r="B10" s="871" t="s">
        <v>1988</v>
      </c>
      <c r="C10" s="872"/>
      <c r="D10" s="870" t="s">
        <v>521</v>
      </c>
      <c r="E10" s="869"/>
      <c r="F10" s="1935">
        <f>'Expenditures 15-22'!K174</f>
        <v>1315688</v>
      </c>
      <c r="G10" s="873"/>
    </row>
    <row r="11" spans="1:7" x14ac:dyDescent="0.2">
      <c r="A11" s="870" t="s">
        <v>480</v>
      </c>
      <c r="B11" s="871" t="s">
        <v>1989</v>
      </c>
      <c r="C11" s="872"/>
      <c r="D11" s="870" t="s">
        <v>521</v>
      </c>
      <c r="E11" s="869"/>
      <c r="F11" s="1935">
        <f>'Expenditures 15-22'!K210</f>
        <v>252180</v>
      </c>
      <c r="G11" s="873"/>
    </row>
    <row r="12" spans="1:7" x14ac:dyDescent="0.2">
      <c r="A12" s="870" t="s">
        <v>481</v>
      </c>
      <c r="B12" s="871" t="s">
        <v>1990</v>
      </c>
      <c r="C12" s="872"/>
      <c r="D12" s="870" t="s">
        <v>521</v>
      </c>
      <c r="E12" s="869"/>
      <c r="F12" s="1935">
        <f>'Expenditures 15-22'!K295</f>
        <v>130303</v>
      </c>
      <c r="G12" s="873"/>
    </row>
    <row r="13" spans="1:7" x14ac:dyDescent="0.2">
      <c r="A13" s="870" t="s">
        <v>108</v>
      </c>
      <c r="B13" s="871" t="s">
        <v>1991</v>
      </c>
      <c r="C13" s="872"/>
      <c r="D13" s="870" t="s">
        <v>521</v>
      </c>
      <c r="E13" s="869"/>
      <c r="F13" s="1935">
        <f>'Expenditures 15-22'!K342</f>
        <v>406019</v>
      </c>
      <c r="G13" s="874"/>
    </row>
    <row r="14" spans="1:7" ht="12" customHeight="1" thickBot="1" x14ac:dyDescent="0.25">
      <c r="A14" s="1792"/>
      <c r="B14" s="1793"/>
      <c r="C14" s="1794"/>
      <c r="D14" s="1795" t="s">
        <v>521</v>
      </c>
      <c r="E14" s="1796" t="s">
        <v>1014</v>
      </c>
      <c r="F14" s="1797">
        <f>SUM(F8:F13)</f>
        <v>6541159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220278</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9">
        <f>'Expenditures 15-22'!K102</f>
        <v>211364</v>
      </c>
      <c r="G53" s="866"/>
    </row>
    <row r="54" spans="1:7" x14ac:dyDescent="0.2">
      <c r="A54" s="870" t="s">
        <v>478</v>
      </c>
      <c r="B54" s="870" t="s">
        <v>1551</v>
      </c>
      <c r="C54" s="890" t="s">
        <v>1038</v>
      </c>
      <c r="D54" s="886" t="s">
        <v>1156</v>
      </c>
      <c r="E54" s="869"/>
      <c r="F54" s="1939">
        <f>'Expenditures 15-22'!G114</f>
        <v>19159</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1992</v>
      </c>
      <c r="C57" s="890">
        <f>'Expenditures 15-22'!B139</f>
        <v>4000</v>
      </c>
      <c r="D57" s="888" t="str">
        <f>'Expenditures 15-22'!A139</f>
        <v>Total Payments to Other Govt Units</v>
      </c>
      <c r="E57" s="869"/>
      <c r="F57" s="1939">
        <f>'Expenditures 15-22'!K139</f>
        <v>0</v>
      </c>
      <c r="G57" s="866"/>
    </row>
    <row r="58" spans="1:7" x14ac:dyDescent="0.2">
      <c r="A58" s="870" t="s">
        <v>479</v>
      </c>
      <c r="B58" s="870" t="s">
        <v>1993</v>
      </c>
      <c r="C58" s="887" t="s">
        <v>1038</v>
      </c>
      <c r="D58" s="886" t="s">
        <v>1156</v>
      </c>
      <c r="E58" s="869"/>
      <c r="F58" s="1941">
        <f>'Expenditures 15-22'!G151</f>
        <v>9287</v>
      </c>
      <c r="G58" s="866"/>
    </row>
    <row r="59" spans="1:7" x14ac:dyDescent="0.2">
      <c r="A59" s="894" t="s">
        <v>479</v>
      </c>
      <c r="B59" s="857" t="s">
        <v>1994</v>
      </c>
      <c r="C59" s="895" t="s">
        <v>1038</v>
      </c>
      <c r="D59" s="857" t="s">
        <v>308</v>
      </c>
      <c r="F59" s="1942">
        <f>'Expenditures 15-22'!I151</f>
        <v>0</v>
      </c>
      <c r="G59" s="866"/>
    </row>
    <row r="60" spans="1:7" x14ac:dyDescent="0.2">
      <c r="A60" s="894" t="s">
        <v>519</v>
      </c>
      <c r="B60" s="857" t="s">
        <v>1995</v>
      </c>
      <c r="C60" s="895">
        <v>4000</v>
      </c>
      <c r="D60" s="857" t="s">
        <v>329</v>
      </c>
      <c r="F60" s="1940">
        <f>'Expenditures 15-22'!K160</f>
        <v>0</v>
      </c>
      <c r="G60" s="866"/>
    </row>
    <row r="61" spans="1:7" x14ac:dyDescent="0.2">
      <c r="A61" s="896" t="s">
        <v>519</v>
      </c>
      <c r="B61" s="896" t="s">
        <v>1996</v>
      </c>
      <c r="C61" s="897" t="str">
        <f>'Expenditures 15-22'!B170</f>
        <v>5300</v>
      </c>
      <c r="D61" s="898" t="s">
        <v>328</v>
      </c>
      <c r="E61" s="880"/>
      <c r="F61" s="1939">
        <f>'Expenditures 15-22'!K170</f>
        <v>1057988</v>
      </c>
      <c r="G61" s="866"/>
    </row>
    <row r="62" spans="1:7" x14ac:dyDescent="0.2">
      <c r="A62" s="870" t="s">
        <v>480</v>
      </c>
      <c r="B62" s="870" t="s">
        <v>1997</v>
      </c>
      <c r="C62" s="887">
        <f>'Expenditures 15-22'!B185</f>
        <v>3000</v>
      </c>
      <c r="D62" s="877" t="s">
        <v>468</v>
      </c>
      <c r="E62" s="869"/>
      <c r="F62" s="1939">
        <f>'Expenditures 15-22'!K185-SUM('Expenditures 15-22'!G185,'Expenditures 15-22'!I185)</f>
        <v>0</v>
      </c>
      <c r="G62" s="866"/>
    </row>
    <row r="63" spans="1:7" x14ac:dyDescent="0.2">
      <c r="A63" s="870" t="s">
        <v>480</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1999</v>
      </c>
      <c r="C64" s="897" t="str">
        <f>'Expenditures 15-22'!B206</f>
        <v>5300</v>
      </c>
      <c r="D64" s="893" t="s">
        <v>328</v>
      </c>
      <c r="E64" s="869"/>
      <c r="F64" s="1939">
        <f>'Expenditures 15-22'!K206</f>
        <v>0</v>
      </c>
      <c r="G64" s="866"/>
    </row>
    <row r="65" spans="1:8" x14ac:dyDescent="0.2">
      <c r="A65" s="870" t="s">
        <v>480</v>
      </c>
      <c r="B65" s="870" t="s">
        <v>2000</v>
      </c>
      <c r="C65" s="887" t="s">
        <v>1038</v>
      </c>
      <c r="D65" s="886" t="s">
        <v>1156</v>
      </c>
      <c r="E65" s="869"/>
      <c r="F65" s="1939">
        <f>'Expenditures 15-22'!G210</f>
        <v>0</v>
      </c>
      <c r="G65" s="866"/>
    </row>
    <row r="66" spans="1:8" x14ac:dyDescent="0.2">
      <c r="A66" s="870" t="s">
        <v>480</v>
      </c>
      <c r="B66" s="870" t="s">
        <v>2001</v>
      </c>
      <c r="C66" s="887" t="s">
        <v>1038</v>
      </c>
      <c r="D66" s="886" t="s">
        <v>308</v>
      </c>
      <c r="E66" s="869"/>
      <c r="F66" s="1939">
        <f>'Expenditures 15-22'!I210</f>
        <v>0</v>
      </c>
      <c r="G66" s="866"/>
    </row>
    <row r="67" spans="1:8" x14ac:dyDescent="0.2">
      <c r="A67" s="870" t="s">
        <v>481</v>
      </c>
      <c r="B67" s="870" t="s">
        <v>2002</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0</v>
      </c>
      <c r="G68" s="866"/>
    </row>
    <row r="69" spans="1:8" x14ac:dyDescent="0.2">
      <c r="A69" s="870" t="s">
        <v>481</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2004</v>
      </c>
      <c r="C70" s="887">
        <f>'Expenditures 15-22'!B221</f>
        <v>1300</v>
      </c>
      <c r="D70" s="888" t="str">
        <f>'Expenditures 15-22'!A221</f>
        <v>Adult/Continuing Education Programs</v>
      </c>
      <c r="E70" s="869"/>
      <c r="F70" s="1939">
        <f>'Expenditures 15-22'!K221</f>
        <v>0</v>
      </c>
      <c r="G70" s="866"/>
    </row>
    <row r="71" spans="1:8" x14ac:dyDescent="0.2">
      <c r="A71" s="870" t="s">
        <v>481</v>
      </c>
      <c r="B71" s="870" t="s">
        <v>2005</v>
      </c>
      <c r="C71" s="887">
        <f>'Expenditures 15-22'!B224</f>
        <v>1600</v>
      </c>
      <c r="D71" s="888" t="str">
        <f>'Expenditures 15-22'!A224</f>
        <v>Summer School Programs</v>
      </c>
      <c r="E71" s="869"/>
      <c r="F71" s="1939">
        <f>'Expenditures 15-22'!K224</f>
        <v>0</v>
      </c>
      <c r="G71" s="866"/>
    </row>
    <row r="72" spans="1:8" x14ac:dyDescent="0.2">
      <c r="A72" s="870" t="s">
        <v>481</v>
      </c>
      <c r="B72" s="870" t="s">
        <v>2006</v>
      </c>
      <c r="C72" s="887">
        <f>'Expenditures 15-22'!B280</f>
        <v>3000</v>
      </c>
      <c r="D72" s="877" t="s">
        <v>468</v>
      </c>
      <c r="E72" s="869"/>
      <c r="F72" s="1939">
        <f>'Expenditures 15-22'!K280</f>
        <v>0</v>
      </c>
      <c r="G72" s="866"/>
    </row>
    <row r="73" spans="1:8" x14ac:dyDescent="0.2">
      <c r="A73" s="870" t="s">
        <v>481</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2008</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1014</v>
      </c>
      <c r="F76" s="1800">
        <f>SUM(F18:F74)</f>
        <v>1518076</v>
      </c>
      <c r="G76" s="866"/>
    </row>
    <row r="77" spans="1:8" s="894" customFormat="1" ht="12" customHeight="1" thickTop="1" thickBot="1" x14ac:dyDescent="0.25">
      <c r="A77" s="1801"/>
      <c r="B77" s="1798"/>
      <c r="C77" s="1794"/>
      <c r="D77" s="1799" t="s">
        <v>2010</v>
      </c>
      <c r="E77" s="1796"/>
      <c r="F77" s="1802">
        <f>(F14-F76)</f>
        <v>5023083</v>
      </c>
      <c r="G77" s="870"/>
    </row>
    <row r="78" spans="1:8" s="894" customFormat="1" ht="12" customHeight="1" thickTop="1" x14ac:dyDescent="0.2">
      <c r="A78" s="1803"/>
      <c r="B78" s="1798"/>
      <c r="C78" s="1794"/>
      <c r="D78" s="1799" t="s">
        <v>2056</v>
      </c>
      <c r="E78" s="1796"/>
      <c r="F78" s="899">
        <v>533.14</v>
      </c>
      <c r="G78" s="900"/>
      <c r="H78" s="870"/>
    </row>
    <row r="79" spans="1:8" s="894" customFormat="1" ht="12" customHeight="1" thickBot="1" x14ac:dyDescent="0.25">
      <c r="A79" s="1804"/>
      <c r="B79" s="1798"/>
      <c r="C79" s="1794"/>
      <c r="D79" s="1799" t="s">
        <v>2011</v>
      </c>
      <c r="E79" s="1796" t="s">
        <v>1014</v>
      </c>
      <c r="F79" s="1805">
        <f>IF(F78&gt;0,F77/F78," Complete Line 78")</f>
        <v>9421.6959897963006</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78935</v>
      </c>
      <c r="G94" s="913"/>
    </row>
    <row r="95" spans="1:7" x14ac:dyDescent="0.2">
      <c r="A95" s="909" t="s">
        <v>142</v>
      </c>
      <c r="B95" s="909" t="s">
        <v>177</v>
      </c>
      <c r="C95" s="911">
        <v>1700</v>
      </c>
      <c r="D95" s="919" t="str">
        <f>'Revenues 9-14'!A82</f>
        <v>Total District/School Activity Income</v>
      </c>
      <c r="E95" s="907"/>
      <c r="F95" s="1811">
        <f>SUM('Revenues 9-14'!C82,'Revenues 9-14'!D82)</f>
        <v>12398</v>
      </c>
      <c r="G95" s="913"/>
    </row>
    <row r="96" spans="1:7" x14ac:dyDescent="0.2">
      <c r="A96" s="909" t="s">
        <v>478</v>
      </c>
      <c r="B96" s="909" t="s">
        <v>178</v>
      </c>
      <c r="C96" s="911">
        <f>'Revenues 9-14'!B84</f>
        <v>1811</v>
      </c>
      <c r="D96" s="912" t="str">
        <f>'Revenues 9-14'!A84</f>
        <v>Rentals - Regular Textbooks</v>
      </c>
      <c r="E96" s="907"/>
      <c r="F96" s="1811">
        <f>'Revenues 9-14'!C84</f>
        <v>22540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6000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108</v>
      </c>
      <c r="G104" s="913"/>
    </row>
    <row r="105" spans="1:7" x14ac:dyDescent="0.2">
      <c r="A105" s="909" t="s">
        <v>523</v>
      </c>
      <c r="B105" s="909" t="s">
        <v>841</v>
      </c>
      <c r="C105" s="914">
        <v>3100</v>
      </c>
      <c r="D105" s="920" t="str">
        <f>'Revenues 9-14'!A131</f>
        <v>Total Special Education</v>
      </c>
      <c r="E105" s="907"/>
      <c r="F105" s="1811">
        <f>SUM('Revenues 9-14'!C131:D131,'Revenues 9-14'!F131)</f>
        <v>100250</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9965</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1432</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9130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163240</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2519</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87003</v>
      </c>
      <c r="G129" s="931"/>
    </row>
    <row r="130" spans="1:7" x14ac:dyDescent="0.2">
      <c r="A130" s="928" t="s">
        <v>688</v>
      </c>
      <c r="B130" s="928" t="s">
        <v>803</v>
      </c>
      <c r="C130" s="933">
        <v>4300</v>
      </c>
      <c r="D130" s="934" t="str">
        <f>'Revenues 9-14'!A211</f>
        <v>Total Title I</v>
      </c>
      <c r="E130" s="907"/>
      <c r="F130" s="1811">
        <f>SUM('Revenues 9-14'!C211,'Revenues 9-14'!D211,'Revenues 9-14'!F211,'Revenues 9-14'!G211)</f>
        <v>92549</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5280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29780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32441</v>
      </c>
      <c r="G174" s="928"/>
    </row>
    <row r="175" spans="1:7" x14ac:dyDescent="0.2">
      <c r="A175" s="1944" t="s">
        <v>5</v>
      </c>
      <c r="B175" s="1945" t="s">
        <v>2055</v>
      </c>
      <c r="C175" s="1946">
        <v>3100</v>
      </c>
      <c r="D175" s="1947" t="s">
        <v>2058</v>
      </c>
      <c r="E175" s="907"/>
      <c r="F175" s="1931">
        <v>186309</v>
      </c>
      <c r="G175" s="928"/>
    </row>
    <row r="176" spans="1:7" x14ac:dyDescent="0.2">
      <c r="A176" s="1944" t="s">
        <v>684</v>
      </c>
      <c r="B176" s="1945" t="s">
        <v>2055</v>
      </c>
      <c r="C176" s="1946">
        <v>3300</v>
      </c>
      <c r="D176" s="1947" t="s">
        <v>2059</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1014</v>
      </c>
      <c r="F178" s="1810">
        <f>SUM(F84:F136,F161:F176)</f>
        <v>839879</v>
      </c>
    </row>
    <row r="179" spans="1:7" ht="12" customHeight="1" x14ac:dyDescent="0.2">
      <c r="A179" s="1792"/>
      <c r="B179" s="1806"/>
      <c r="C179" s="1807"/>
      <c r="D179" s="1808" t="s">
        <v>2013</v>
      </c>
      <c r="E179" s="1809"/>
      <c r="F179" s="1811">
        <f>'PCTC-OEPP 27-28'!F77-F178</f>
        <v>4183204</v>
      </c>
    </row>
    <row r="180" spans="1:7" ht="12" customHeight="1" x14ac:dyDescent="0.2">
      <c r="A180" s="1792"/>
      <c r="B180" s="1806"/>
      <c r="C180" s="1807"/>
      <c r="D180" s="1808" t="s">
        <v>1923</v>
      </c>
      <c r="E180" s="1809"/>
      <c r="F180" s="1811">
        <f>'Cap Outlay Deprec 26'!I18</f>
        <v>201029</v>
      </c>
    </row>
    <row r="181" spans="1:7" ht="12" customHeight="1" x14ac:dyDescent="0.2">
      <c r="A181" s="1792"/>
      <c r="B181" s="1806"/>
      <c r="C181" s="1807"/>
      <c r="D181" s="1808" t="s">
        <v>2014</v>
      </c>
      <c r="E181" s="1809"/>
      <c r="F181" s="1811">
        <f>F179+F180</f>
        <v>4384233</v>
      </c>
    </row>
    <row r="182" spans="1:7" ht="12" customHeight="1" x14ac:dyDescent="0.2">
      <c r="A182" s="1792"/>
      <c r="B182" s="1812"/>
      <c r="C182" s="1807"/>
      <c r="D182" s="1808" t="str">
        <f>D78</f>
        <v>9 Month ADA from District Average Daily Attendance/Prior General State Aid Inquiry 2017-2018</v>
      </c>
      <c r="E182" s="1809"/>
      <c r="F182" s="1813">
        <f>'PCTC-OEPP 27-28'!F78</f>
        <v>533.14</v>
      </c>
      <c r="G182" s="931"/>
    </row>
    <row r="183" spans="1:7" ht="12" customHeight="1" thickBot="1" x14ac:dyDescent="0.25">
      <c r="A183" s="1792"/>
      <c r="B183" s="1812"/>
      <c r="C183" s="1807"/>
      <c r="D183" s="1808" t="s">
        <v>2015</v>
      </c>
      <c r="E183" s="1809" t="s">
        <v>1625</v>
      </c>
      <c r="F183" s="1814">
        <f>F181/F182</f>
        <v>8223.4178639756919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2075</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2074</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2106</v>
      </c>
      <c r="B17" s="1957" t="s">
        <v>2107</v>
      </c>
      <c r="C17" s="1958" t="s">
        <v>2106</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2073</v>
      </c>
      <c r="B10" s="972"/>
      <c r="C10" s="977"/>
      <c r="D10" s="973"/>
      <c r="E10" s="974">
        <v>169455</v>
      </c>
      <c r="F10" s="975"/>
      <c r="G10" s="976"/>
      <c r="H10" s="162"/>
      <c r="I10" s="162"/>
    </row>
    <row r="11" spans="1:9" s="669" customFormat="1" ht="22.5" customHeight="1" x14ac:dyDescent="0.2">
      <c r="A11" s="2305" t="s">
        <v>1943</v>
      </c>
      <c r="B11" s="2306"/>
      <c r="C11" s="2306"/>
      <c r="D11" s="2307"/>
      <c r="E11" s="978">
        <v>11746</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3052439</v>
      </c>
      <c r="F19" s="1822"/>
      <c r="G19" s="1824">
        <f>'Expenditures 15-22'!K33-SUM('Expenditures 15-22'!G33,'Expenditures 15-22'!I33)+'Expenditures 15-22'!D229</f>
        <v>3052439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110866</v>
      </c>
      <c r="F21" s="1825"/>
      <c r="G21" s="1828">
        <f>'Expenditures 15-22'!K42-SUM('Expenditures 15-22'!G42,'Expenditures 15-22'!I42)+'Expenditures 15-22'!K120-SUM('Expenditures 15-22'!G120,'Expenditures 15-22'!I120)+'Expenditures 15-22'!K180-SUM('Expenditures 15-22'!G180,'Expenditures 15-22'!I180)+'Expenditures 15-22'!D238</f>
        <v>110866</v>
      </c>
      <c r="H21" s="988"/>
      <c r="I21" s="162"/>
    </row>
    <row r="22" spans="1:9" s="669" customFormat="1" ht="12" customHeight="1" x14ac:dyDescent="0.2">
      <c r="A22" s="995" t="s">
        <v>584</v>
      </c>
      <c r="B22" s="996"/>
      <c r="C22" s="994">
        <v>2200</v>
      </c>
      <c r="D22" s="1825"/>
      <c r="E22" s="1827">
        <f>'Expenditures 15-22'!K47-SUM('Expenditures 15-22'!G47,'Expenditures 15-22'!I47)+'Expenditures 15-22'!D243</f>
        <v>78332</v>
      </c>
      <c r="F22" s="1825"/>
      <c r="G22" s="1828">
        <f>'Expenditures 15-22'!K47-SUM('Expenditures 15-22'!G47,'Expenditures 15-22'!I47)+'Expenditures 15-22'!D243</f>
        <v>78332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636513</v>
      </c>
      <c r="F23" s="1825"/>
      <c r="G23" s="1827">
        <f>'Expenditures 15-22'!K53-SUM('Expenditures 15-22'!G53,'Expenditures 15-22'!I53)+'Expenditures 15-22'!D257+'Expenditures 15-22'!K330-SUM('Expenditures 15-22'!G330,'Expenditures 15-22'!I330)</f>
        <v>636513</v>
      </c>
      <c r="H23" s="988"/>
      <c r="I23" s="162"/>
    </row>
    <row r="24" spans="1:9" s="669" customFormat="1" ht="12" customHeight="1" x14ac:dyDescent="0.2">
      <c r="A24" s="995" t="s">
        <v>586</v>
      </c>
      <c r="B24" s="996"/>
      <c r="C24" s="994">
        <v>2400</v>
      </c>
      <c r="D24" s="1825"/>
      <c r="E24" s="1827">
        <f>'Expenditures 15-22'!K57-SUM('Expenditures 15-22'!G57,'Expenditures 15-22'!I57)+'Expenditures 15-22'!D261</f>
        <v>184726</v>
      </c>
      <c r="F24" s="1825"/>
      <c r="G24" s="1828">
        <f>'Expenditures 15-22'!K57-SUM('Expenditures 15-22'!G57,'Expenditures 15-22'!I57)+'Expenditures 15-22'!D261</f>
        <v>184726</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123032</v>
      </c>
      <c r="E27" s="1827">
        <f>E8</f>
        <v>0</v>
      </c>
      <c r="F27" s="1827">
        <f>'Expenditures 15-22'!K60-SUM('Expenditures 15-22'!G60,'Expenditures 15-22'!I60)+'Expenditures 15-22'!D264-E8</f>
        <v>123032</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364535</v>
      </c>
      <c r="F28" s="1829">
        <f>'Expenditures 15-22'!K61-SUM('Expenditures 15-22'!G61,'Expenditures 15-22'!I61)+'Expenditures 15-22'!K124-SUM('Expenditures 15-22'!G124,'Expenditures 15-22'!I124)+'Expenditures 15-22'!D266-E9</f>
        <v>364535</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252180</v>
      </c>
      <c r="F29" s="1825"/>
      <c r="G29" s="1828">
        <f>'Expenditures 15-22'!K62-SUM('Expenditures 15-22'!G62,'Expenditures 15-22'!I62)+'Expenditures 15-22'!K125-SUM('Expenditures 15-22'!G125,'Expenditures 15-22'!I125)+'Expenditures 15-22'!K182-SUM('Expenditures 15-22'!G182,'Expenditures 15-22'!I182)+'Expenditures 15-22'!D267</f>
        <v>252180</v>
      </c>
      <c r="H29" s="986"/>
    </row>
    <row r="30" spans="1:9" ht="12" customHeight="1" x14ac:dyDescent="0.2">
      <c r="A30" s="995" t="s">
        <v>102</v>
      </c>
      <c r="B30" s="998"/>
      <c r="C30" s="994">
        <v>2560</v>
      </c>
      <c r="D30" s="1825"/>
      <c r="E30" s="1827">
        <f>'Expenditures 15-22'!K63-SUM('Expenditures 15-22'!G63,'Expenditures 15-22'!I63)+'Expenditures 15-22'!D268-E10</f>
        <v>13583</v>
      </c>
      <c r="F30" s="1825"/>
      <c r="G30" s="1827">
        <f>'Expenditures 15-22'!K63-SUM('Expenditures 15-22'!G63,'Expenditures 15-22'!I63)+'Expenditures 15-22'!D268-E10</f>
        <v>13583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123032</v>
      </c>
      <c r="E41" s="1829">
        <f>SUM(E19:E40)</f>
        <v>4693174</v>
      </c>
      <c r="F41" s="1829">
        <f>SUM(F19:F39)</f>
        <v>487567</v>
      </c>
      <c r="G41" s="1829">
        <f>SUM(G19:G40)</f>
        <v>4328639</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123032</v>
      </c>
      <c r="F43" s="1830" t="s">
        <v>494</v>
      </c>
      <c r="G43" s="1831">
        <f>F41</f>
        <v>487567</v>
      </c>
    </row>
    <row r="44" spans="1:7" ht="12" customHeight="1" x14ac:dyDescent="0.2">
      <c r="A44" s="988"/>
      <c r="B44" s="162"/>
      <c r="C44" s="1002"/>
      <c r="D44" s="1830" t="s">
        <v>493</v>
      </c>
      <c r="E44" s="1831">
        <f>E41</f>
        <v>4693174</v>
      </c>
      <c r="F44" s="1830" t="s">
        <v>493</v>
      </c>
      <c r="G44" s="1831">
        <f>G41</f>
        <v>4328639</v>
      </c>
    </row>
    <row r="45" spans="1:7" ht="12" customHeight="1" x14ac:dyDescent="0.2">
      <c r="A45" s="988"/>
      <c r="B45" s="162"/>
      <c r="C45" s="162"/>
      <c r="D45" s="1832" t="s">
        <v>1062</v>
      </c>
      <c r="E45" s="1833">
        <f>(E43/E44)</f>
        <v>2.6215094518123556E-2</v>
      </c>
      <c r="F45" s="1832" t="s">
        <v>1062</v>
      </c>
      <c r="G45" s="1833">
        <f>(G43/G44)</f>
        <v>0.11263748258979324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1445</v>
      </c>
      <c r="B1" s="2311"/>
      <c r="C1" s="2311"/>
      <c r="D1" s="2311"/>
      <c r="E1" s="2311"/>
      <c r="F1" s="2311"/>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2" t="s">
        <v>1626</v>
      </c>
      <c r="B5" s="2313"/>
      <c r="C5" s="2314"/>
      <c r="D5" s="2314"/>
      <c r="E5" s="2314"/>
      <c r="F5" s="2314"/>
    </row>
    <row r="6" spans="1:10" ht="12" customHeight="1" x14ac:dyDescent="0.25">
      <c r="A6" s="1875"/>
      <c r="B6" s="1876"/>
      <c r="C6" s="2315" t="str">
        <f>COVER!A17</f>
        <v>Goreville CUD 1</v>
      </c>
      <c r="D6" s="2315"/>
      <c r="E6" s="2315"/>
      <c r="F6" s="1877"/>
    </row>
    <row r="7" spans="1:10" ht="11.25" customHeight="1" thickBot="1" x14ac:dyDescent="0.3">
      <c r="A7" s="1875"/>
      <c r="B7" s="1876"/>
      <c r="C7" s="2316">
        <f>COVER!A13</f>
        <v>21044001026</v>
      </c>
      <c r="D7" s="2316"/>
      <c r="E7" s="2316"/>
      <c r="F7" s="1877"/>
    </row>
    <row r="8" spans="1:10" ht="25.5" customHeight="1" thickBot="1" x14ac:dyDescent="0.25">
      <c r="A8" s="1918" t="s">
        <v>2022</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2076</v>
      </c>
      <c r="D26" s="1890" t="s">
        <v>2076</v>
      </c>
      <c r="E26" s="1893" t="s">
        <v>2076</v>
      </c>
      <c r="F26" s="1892" t="s">
        <v>2101</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2076</v>
      </c>
      <c r="D31" s="1890" t="s">
        <v>2076</v>
      </c>
      <c r="E31" s="1893" t="s">
        <v>2076</v>
      </c>
      <c r="F31" s="1892" t="s">
        <v>2102</v>
      </c>
      <c r="H31" s="1903">
        <f t="shared" si="0"/>
        <v>5</v>
      </c>
      <c r="I31" s="1903">
        <f t="shared" si="1"/>
        <v>5</v>
      </c>
      <c r="J31" s="1903">
        <f t="shared" si="2"/>
        <v>5</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t="s">
        <v>2076</v>
      </c>
      <c r="D33" s="1890" t="s">
        <v>2076</v>
      </c>
      <c r="E33" s="1893" t="s">
        <v>2076</v>
      </c>
      <c r="F33" s="1892" t="s">
        <v>2105</v>
      </c>
      <c r="H33" s="1903">
        <f t="shared" si="0"/>
        <v>5</v>
      </c>
      <c r="I33" s="1903">
        <f t="shared" si="1"/>
        <v>5</v>
      </c>
      <c r="J33" s="1903">
        <f t="shared" si="2"/>
        <v>5</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1458</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1457</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A18" sqref="A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5" t="str">
        <f>COVER!A17</f>
        <v>Goreville CUD 1</v>
      </c>
      <c r="J6" s="2336"/>
      <c r="Q6" s="1686"/>
    </row>
    <row r="7" spans="1:17" x14ac:dyDescent="0.2">
      <c r="A7" s="2337" t="s">
        <v>923</v>
      </c>
      <c r="B7" s="2338"/>
      <c r="C7" s="2338"/>
      <c r="D7" s="2338"/>
      <c r="E7" s="2339"/>
      <c r="F7" s="1018"/>
      <c r="G7" s="1010"/>
      <c r="H7" s="1017" t="s">
        <v>389</v>
      </c>
      <c r="I7" s="2340">
        <f>COVER!A13</f>
        <v>21044001026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164034</v>
      </c>
      <c r="F12" s="1040"/>
      <c r="G12" s="1834">
        <f t="shared" ref="G12:G18" si="0">SUM(E12:F12)</f>
        <v>164034</v>
      </c>
      <c r="H12" s="1041">
        <v>170248</v>
      </c>
      <c r="I12" s="1040"/>
      <c r="J12" s="1834">
        <f t="shared" ref="J12:J18" si="1">SUM(H12:I12)</f>
        <v>170248</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21025</v>
      </c>
      <c r="F18" s="1044">
        <v>0</v>
      </c>
      <c r="G18" s="1835">
        <f t="shared" si="0"/>
        <v>21025</v>
      </c>
      <c r="H18" s="1041">
        <v>21656</v>
      </c>
      <c r="I18" s="1041">
        <v>0</v>
      </c>
      <c r="J18" s="1834">
        <f t="shared" si="1"/>
        <v>21656</v>
      </c>
    </row>
    <row r="19" spans="1:10" ht="12.75" customHeight="1" thickBot="1" x14ac:dyDescent="0.25">
      <c r="A19" s="1036">
        <v>8</v>
      </c>
      <c r="B19" s="1045" t="s">
        <v>1222</v>
      </c>
      <c r="D19" s="1046"/>
      <c r="E19" s="1836">
        <f t="shared" ref="E19:J19" si="2">SUM(E12:E17)-E18</f>
        <v>143009</v>
      </c>
      <c r="F19" s="1836">
        <f t="shared" si="2"/>
        <v>0</v>
      </c>
      <c r="G19" s="1836">
        <f t="shared" si="2"/>
        <v>143009</v>
      </c>
      <c r="H19" s="1836">
        <f t="shared" si="2"/>
        <v>148592</v>
      </c>
      <c r="I19" s="1836">
        <f t="shared" si="2"/>
        <v>0</v>
      </c>
      <c r="J19" s="1836">
        <f t="shared" si="2"/>
        <v>148592</v>
      </c>
    </row>
    <row r="20" spans="1:10" ht="13.5" thickTop="1" x14ac:dyDescent="0.2">
      <c r="A20" s="1036">
        <v>9</v>
      </c>
      <c r="B20" s="2347" t="s">
        <v>1702</v>
      </c>
      <c r="C20" s="2347"/>
      <c r="D20" s="2348"/>
      <c r="E20" s="1047"/>
      <c r="F20" s="1047"/>
      <c r="G20" s="1047"/>
      <c r="H20" s="1047"/>
      <c r="I20" s="1047"/>
      <c r="J20" s="1837">
        <f>IF(AND(G19&gt;0,J19&gt;0),(((J19-G19)/G19)),"Enter Budget Data")</f>
        <v>3.9039501010425914E-2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1942</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2109</v>
      </c>
    </row>
    <row r="6" spans="1:2" x14ac:dyDescent="0.2">
      <c r="A6" s="1069">
        <v>2</v>
      </c>
      <c r="B6" s="329" t="s">
        <v>2108</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Goreville CUD 1</v>
      </c>
    </row>
    <row r="65" spans="2:2" x14ac:dyDescent="0.2">
      <c r="B65" s="1071">
        <f>COVER!A13</f>
        <v>21044001026</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1969</v>
      </c>
      <c r="C4" s="162" t="s">
        <v>1230</v>
      </c>
      <c r="D4" s="169" t="s">
        <v>10</v>
      </c>
      <c r="E4" s="170" t="s">
        <v>22</v>
      </c>
    </row>
    <row r="5" spans="1:5" x14ac:dyDescent="0.2">
      <c r="A5" s="168" t="s">
        <v>1971</v>
      </c>
      <c r="C5" s="162" t="s">
        <v>1230</v>
      </c>
      <c r="D5" s="169" t="s">
        <v>10</v>
      </c>
      <c r="E5" s="170" t="s">
        <v>22</v>
      </c>
    </row>
    <row r="6" spans="1:5" x14ac:dyDescent="0.2">
      <c r="A6" s="168" t="s">
        <v>1970</v>
      </c>
      <c r="C6" s="162" t="s">
        <v>1230</v>
      </c>
      <c r="D6" s="167" t="s">
        <v>11</v>
      </c>
      <c r="E6" s="170" t="s">
        <v>997</v>
      </c>
    </row>
    <row r="7" spans="1:5" x14ac:dyDescent="0.2">
      <c r="A7" s="168" t="s">
        <v>1972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1973</v>
      </c>
      <c r="C11" s="162" t="s">
        <v>1230</v>
      </c>
      <c r="D11" s="169" t="s">
        <v>14</v>
      </c>
      <c r="E11" s="170" t="s">
        <v>1217</v>
      </c>
    </row>
    <row r="12" spans="1:5" x14ac:dyDescent="0.2">
      <c r="B12" s="169" t="s">
        <v>1974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1975</v>
      </c>
      <c r="C15" s="162" t="s">
        <v>1230</v>
      </c>
      <c r="D15" s="169" t="s">
        <v>17</v>
      </c>
      <c r="E15" s="170" t="s">
        <v>656</v>
      </c>
    </row>
    <row r="16" spans="1:5" x14ac:dyDescent="0.2">
      <c r="A16" s="172"/>
      <c r="B16" s="162" t="s">
        <v>1976</v>
      </c>
      <c r="C16" s="162" t="s">
        <v>1230</v>
      </c>
      <c r="D16" s="169" t="s">
        <v>701</v>
      </c>
      <c r="E16" s="170" t="s">
        <v>1099</v>
      </c>
    </row>
    <row r="17" spans="1:5" x14ac:dyDescent="0.2">
      <c r="B17" s="167" t="s">
        <v>1044</v>
      </c>
      <c r="C17" s="162" t="s">
        <v>1230</v>
      </c>
    </row>
    <row r="18" spans="1:5" x14ac:dyDescent="0.2">
      <c r="B18" s="167" t="s">
        <v>1982</v>
      </c>
      <c r="D18" s="169" t="s">
        <v>18</v>
      </c>
      <c r="E18" s="170" t="s">
        <v>1100</v>
      </c>
    </row>
    <row r="19" spans="1:5" x14ac:dyDescent="0.2">
      <c r="A19" s="168" t="s">
        <v>1160</v>
      </c>
      <c r="C19" s="162" t="s">
        <v>1230</v>
      </c>
      <c r="D19" s="169"/>
      <c r="E19" s="171"/>
    </row>
    <row r="20" spans="1:5" x14ac:dyDescent="0.2">
      <c r="B20" s="167" t="s">
        <v>1977</v>
      </c>
      <c r="C20" s="162" t="s">
        <v>1230</v>
      </c>
      <c r="D20" s="169" t="s">
        <v>19</v>
      </c>
      <c r="E20" s="170" t="s">
        <v>53</v>
      </c>
    </row>
    <row r="21" spans="1:5" x14ac:dyDescent="0.2">
      <c r="B21" s="167" t="s">
        <v>1978</v>
      </c>
      <c r="C21" s="162" t="s">
        <v>1230</v>
      </c>
      <c r="D21" s="169" t="s">
        <v>20</v>
      </c>
      <c r="E21" s="170" t="s">
        <v>1707</v>
      </c>
    </row>
    <row r="22" spans="1:5" x14ac:dyDescent="0.2">
      <c r="A22" s="168"/>
      <c r="B22" s="162" t="s">
        <v>1966</v>
      </c>
      <c r="C22" s="162" t="s">
        <v>1230</v>
      </c>
      <c r="D22" s="167" t="s">
        <v>1968</v>
      </c>
      <c r="E22" s="1859" t="s">
        <v>1708</v>
      </c>
    </row>
    <row r="23" spans="1:5" x14ac:dyDescent="0.2">
      <c r="A23" s="168"/>
      <c r="B23" s="162" t="s">
        <v>1967</v>
      </c>
      <c r="D23" s="167" t="s">
        <v>657</v>
      </c>
      <c r="E23" s="1859" t="s">
        <v>1015</v>
      </c>
    </row>
    <row r="24" spans="1:5" x14ac:dyDescent="0.2">
      <c r="A24" s="168" t="s">
        <v>1706</v>
      </c>
      <c r="C24" s="162" t="s">
        <v>1230</v>
      </c>
      <c r="D24" s="167" t="s">
        <v>1459</v>
      </c>
      <c r="E24" s="170" t="s">
        <v>1016</v>
      </c>
    </row>
    <row r="25" spans="1:5" x14ac:dyDescent="0.2">
      <c r="A25" s="168" t="s">
        <v>1979</v>
      </c>
      <c r="C25" s="162" t="s">
        <v>1230</v>
      </c>
      <c r="D25" s="169" t="s">
        <v>21</v>
      </c>
      <c r="E25" s="170" t="s">
        <v>1101</v>
      </c>
    </row>
    <row r="26" spans="1:5" x14ac:dyDescent="0.2">
      <c r="A26" s="168" t="s">
        <v>1980</v>
      </c>
      <c r="C26" s="162" t="s">
        <v>1230</v>
      </c>
      <c r="D26" s="169" t="s">
        <v>583</v>
      </c>
      <c r="E26" s="170" t="s">
        <v>1102</v>
      </c>
    </row>
    <row r="27" spans="1:5" x14ac:dyDescent="0.2">
      <c r="A27" s="168" t="s">
        <v>1981</v>
      </c>
      <c r="C27" s="162" t="s">
        <v>1230</v>
      </c>
      <c r="D27" s="169" t="s">
        <v>577</v>
      </c>
      <c r="E27" s="170" t="s">
        <v>703</v>
      </c>
    </row>
    <row r="28" spans="1:5" x14ac:dyDescent="0.2">
      <c r="A28" s="168" t="s">
        <v>1983</v>
      </c>
      <c r="D28" s="169" t="s">
        <v>704</v>
      </c>
      <c r="E28" s="170" t="s">
        <v>1432</v>
      </c>
    </row>
    <row r="29" spans="1:5" x14ac:dyDescent="0.2">
      <c r="A29" s="168" t="s">
        <v>1984</v>
      </c>
      <c r="D29" s="169" t="s">
        <v>1460</v>
      </c>
      <c r="E29" s="170" t="s">
        <v>1441</v>
      </c>
    </row>
    <row r="30" spans="1:5" x14ac:dyDescent="0.2">
      <c r="A30" s="173" t="s">
        <v>1985</v>
      </c>
      <c r="C30" s="162" t="s">
        <v>1230</v>
      </c>
      <c r="D30" s="169" t="s">
        <v>42</v>
      </c>
      <c r="E30" s="170" t="s">
        <v>1038</v>
      </c>
    </row>
    <row r="31" spans="1:5" x14ac:dyDescent="0.2">
      <c r="A31" s="168" t="s">
        <v>1601</v>
      </c>
      <c r="C31" s="162" t="s">
        <v>1230</v>
      </c>
      <c r="D31" s="167"/>
      <c r="E31" s="171"/>
    </row>
    <row r="32" spans="1:5" x14ac:dyDescent="0.2">
      <c r="B32" s="167" t="s">
        <v>1986</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2016</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4165243</v>
      </c>
      <c r="C8" s="1838">
        <f>'Acct Summary 7-8'!D8</f>
        <v>299524</v>
      </c>
      <c r="D8" s="1838">
        <f>'Acct Summary 7-8'!F8</f>
        <v>282909</v>
      </c>
      <c r="E8" s="1838">
        <f>'Acct Summary 7-8'!I8</f>
        <v>30997</v>
      </c>
      <c r="F8" s="1838">
        <f>SUM(B8:E8)</f>
        <v>4778673</v>
      </c>
    </row>
    <row r="9" spans="1:8" s="1080" customFormat="1" ht="14.25" customHeight="1" thickBot="1" x14ac:dyDescent="0.25">
      <c r="A9" s="1079" t="s">
        <v>1435</v>
      </c>
      <c r="B9" s="1839">
        <f>'Acct Summary 7-8'!C17</f>
        <v>4082601</v>
      </c>
      <c r="C9" s="1839">
        <f>'Acct Summary 7-8'!D17</f>
        <v>354368</v>
      </c>
      <c r="D9" s="1839">
        <f>'Acct Summary 7-8'!F17</f>
        <v>252180</v>
      </c>
      <c r="E9" s="1838"/>
      <c r="F9" s="1838">
        <f>SUM(B9:E9)</f>
        <v>4689149</v>
      </c>
    </row>
    <row r="10" spans="1:8" s="1080" customFormat="1" ht="14.25" thickTop="1" thickBot="1" x14ac:dyDescent="0.25">
      <c r="A10" s="1081" t="s">
        <v>1436</v>
      </c>
      <c r="B10" s="1840">
        <f>(B8-B9)</f>
        <v>82642</v>
      </c>
      <c r="C10" s="1840">
        <f>(C8-C9)</f>
        <v>-54844</v>
      </c>
      <c r="D10" s="1840">
        <f>(D8-D9)</f>
        <v>30729</v>
      </c>
      <c r="E10" s="1839">
        <f>(E8-E9)</f>
        <v>30997</v>
      </c>
      <c r="F10" s="1841">
        <f>SUM(F8-F9)</f>
        <v>89524</v>
      </c>
    </row>
    <row r="11" spans="1:8" s="1080" customFormat="1" ht="14.25" thickTop="1" thickBot="1" x14ac:dyDescent="0.25">
      <c r="A11" s="1082" t="s">
        <v>1784</v>
      </c>
      <c r="B11" s="1842">
        <f>'Acct Summary 7-8'!C81</f>
        <v>2139757</v>
      </c>
      <c r="C11" s="1842">
        <f>'Acct Summary 7-8'!D81</f>
        <v>9821</v>
      </c>
      <c r="D11" s="1842">
        <f>'Acct Summary 7-8'!F81</f>
        <v>316475</v>
      </c>
      <c r="E11" s="1842">
        <f>'Acct Summary 7-8'!I81</f>
        <v>395353</v>
      </c>
      <c r="F11" s="1843">
        <f>SUM(B11:E11)</f>
        <v>2861406</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21044001026</v>
      </c>
    </row>
    <row r="3" spans="1:2" x14ac:dyDescent="0.2">
      <c r="A3" t="s">
        <v>1012</v>
      </c>
      <c r="B3" s="138" t="str">
        <f>COVER!A15</f>
        <v>JOHNSON</v>
      </c>
    </row>
    <row r="4" spans="1:2" x14ac:dyDescent="0.2">
      <c r="A4" t="s">
        <v>1063</v>
      </c>
      <c r="B4" s="138" t="str">
        <f>COVER!A17</f>
        <v>Goreville CUD 1</v>
      </c>
    </row>
    <row r="5" spans="1:2" x14ac:dyDescent="0.2">
      <c r="A5" t="s">
        <v>727</v>
      </c>
      <c r="B5" s="138" t="str">
        <f>COVER!A38</f>
        <v>DR STEVEN D WEBB</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066-005023</v>
      </c>
    </row>
    <row r="16" spans="1:2" x14ac:dyDescent="0.2">
      <c r="A16" t="s">
        <v>441</v>
      </c>
      <c r="B16" s="138" t="str">
        <f>COVER!T13</f>
        <v>BEUSSINK &amp; HICKAM PC</v>
      </c>
    </row>
    <row r="17" spans="1:2" x14ac:dyDescent="0.2">
      <c r="A17" t="s">
        <v>938</v>
      </c>
      <c r="B17" s="138" t="str">
        <f>COVER!T15</f>
        <v>SCOTT A HICKAM</v>
      </c>
    </row>
    <row r="18" spans="1:2" x14ac:dyDescent="0.2">
      <c r="A18" t="s">
        <v>1211</v>
      </c>
      <c r="B18" s="138" t="str">
        <f>COVER!T17</f>
        <v>139 W VIENNA ST - PO BOX 556</v>
      </c>
    </row>
    <row r="19" spans="1:2" x14ac:dyDescent="0.2">
      <c r="A19" t="s">
        <v>940</v>
      </c>
      <c r="B19" s="138" t="str">
        <f>COVER!T25</f>
        <v>shickam@frontier.com</v>
      </c>
    </row>
    <row r="20" spans="1:2" x14ac:dyDescent="0.2">
      <c r="A20" t="s">
        <v>941</v>
      </c>
      <c r="B20" s="138" t="str">
        <f>COVER!T19</f>
        <v>ANNA</v>
      </c>
    </row>
    <row r="21" spans="1:2" x14ac:dyDescent="0.2">
      <c r="A21" t="s">
        <v>499</v>
      </c>
      <c r="B21" s="138" t="str">
        <f>COVER!X19</f>
        <v>IL</v>
      </c>
    </row>
    <row r="22" spans="1:2" x14ac:dyDescent="0.2">
      <c r="A22" t="s">
        <v>942</v>
      </c>
      <c r="B22" s="138">
        <f>COVER!Z19</f>
        <v>62906</v>
      </c>
    </row>
    <row r="23" spans="1:2" x14ac:dyDescent="0.2">
      <c r="A23" t="s">
        <v>1213</v>
      </c>
      <c r="B23" s="138" t="str">
        <f>COVER!T21</f>
        <v>618-833-2721</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1617873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2139757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2090983</v>
      </c>
      <c r="D92" s="2" t="str">
        <f t="shared" si="0"/>
        <v>Error?</v>
      </c>
    </row>
    <row r="93" spans="1:4" x14ac:dyDescent="0.2">
      <c r="A93" s="5">
        <v>32</v>
      </c>
      <c r="B93" s="138">
        <f>'Assets-Liab 5-6'!C41</f>
        <v>2139757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9821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9821</v>
      </c>
      <c r="D123" s="2" t="str">
        <f t="shared" si="0"/>
        <v>Error?</v>
      </c>
    </row>
    <row r="124" spans="1:4" x14ac:dyDescent="0.2">
      <c r="A124" s="5">
        <v>63</v>
      </c>
      <c r="B124" s="138">
        <f>'Assets-Liab 5-6'!D41</f>
        <v>9821</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130526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130526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316475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316475</v>
      </c>
      <c r="D170" s="2" t="str">
        <f t="shared" si="1"/>
        <v>Error?</v>
      </c>
    </row>
    <row r="171" spans="1:4" x14ac:dyDescent="0.2">
      <c r="A171" s="5">
        <v>110</v>
      </c>
      <c r="B171" s="138">
        <f>'Assets-Liab 5-6'!F41</f>
        <v>316475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125766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125766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404424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404424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376251</v>
      </c>
      <c r="D273" s="2" t="str">
        <f t="shared" si="3"/>
        <v>Error?</v>
      </c>
    </row>
    <row r="274" spans="1:4" x14ac:dyDescent="0.2">
      <c r="A274" s="5">
        <v>213</v>
      </c>
      <c r="B274" s="138">
        <f>'Assets-Liab 5-6'!M17</f>
        <v>6514946</v>
      </c>
      <c r="D274" s="2" t="str">
        <f t="shared" si="3"/>
        <v>Error?</v>
      </c>
    </row>
    <row r="275" spans="1:4" x14ac:dyDescent="0.2">
      <c r="A275" s="5">
        <v>214</v>
      </c>
      <c r="B275" s="138">
        <f>'Assets-Liab 5-6'!M18</f>
        <v>576560</v>
      </c>
      <c r="D275" s="2" t="str">
        <f t="shared" si="3"/>
        <v>Error?</v>
      </c>
    </row>
    <row r="276" spans="1:4" x14ac:dyDescent="0.2">
      <c r="A276" s="5">
        <v>215</v>
      </c>
      <c r="B276" s="138">
        <f>'Assets-Liab 5-6'!M19</f>
        <v>1223504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10562800</v>
      </c>
      <c r="C279" s="2" t="s">
        <v>593</v>
      </c>
      <c r="D279" s="2" t="str">
        <f t="shared" si="3"/>
        <v>Error?</v>
      </c>
    </row>
    <row r="280" spans="1:4" x14ac:dyDescent="0.2">
      <c r="A280" s="5">
        <v>219</v>
      </c>
      <c r="B280" s="138">
        <f>'Assets-Liab 5-6'!M40</f>
        <v>10562800</v>
      </c>
      <c r="D280" s="2" t="str">
        <f t="shared" si="3"/>
        <v>Error?</v>
      </c>
    </row>
    <row r="281" spans="1:4" x14ac:dyDescent="0.2">
      <c r="A281" s="5">
        <v>220</v>
      </c>
      <c r="B281" s="138">
        <f>'Assets-Liab 5-6'!M41</f>
        <v>10562800</v>
      </c>
      <c r="C281" s="2" t="s">
        <v>593</v>
      </c>
      <c r="D281" s="2" t="str">
        <f t="shared" si="3"/>
        <v>Error?</v>
      </c>
    </row>
    <row r="282" spans="1:4" x14ac:dyDescent="0.2">
      <c r="A282" s="5">
        <v>221</v>
      </c>
      <c r="B282" s="138">
        <f>'Assets-Liab 5-6'!N21</f>
        <v>130526</v>
      </c>
      <c r="D282" s="2" t="str">
        <f t="shared" si="3"/>
        <v>Error?</v>
      </c>
    </row>
    <row r="283" spans="1:4" x14ac:dyDescent="0.2">
      <c r="A283" s="5">
        <v>222</v>
      </c>
      <c r="B283" s="138">
        <f>'Assets-Liab 5-6'!N22</f>
        <v>5512580</v>
      </c>
      <c r="D283" s="2" t="str">
        <f t="shared" si="3"/>
        <v>Error?</v>
      </c>
    </row>
    <row r="284" spans="1:4" x14ac:dyDescent="0.2">
      <c r="A284" s="5">
        <v>223</v>
      </c>
      <c r="B284" s="138">
        <f>'Assets-Liab 5-6'!N23</f>
        <v>5643106</v>
      </c>
      <c r="C284" s="2" t="s">
        <v>593</v>
      </c>
      <c r="D284" s="2" t="str">
        <f t="shared" si="3"/>
        <v>Error?</v>
      </c>
    </row>
    <row r="285" spans="1:4" x14ac:dyDescent="0.2">
      <c r="A285" s="5">
        <v>224</v>
      </c>
      <c r="B285" s="138">
        <f>'Assets-Liab 5-6'!N36</f>
        <v>5643106</v>
      </c>
      <c r="D285" s="2" t="str">
        <f t="shared" si="3"/>
        <v>Error?</v>
      </c>
    </row>
    <row r="286" spans="1:4" x14ac:dyDescent="0.2">
      <c r="A286" s="10">
        <v>225</v>
      </c>
      <c r="D286" s="2" t="str">
        <f t="shared" si="3"/>
        <v>OK</v>
      </c>
    </row>
    <row r="287" spans="1:4" x14ac:dyDescent="0.2">
      <c r="A287" s="5">
        <v>226</v>
      </c>
      <c r="B287" s="138">
        <f>'Assets-Liab 5-6'!N37</f>
        <v>5643106</v>
      </c>
      <c r="C287" s="2" t="s">
        <v>593</v>
      </c>
      <c r="D287" s="2" t="str">
        <f t="shared" si="3"/>
        <v>Error?</v>
      </c>
    </row>
    <row r="288" spans="1:4" x14ac:dyDescent="0.2">
      <c r="A288" s="5">
        <v>227</v>
      </c>
      <c r="B288" s="138">
        <f>'Assets-Liab 5-6'!N41</f>
        <v>5643106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34575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1724125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1085</v>
      </c>
      <c r="D717" s="2" t="str">
        <f t="shared" si="10"/>
        <v>Error?</v>
      </c>
    </row>
    <row r="718" spans="1:4" x14ac:dyDescent="0.2">
      <c r="A718" s="5">
        <v>657</v>
      </c>
      <c r="B718" s="138">
        <f>'Expenditures 15-22'!C14</f>
        <v>43971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2279542</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69594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6328</v>
      </c>
      <c r="D726" s="2" t="str">
        <f t="shared" si="10"/>
        <v>Error?</v>
      </c>
    </row>
    <row r="727" spans="1:4" x14ac:dyDescent="0.2">
      <c r="A727" s="5">
        <v>666</v>
      </c>
      <c r="B727" s="138">
        <f>'Expenditures 15-22'!C42</f>
        <v>75922</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58752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58752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91988</v>
      </c>
      <c r="D733" s="2" t="str">
        <f t="shared" si="10"/>
        <v>Error?</v>
      </c>
    </row>
    <row r="734" spans="1:4" x14ac:dyDescent="0.2">
      <c r="A734" s="5">
        <v>673</v>
      </c>
      <c r="B734" s="138">
        <f>'Expenditures 15-22'!C53</f>
        <v>91988</v>
      </c>
      <c r="C734" s="2" t="s">
        <v>593</v>
      </c>
      <c r="D734" s="2" t="str">
        <f t="shared" si="10"/>
        <v>Error?</v>
      </c>
    </row>
    <row r="735" spans="1:4" x14ac:dyDescent="0.2">
      <c r="A735" s="5">
        <v>674</v>
      </c>
      <c r="B735" s="138">
        <f>'Expenditures 15-22'!C55</f>
        <v>143489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143489</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84347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57898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142245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512396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2791938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293643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v>
      </c>
      <c r="D775" s="2" t="str">
        <f t="shared" si="11"/>
        <v>Error?</v>
      </c>
    </row>
    <row r="776" spans="1:4" x14ac:dyDescent="0.2">
      <c r="A776" s="5">
        <v>715</v>
      </c>
      <c r="B776" s="138">
        <f>'Expenditures 15-22'!D14</f>
        <v>3222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401999</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15984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15984</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11768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11768</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59470</v>
      </c>
      <c r="D791" s="2" t="str">
        <f t="shared" si="11"/>
        <v>Error?</v>
      </c>
    </row>
    <row r="792" spans="1:4" x14ac:dyDescent="0.2">
      <c r="A792" s="5">
        <v>731</v>
      </c>
      <c r="B792" s="138">
        <f>'Expenditures 15-22'!D53</f>
        <v>59470</v>
      </c>
      <c r="C792" s="2" t="s">
        <v>593</v>
      </c>
      <c r="D792" s="2" t="str">
        <f t="shared" si="11"/>
        <v>Error?</v>
      </c>
    </row>
    <row r="793" spans="1:4" x14ac:dyDescent="0.2">
      <c r="A793" s="5">
        <v>732</v>
      </c>
      <c r="B793" s="138">
        <f>'Expenditures 15-22'!D55</f>
        <v>29466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29466</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8261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124949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526948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52754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68717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185753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906</v>
      </c>
      <c r="D838" s="2" t="str">
        <f t="shared" si="12"/>
        <v>Error?</v>
      </c>
    </row>
    <row r="839" spans="1:4" x14ac:dyDescent="0.2">
      <c r="A839" s="5">
        <v>778</v>
      </c>
      <c r="B839" s="138">
        <f>'Expenditures 15-22'!E38</f>
        <v>288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1194</v>
      </c>
      <c r="C843" s="2" t="s">
        <v>593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593</v>
      </c>
      <c r="D847" s="2" t="str">
        <f t="shared" si="12"/>
        <v>Error?</v>
      </c>
    </row>
    <row r="848" spans="1:4" x14ac:dyDescent="0.2">
      <c r="A848" s="5">
        <v>787</v>
      </c>
      <c r="B848" s="138">
        <f>'Expenditures 15-22'!E49</f>
        <v>53857</v>
      </c>
      <c r="D848" s="2" t="str">
        <f t="shared" si="12"/>
        <v>Error?</v>
      </c>
    </row>
    <row r="849" spans="1:4" x14ac:dyDescent="0.2">
      <c r="A849" s="5">
        <v>788</v>
      </c>
      <c r="B849" s="138">
        <f>'Expenditures 15-22'!E50</f>
        <v>7505</v>
      </c>
      <c r="D849" s="2" t="str">
        <f t="shared" si="12"/>
        <v>Error?</v>
      </c>
    </row>
    <row r="850" spans="1:4" x14ac:dyDescent="0.2">
      <c r="A850" s="5">
        <v>789</v>
      </c>
      <c r="B850" s="138">
        <f>'Expenditures 15-22'!E53</f>
        <v>61362</v>
      </c>
      <c r="C850" s="2" t="s">
        <v>593</v>
      </c>
      <c r="D850" s="2" t="str">
        <f t="shared" si="12"/>
        <v>Error?</v>
      </c>
    </row>
    <row r="851" spans="1:4" x14ac:dyDescent="0.2">
      <c r="A851" s="5">
        <v>790</v>
      </c>
      <c r="B851" s="138">
        <f>'Expenditures 15-22'!E55</f>
        <v>1210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1210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24997</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88763</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485880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58646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11985</v>
      </c>
      <c r="D891" s="2" t="str">
        <f t="shared" si="12"/>
        <v>Error?</v>
      </c>
    </row>
    <row r="892" spans="1:4" x14ac:dyDescent="0.2">
      <c r="A892" s="5">
        <v>831</v>
      </c>
      <c r="B892" s="138">
        <f>'Expenditures 15-22'!F14</f>
        <v>11586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123930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5676</v>
      </c>
      <c r="D896" s="2" t="str">
        <f t="shared" si="13"/>
        <v>Error?</v>
      </c>
    </row>
    <row r="897" spans="1:4" x14ac:dyDescent="0.2">
      <c r="A897" s="5">
        <v>836</v>
      </c>
      <c r="B897" s="138">
        <f>'Expenditures 15-22'!F38</f>
        <v>1445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7121</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6956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6956</v>
      </c>
      <c r="C905" s="2" t="s">
        <v>593</v>
      </c>
      <c r="D905" s="2" t="str">
        <f t="shared" si="13"/>
        <v>Error?</v>
      </c>
    </row>
    <row r="906" spans="1:4" x14ac:dyDescent="0.2">
      <c r="A906" s="5">
        <v>845</v>
      </c>
      <c r="B906" s="138">
        <f>'Expenditures 15-22'!F49</f>
        <v>4820</v>
      </c>
      <c r="D906" s="2" t="str">
        <f t="shared" si="13"/>
        <v>Error?</v>
      </c>
    </row>
    <row r="907" spans="1:4" x14ac:dyDescent="0.2">
      <c r="A907" s="5">
        <v>846</v>
      </c>
      <c r="B907" s="138">
        <f>'Expenditures 15-22'!F50</f>
        <v>370</v>
      </c>
      <c r="D907" s="2" t="str">
        <f t="shared" si="13"/>
        <v>Error?</v>
      </c>
    </row>
    <row r="908" spans="1:4" x14ac:dyDescent="0.2">
      <c r="A908" s="5">
        <v>847</v>
      </c>
      <c r="B908" s="138">
        <f>'Expenditures 15-22'!F53</f>
        <v>5190</v>
      </c>
      <c r="C908" s="2" t="s">
        <v>593</v>
      </c>
      <c r="D908" s="2" t="str">
        <f t="shared" si="13"/>
        <v>Error?</v>
      </c>
    </row>
    <row r="909" spans="1:4" x14ac:dyDescent="0.2">
      <c r="A909" s="5">
        <v>848</v>
      </c>
      <c r="B909" s="138">
        <f>'Expenditures 15-22'!F55</f>
        <v>3368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3368</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92472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95930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118565</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242495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9513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19159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19159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2864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v>
      </c>
      <c r="C1021" s="2" t="s">
        <v>593</v>
      </c>
      <c r="D1021" s="2" t="str">
        <f t="shared" si="14"/>
        <v>Error?</v>
      </c>
    </row>
    <row r="1022" spans="1:4" x14ac:dyDescent="0.2">
      <c r="A1022" s="5">
        <v>961</v>
      </c>
      <c r="B1022" s="138">
        <f>'Expenditures 15-22'!H49</f>
        <v>5581</v>
      </c>
      <c r="D1022" s="2" t="str">
        <f t="shared" si="14"/>
        <v>Error?</v>
      </c>
    </row>
    <row r="1023" spans="1:4" x14ac:dyDescent="0.2">
      <c r="A1023" s="5">
        <v>962</v>
      </c>
      <c r="B1023" s="138">
        <f>'Expenditures 15-22'!H50</f>
        <v>4701</v>
      </c>
      <c r="D1023" s="2" t="str">
        <f t="shared" ref="D1023:D1086" si="15">IF(ISBLANK(B1023),"OK",IF(A1023-B1023=0,"OK","Error?"))</f>
        <v>Error?</v>
      </c>
    </row>
    <row r="1024" spans="1:4" x14ac:dyDescent="0.2">
      <c r="A1024" s="5">
        <v>963</v>
      </c>
      <c r="B1024" s="138">
        <f>'Expenditures 15-22'!H53</f>
        <v>10282</v>
      </c>
      <c r="C1024" s="2" t="s">
        <v>593</v>
      </c>
      <c r="D1024" s="2" t="str">
        <f t="shared" si="15"/>
        <v>Error?</v>
      </c>
    </row>
    <row r="1025" spans="1:4" x14ac:dyDescent="0.2">
      <c r="A1025" s="5">
        <v>964</v>
      </c>
      <c r="B1025" s="138">
        <f>'Expenditures 15-22'!H55</f>
        <v>585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585</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2405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13317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16181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2136588</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22600</v>
      </c>
      <c r="C1105" s="2" t="s">
        <v>593</v>
      </c>
      <c r="D1105" s="2" t="str">
        <f t="shared" si="16"/>
        <v>Error?</v>
      </c>
    </row>
    <row r="1106" spans="1:4" x14ac:dyDescent="0.2">
      <c r="A1106" s="5">
        <v>1045</v>
      </c>
      <c r="B1106" s="138">
        <f>'Expenditures 15-22'!K14</f>
        <v>127496</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3013247</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92160</v>
      </c>
      <c r="C1110" s="2" t="s">
        <v>593</v>
      </c>
      <c r="D1110" s="2" t="str">
        <f t="shared" si="16"/>
        <v>Error?</v>
      </c>
    </row>
    <row r="1111" spans="1:4" x14ac:dyDescent="0.2">
      <c r="A1111" s="5">
        <v>1050</v>
      </c>
      <c r="B1111" s="138">
        <f>'Expenditures 15-22'!K38</f>
        <v>1733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6328</v>
      </c>
      <c r="C1114" s="2" t="s">
        <v>593</v>
      </c>
      <c r="D1114" s="2" t="str">
        <f t="shared" si="16"/>
        <v>Error?</v>
      </c>
    </row>
    <row r="1115" spans="1:4" x14ac:dyDescent="0.2">
      <c r="A1115" s="5">
        <v>1054</v>
      </c>
      <c r="B1115" s="138">
        <f>'Expenditures 15-22'!K42</f>
        <v>100221</v>
      </c>
      <c r="C1115" s="2" t="s">
        <v>593</v>
      </c>
      <c r="D1115" s="2" t="str">
        <f t="shared" si="16"/>
        <v>Error?</v>
      </c>
    </row>
    <row r="1116" spans="1:4" x14ac:dyDescent="0.2">
      <c r="A1116" s="5">
        <v>1055</v>
      </c>
      <c r="B1116" s="138">
        <f>'Expenditures 15-22'!K44</f>
        <v>0</v>
      </c>
      <c r="C1116" s="2" t="s">
        <v>593</v>
      </c>
      <c r="D1116" s="2" t="str">
        <f t="shared" si="16"/>
        <v>Error?</v>
      </c>
    </row>
    <row r="1117" spans="1:4" x14ac:dyDescent="0.2">
      <c r="A1117" s="5">
        <v>1056</v>
      </c>
      <c r="B1117" s="138">
        <f>'Expenditures 15-22'!K45</f>
        <v>77521</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77521</v>
      </c>
      <c r="C1119" s="2" t="s">
        <v>593</v>
      </c>
      <c r="D1119" s="2" t="str">
        <f t="shared" si="16"/>
        <v>Error?</v>
      </c>
    </row>
    <row r="1120" spans="1:4" x14ac:dyDescent="0.2">
      <c r="A1120" s="5">
        <v>1059</v>
      </c>
      <c r="B1120" s="138">
        <f>'Expenditures 15-22'!K49</f>
        <v>64258</v>
      </c>
      <c r="C1120" s="2" t="s">
        <v>593</v>
      </c>
      <c r="D1120" s="2" t="str">
        <f t="shared" si="16"/>
        <v>Error?</v>
      </c>
    </row>
    <row r="1121" spans="1:4" x14ac:dyDescent="0.2">
      <c r="A1121" s="5">
        <v>1060</v>
      </c>
      <c r="B1121" s="138">
        <f>'Expenditures 15-22'!K50</f>
        <v>164034</v>
      </c>
      <c r="C1121" s="2" t="s">
        <v>593</v>
      </c>
      <c r="D1121" s="2" t="str">
        <f t="shared" si="16"/>
        <v>Error?</v>
      </c>
    </row>
    <row r="1122" spans="1:4" x14ac:dyDescent="0.2">
      <c r="A1122" s="5">
        <v>1061</v>
      </c>
      <c r="B1122" s="138">
        <f>'Expenditures 15-22'!K53</f>
        <v>228292</v>
      </c>
      <c r="C1122" s="2" t="s">
        <v>593</v>
      </c>
      <c r="D1122" s="2" t="str">
        <f t="shared" si="16"/>
        <v>Error?</v>
      </c>
    </row>
    <row r="1123" spans="1:4" x14ac:dyDescent="0.2">
      <c r="A1123" s="5">
        <v>1062</v>
      </c>
      <c r="B1123" s="138">
        <f>'Expenditures 15-22'!K55</f>
        <v>178118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178118</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104383</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169455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273838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857990</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211364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4082601</v>
      </c>
      <c r="C1152" s="2" t="s">
        <v>593</v>
      </c>
      <c r="D1152" s="2" t="str">
        <f t="shared" si="17"/>
        <v>Error?</v>
      </c>
    </row>
    <row r="1153" spans="1:4" x14ac:dyDescent="0.2">
      <c r="A1153" s="5">
        <v>1092</v>
      </c>
      <c r="B1153" s="138">
        <f>'Expenditures 15-22'!K115</f>
        <v>82642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76682</v>
      </c>
      <c r="D1221" s="2" t="str">
        <f t="shared" si="18"/>
        <v>Error?</v>
      </c>
    </row>
    <row r="1222" spans="1:4" x14ac:dyDescent="0.2">
      <c r="A1222" s="10">
        <v>1161</v>
      </c>
      <c r="D1222" s="2" t="str">
        <f t="shared" si="18"/>
        <v>OK</v>
      </c>
    </row>
    <row r="1223" spans="1:4" x14ac:dyDescent="0.2">
      <c r="A1223" s="5">
        <v>1162</v>
      </c>
      <c r="B1223" s="138">
        <f>'Expenditures 15-22'!C127</f>
        <v>76682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76682</v>
      </c>
      <c r="C1225" s="2" t="s">
        <v>593</v>
      </c>
      <c r="D1225" s="2" t="str">
        <f t="shared" si="18"/>
        <v>Error?</v>
      </c>
    </row>
    <row r="1226" spans="1:4" x14ac:dyDescent="0.2">
      <c r="A1226" s="5">
        <v>1165</v>
      </c>
      <c r="B1226" s="138">
        <f>'Expenditures 15-22'!C151</f>
        <v>76682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7908</v>
      </c>
      <c r="D1229" s="2" t="str">
        <f t="shared" si="18"/>
        <v>Error?</v>
      </c>
    </row>
    <row r="1230" spans="1:4" x14ac:dyDescent="0.2">
      <c r="A1230" s="10">
        <v>1169</v>
      </c>
      <c r="D1230" s="2" t="str">
        <f t="shared" si="18"/>
        <v>OK</v>
      </c>
    </row>
    <row r="1231" spans="1:4" x14ac:dyDescent="0.2">
      <c r="A1231" s="5">
        <v>1170</v>
      </c>
      <c r="B1231" s="138">
        <f>'Expenditures 15-22'!D127</f>
        <v>7908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7908</v>
      </c>
      <c r="C1233" s="2" t="s">
        <v>593</v>
      </c>
      <c r="D1233" s="2" t="str">
        <f t="shared" si="18"/>
        <v>Error?</v>
      </c>
    </row>
    <row r="1234" spans="1:4" x14ac:dyDescent="0.2">
      <c r="A1234" s="5">
        <v>1173</v>
      </c>
      <c r="B1234" s="138">
        <f>'Expenditures 15-22'!D151</f>
        <v>7908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167575</v>
      </c>
      <c r="D1237" s="2" t="str">
        <f t="shared" si="18"/>
        <v>Error?</v>
      </c>
    </row>
    <row r="1238" spans="1:4" x14ac:dyDescent="0.2">
      <c r="A1238" s="10">
        <v>1177</v>
      </c>
      <c r="D1238" s="2" t="str">
        <f t="shared" si="18"/>
        <v>OK</v>
      </c>
    </row>
    <row r="1239" spans="1:4" x14ac:dyDescent="0.2">
      <c r="A1239" s="5">
        <v>1178</v>
      </c>
      <c r="B1239" s="138">
        <f>'Expenditures 15-22'!E127</f>
        <v>167575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167575</v>
      </c>
      <c r="C1241" s="2" t="s">
        <v>593</v>
      </c>
      <c r="D1241" s="2" t="str">
        <f t="shared" si="18"/>
        <v>Error?</v>
      </c>
    </row>
    <row r="1242" spans="1:4" x14ac:dyDescent="0.2">
      <c r="A1242" s="5">
        <v>1181</v>
      </c>
      <c r="B1242" s="138">
        <f>'Expenditures 15-22'!E151</f>
        <v>167575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92916</v>
      </c>
      <c r="D1245" s="2" t="str">
        <f t="shared" si="18"/>
        <v>Error?</v>
      </c>
    </row>
    <row r="1246" spans="1:4" x14ac:dyDescent="0.2">
      <c r="A1246" s="10">
        <v>1185</v>
      </c>
      <c r="D1246" s="2" t="str">
        <f t="shared" si="18"/>
        <v>OK</v>
      </c>
    </row>
    <row r="1247" spans="1:4" x14ac:dyDescent="0.2">
      <c r="A1247" s="5">
        <v>1186</v>
      </c>
      <c r="B1247" s="138">
        <f>'Expenditures 15-22'!F127</f>
        <v>92916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92916</v>
      </c>
      <c r="C1249" s="2" t="s">
        <v>593</v>
      </c>
      <c r="D1249" s="2" t="str">
        <f t="shared" si="18"/>
        <v>Error?</v>
      </c>
    </row>
    <row r="1250" spans="1:4" x14ac:dyDescent="0.2">
      <c r="A1250" s="5">
        <v>1189</v>
      </c>
      <c r="B1250" s="138">
        <f>'Expenditures 15-22'!F151</f>
        <v>92916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9287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9287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9287</v>
      </c>
      <c r="C1258" s="2" t="s">
        <v>593</v>
      </c>
      <c r="D1258" s="2" t="str">
        <f t="shared" si="18"/>
        <v>Error?</v>
      </c>
    </row>
    <row r="1259" spans="1:4" x14ac:dyDescent="0.2">
      <c r="A1259" s="5">
        <v>1198</v>
      </c>
      <c r="B1259" s="138">
        <f>'Expenditures 15-22'!G151</f>
        <v>9287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354368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354368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354368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354368</v>
      </c>
      <c r="C1288" s="2" t="s">
        <v>593</v>
      </c>
      <c r="D1288" s="2" t="str">
        <f t="shared" si="19"/>
        <v>Error?</v>
      </c>
    </row>
    <row r="1289" spans="1:4" x14ac:dyDescent="0.2">
      <c r="A1289" s="5">
        <v>1228</v>
      </c>
      <c r="B1289" s="138">
        <f>'Expenditures 15-22'!K152</f>
        <v>-54844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255250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1057988</v>
      </c>
      <c r="D1315" s="2" t="str">
        <f t="shared" si="19"/>
        <v>Error?</v>
      </c>
    </row>
    <row r="1316" spans="1:4" x14ac:dyDescent="0.2">
      <c r="A1316" s="5">
        <v>1255</v>
      </c>
      <c r="B1316" s="138">
        <f>'Expenditures 15-22'!H171</f>
        <v>2450</v>
      </c>
      <c r="D1316" s="2" t="str">
        <f t="shared" si="19"/>
        <v>Error?</v>
      </c>
    </row>
    <row r="1317" spans="1:4" x14ac:dyDescent="0.2">
      <c r="A1317" s="5">
        <v>1256</v>
      </c>
      <c r="B1317" s="138">
        <f>'Expenditures 15-22'!H172</f>
        <v>1315688</v>
      </c>
      <c r="C1317" s="2" t="s">
        <v>593</v>
      </c>
      <c r="D1317" s="2" t="str">
        <f t="shared" si="19"/>
        <v>Error?</v>
      </c>
    </row>
    <row r="1318" spans="1:4" x14ac:dyDescent="0.2">
      <c r="A1318" s="5">
        <v>1257</v>
      </c>
      <c r="B1318" s="138">
        <f>'Expenditures 15-22'!H174</f>
        <v>1315688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255250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1057988</v>
      </c>
      <c r="C1329" s="2" t="s">
        <v>593</v>
      </c>
      <c r="D1329" s="2" t="str">
        <f t="shared" si="19"/>
        <v>Error?</v>
      </c>
    </row>
    <row r="1330" spans="1:4" x14ac:dyDescent="0.2">
      <c r="A1330" s="5">
        <v>1269</v>
      </c>
      <c r="B1330" s="138">
        <f>'Expenditures 15-22'!K171</f>
        <v>2450</v>
      </c>
      <c r="C1330" s="2" t="s">
        <v>593</v>
      </c>
      <c r="D1330" s="2" t="str">
        <f t="shared" si="19"/>
        <v>Error?</v>
      </c>
    </row>
    <row r="1331" spans="1:4" x14ac:dyDescent="0.2">
      <c r="A1331" s="5">
        <v>1270</v>
      </c>
      <c r="B1331" s="138">
        <f>'Expenditures 15-22'!K172</f>
        <v>1315688</v>
      </c>
      <c r="C1331" s="2" t="s">
        <v>593</v>
      </c>
      <c r="D1331" s="2" t="str">
        <f t="shared" si="19"/>
        <v>Error?</v>
      </c>
    </row>
    <row r="1332" spans="1:4" x14ac:dyDescent="0.2">
      <c r="A1332" s="5">
        <v>1271</v>
      </c>
      <c r="B1332" s="138">
        <f>'Expenditures 15-22'!K174</f>
        <v>1315688</v>
      </c>
      <c r="C1332" s="2" t="s">
        <v>593</v>
      </c>
      <c r="D1332" s="2" t="str">
        <f t="shared" si="19"/>
        <v>Error?</v>
      </c>
    </row>
    <row r="1333" spans="1:4" x14ac:dyDescent="0.2">
      <c r="A1333" s="5">
        <v>1272</v>
      </c>
      <c r="B1333" s="138">
        <f>'Expenditures 15-22'!K175</f>
        <v>-847829</v>
      </c>
      <c r="C1333" s="2" t="s">
        <v>593</v>
      </c>
      <c r="D1333" s="2" t="str">
        <f t="shared" si="19"/>
        <v>Error?</v>
      </c>
    </row>
    <row r="1334" spans="1:4" x14ac:dyDescent="0.2">
      <c r="A1334" s="10">
        <v>1273</v>
      </c>
      <c r="D1334" s="2" t="str">
        <f t="shared" si="19"/>
        <v>OK</v>
      </c>
    </row>
    <row r="1335" spans="1:4" x14ac:dyDescent="0.2">
      <c r="A1335" s="5">
        <v>1274</v>
      </c>
      <c r="B1335" s="138">
        <f>'Expenditures 15-22'!C182</f>
        <v>6285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6285</v>
      </c>
      <c r="C1339" s="2" t="s">
        <v>593</v>
      </c>
      <c r="D1339" s="2" t="str">
        <f t="shared" si="19"/>
        <v>Error?</v>
      </c>
    </row>
    <row r="1340" spans="1:4" x14ac:dyDescent="0.2">
      <c r="A1340" s="5">
        <v>1279</v>
      </c>
      <c r="B1340" s="138">
        <f>'Expenditures 15-22'!C210</f>
        <v>6285</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212285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212285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212285</v>
      </c>
      <c r="C1353" s="2" t="s">
        <v>593</v>
      </c>
      <c r="D1353" s="2" t="str">
        <f t="shared" si="20"/>
        <v>Error?</v>
      </c>
    </row>
    <row r="1354" spans="1:4" x14ac:dyDescent="0.2">
      <c r="A1354" s="5">
        <v>1293</v>
      </c>
      <c r="B1354" s="138">
        <f>'Expenditures 15-22'!F182</f>
        <v>33610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33610</v>
      </c>
      <c r="C1358" s="2" t="s">
        <v>593</v>
      </c>
      <c r="D1358" s="2" t="str">
        <f t="shared" si="20"/>
        <v>Error?</v>
      </c>
    </row>
    <row r="1359" spans="1:4" x14ac:dyDescent="0.2">
      <c r="A1359" s="5">
        <v>1298</v>
      </c>
      <c r="B1359" s="138">
        <f>'Expenditures 15-22'!F210</f>
        <v>33610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252180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252180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252180</v>
      </c>
      <c r="C1388" s="2" t="s">
        <v>593</v>
      </c>
      <c r="D1388" s="2" t="str">
        <f t="shared" si="20"/>
        <v>Error?</v>
      </c>
    </row>
    <row r="1389" spans="1:4" x14ac:dyDescent="0.2">
      <c r="A1389" s="5">
        <v>1328</v>
      </c>
      <c r="B1389" s="138">
        <f>'Expenditures 15-22'!K211</f>
        <v>30729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58351</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1087</v>
      </c>
      <c r="D1412" s="2" t="str">
        <f t="shared" si="21"/>
        <v>Error?</v>
      </c>
    </row>
    <row r="1413" spans="1:4" x14ac:dyDescent="0.2">
      <c r="A1413" s="5">
        <v>1352</v>
      </c>
      <c r="B1413" s="138">
        <f>'Expenditures 15-22'!D234</f>
        <v>6062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3496</v>
      </c>
      <c r="D1416" s="2" t="str">
        <f t="shared" si="21"/>
        <v>Error?</v>
      </c>
    </row>
    <row r="1417" spans="1:4" x14ac:dyDescent="0.2">
      <c r="A1417" s="5">
        <v>1356</v>
      </c>
      <c r="B1417" s="138">
        <f>'Expenditures 15-22'!D238</f>
        <v>10645</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811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2202</v>
      </c>
      <c r="D1423" s="2" t="str">
        <f t="shared" si="21"/>
        <v>Error?</v>
      </c>
    </row>
    <row r="1424" spans="1:4" x14ac:dyDescent="0.2">
      <c r="A1424" s="5">
        <v>1363</v>
      </c>
      <c r="B1424" s="138">
        <f>'Expenditures 15-22'!D257</f>
        <v>2202</v>
      </c>
      <c r="C1424" s="2" t="s">
        <v>593</v>
      </c>
      <c r="D1424" s="2" t="str">
        <f t="shared" si="21"/>
        <v>Error?</v>
      </c>
    </row>
    <row r="1425" spans="1:4" x14ac:dyDescent="0.2">
      <c r="A1425" s="5">
        <v>1364</v>
      </c>
      <c r="B1425" s="138">
        <f>'Expenditures 15-22'!D259</f>
        <v>6608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6608</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18649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19454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13583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51686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71952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130303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4500</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58351</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1087</v>
      </c>
      <c r="C1476" s="2" t="s">
        <v>593</v>
      </c>
      <c r="D1476" s="2" t="str">
        <f t="shared" si="22"/>
        <v>Error?</v>
      </c>
    </row>
    <row r="1477" spans="1:4" x14ac:dyDescent="0.2">
      <c r="A1477" s="5">
        <v>1416</v>
      </c>
      <c r="B1477" s="138">
        <f>'Expenditures 15-22'!K234</f>
        <v>6062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3496</v>
      </c>
      <c r="C1480" s="2" t="s">
        <v>593</v>
      </c>
      <c r="D1480" s="2" t="str">
        <f t="shared" si="22"/>
        <v>Error?</v>
      </c>
    </row>
    <row r="1481" spans="1:4" x14ac:dyDescent="0.2">
      <c r="A1481" s="5">
        <v>1420</v>
      </c>
      <c r="B1481" s="138">
        <f>'Expenditures 15-22'!K238</f>
        <v>10645</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811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811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2202</v>
      </c>
      <c r="C1487" s="2" t="s">
        <v>593</v>
      </c>
      <c r="D1487" s="2" t="str">
        <f t="shared" si="22"/>
        <v>Error?</v>
      </c>
    </row>
    <row r="1488" spans="1:4" x14ac:dyDescent="0.2">
      <c r="A1488" s="5">
        <v>1427</v>
      </c>
      <c r="B1488" s="138">
        <f>'Expenditures 15-22'!K257</f>
        <v>2202</v>
      </c>
      <c r="C1488" s="2" t="s">
        <v>593</v>
      </c>
      <c r="D1488" s="2" t="str">
        <f t="shared" si="22"/>
        <v>Error?</v>
      </c>
    </row>
    <row r="1489" spans="1:4" x14ac:dyDescent="0.2">
      <c r="A1489" s="5">
        <v>1428</v>
      </c>
      <c r="B1489" s="138">
        <f>'Expenditures 15-22'!K259</f>
        <v>6608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6608</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18649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19454</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13583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51686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71952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130303</v>
      </c>
      <c r="C1517" s="2" t="s">
        <v>593</v>
      </c>
      <c r="D1517" s="2" t="str">
        <f t="shared" si="22"/>
        <v>Error?</v>
      </c>
    </row>
    <row r="1518" spans="1:4" x14ac:dyDescent="0.2">
      <c r="A1518" s="5">
        <v>1457</v>
      </c>
      <c r="B1518" s="138">
        <f>'Expenditures 15-22'!K296</f>
        <v>31689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1708687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1708687</v>
      </c>
      <c r="C1547" s="2" t="s">
        <v>593</v>
      </c>
      <c r="D1547" s="2" t="str">
        <f t="shared" si="23"/>
        <v>Error?</v>
      </c>
    </row>
    <row r="1548" spans="1:4" x14ac:dyDescent="0.2">
      <c r="A1548" s="5">
        <v>1487</v>
      </c>
      <c r="B1548" s="138">
        <f>'Expenditures 15-22'!G312</f>
        <v>1708687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1708687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1708687</v>
      </c>
      <c r="C1559" s="2" t="s">
        <v>593</v>
      </c>
      <c r="D1559" s="2" t="str">
        <f t="shared" si="23"/>
        <v>Error?</v>
      </c>
    </row>
    <row r="1560" spans="1:4" x14ac:dyDescent="0.2">
      <c r="A1560" s="5">
        <v>1499</v>
      </c>
      <c r="B1560" s="138">
        <f>'Expenditures 15-22'!K312</f>
        <v>1708687</v>
      </c>
      <c r="C1560" s="2" t="s">
        <v>593</v>
      </c>
      <c r="D1560" s="2" t="str">
        <f t="shared" si="23"/>
        <v>Error?</v>
      </c>
    </row>
    <row r="1561" spans="1:4" x14ac:dyDescent="0.2">
      <c r="A1561" s="5">
        <v>1500</v>
      </c>
      <c r="B1561" s="138">
        <f>'Expenditures 15-22'!K313</f>
        <v>-1707275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2158930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2139757</v>
      </c>
      <c r="C1630" s="2" t="s">
        <v>593</v>
      </c>
      <c r="D1630" s="2" t="str">
        <f t="shared" si="24"/>
        <v>Error?</v>
      </c>
    </row>
    <row r="1631" spans="1:4" x14ac:dyDescent="0.2">
      <c r="A1631" s="5">
        <v>1570</v>
      </c>
      <c r="B1631" s="138">
        <f>'Acct Summary 7-8'!D79</f>
        <v>64665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9821</v>
      </c>
      <c r="C1644" s="2" t="s">
        <v>593</v>
      </c>
      <c r="D1644" s="2" t="str">
        <f t="shared" si="24"/>
        <v>Error?</v>
      </c>
    </row>
    <row r="1645" spans="1:4" x14ac:dyDescent="0.2">
      <c r="A1645" s="5">
        <v>1584</v>
      </c>
      <c r="B1645" s="138">
        <f>'Acct Summary 7-8'!E79</f>
        <v>109220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130526</v>
      </c>
      <c r="C1658" s="2" t="s">
        <v>593</v>
      </c>
      <c r="D1658" s="2" t="str">
        <f t="shared" si="24"/>
        <v>Error?</v>
      </c>
    </row>
    <row r="1659" spans="1:4" x14ac:dyDescent="0.2">
      <c r="A1659" s="5">
        <v>1598</v>
      </c>
      <c r="B1659" s="138">
        <f>'Acct Summary 7-8'!F79</f>
        <v>295186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316475</v>
      </c>
      <c r="C1672" s="2" t="s">
        <v>593</v>
      </c>
      <c r="D1672" s="2" t="str">
        <f t="shared" si="25"/>
        <v>Error?</v>
      </c>
    </row>
    <row r="1673" spans="1:4" x14ac:dyDescent="0.2">
      <c r="A1673" s="5">
        <v>1612</v>
      </c>
      <c r="B1673" s="138">
        <f>'Acct Summary 7-8'!G79</f>
        <v>94077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125766</v>
      </c>
      <c r="C1686" s="2" t="s">
        <v>593</v>
      </c>
      <c r="D1686" s="2" t="str">
        <f t="shared" si="25"/>
        <v>Error?</v>
      </c>
    </row>
    <row r="1687" spans="1:4" x14ac:dyDescent="0.2">
      <c r="A1687" s="5">
        <v>1626</v>
      </c>
      <c r="B1687" s="138">
        <f>'Acct Summary 7-8'!H79</f>
        <v>2111699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404424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1165371</v>
      </c>
      <c r="C1744" s="2" t="s">
        <v>593</v>
      </c>
      <c r="D1744" s="2" t="str">
        <f t="shared" si="26"/>
        <v>Error?</v>
      </c>
    </row>
    <row r="1745" spans="1:5" x14ac:dyDescent="0.2">
      <c r="A1745" s="5">
        <v>1684</v>
      </c>
      <c r="B1745" s="138">
        <f>'Tax Sched 23'!B5</f>
        <v>291343</v>
      </c>
      <c r="C1745" s="2" t="s">
        <v>593</v>
      </c>
      <c r="D1745" s="2" t="str">
        <f t="shared" si="26"/>
        <v>Error?</v>
      </c>
    </row>
    <row r="1746" spans="1:5" x14ac:dyDescent="0.2">
      <c r="A1746" s="5">
        <v>1685</v>
      </c>
      <c r="B1746" s="138">
        <f>'Tax Sched 23'!B6</f>
        <v>467271</v>
      </c>
      <c r="C1746" s="2" t="s">
        <v>593</v>
      </c>
      <c r="D1746" s="2" t="str">
        <f t="shared" si="26"/>
        <v>Error?</v>
      </c>
    </row>
    <row r="1747" spans="1:5" x14ac:dyDescent="0.2">
      <c r="A1747" s="5">
        <v>1686</v>
      </c>
      <c r="B1747" s="138">
        <f>'Tax Sched 23'!B7</f>
        <v>116537</v>
      </c>
      <c r="C1747" s="2" t="s">
        <v>593</v>
      </c>
      <c r="D1747" s="2" t="str">
        <f t="shared" si="26"/>
        <v>Error?</v>
      </c>
    </row>
    <row r="1748" spans="1:5" x14ac:dyDescent="0.2">
      <c r="A1748" s="5">
        <v>1687</v>
      </c>
      <c r="B1748" s="138">
        <f>'Tax Sched 23'!B8</f>
        <v>72862</v>
      </c>
      <c r="C1748" s="2" t="s">
        <v>593</v>
      </c>
      <c r="D1748" s="2" t="str">
        <f t="shared" si="26"/>
        <v>Error?</v>
      </c>
    </row>
    <row r="1749" spans="1:5" x14ac:dyDescent="0.2">
      <c r="A1749" s="5">
        <v>1688</v>
      </c>
      <c r="B1749" s="138">
        <f>'Tax Sched 23'!B10</f>
        <v>29134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406019</v>
      </c>
      <c r="C1752" s="2" t="s">
        <v>593</v>
      </c>
      <c r="D1752" s="2" t="str">
        <f t="shared" si="26"/>
        <v>Error?</v>
      </c>
    </row>
    <row r="1753" spans="1:5" x14ac:dyDescent="0.2">
      <c r="A1753" s="5">
        <v>1692</v>
      </c>
      <c r="B1753" s="138">
        <f>'Tax Sched 23'!B12</f>
        <v>29134</v>
      </c>
      <c r="C1753" s="2" t="s">
        <v>593</v>
      </c>
      <c r="D1753" s="2" t="str">
        <f t="shared" si="26"/>
        <v>Error?</v>
      </c>
    </row>
    <row r="1754" spans="1:5" x14ac:dyDescent="0.2">
      <c r="A1754" s="5">
        <v>1693</v>
      </c>
      <c r="B1754" s="138">
        <f>'Tax Sched 23'!B14</f>
        <v>23307</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2709961</v>
      </c>
      <c r="C1759" s="2" t="s">
        <v>593</v>
      </c>
      <c r="D1759" s="2" t="str">
        <f t="shared" si="26"/>
        <v>Error?</v>
      </c>
    </row>
    <row r="1760" spans="1:5" x14ac:dyDescent="0.2">
      <c r="A1760" s="5">
        <v>1699</v>
      </c>
      <c r="B1760" s="138">
        <f>'Tax Sched 23'!D4</f>
        <v>1165371</v>
      </c>
      <c r="C1760" s="2" t="s">
        <v>593</v>
      </c>
      <c r="D1760" s="2" t="str">
        <f t="shared" si="26"/>
        <v>Error?</v>
      </c>
    </row>
    <row r="1761" spans="1:5" x14ac:dyDescent="0.2">
      <c r="A1761" s="5">
        <v>1700</v>
      </c>
      <c r="B1761" s="138">
        <f>'Tax Sched 23'!D5</f>
        <v>291343</v>
      </c>
      <c r="C1761" s="2" t="s">
        <v>593</v>
      </c>
      <c r="D1761" s="2" t="str">
        <f t="shared" si="26"/>
        <v>Error?</v>
      </c>
    </row>
    <row r="1762" spans="1:5" s="8" customFormat="1" x14ac:dyDescent="0.2">
      <c r="A1762" s="5">
        <v>1701</v>
      </c>
      <c r="B1762" s="138">
        <f>'Tax Sched 23'!D6</f>
        <v>467271</v>
      </c>
      <c r="C1762" s="2" t="s">
        <v>593</v>
      </c>
      <c r="D1762" s="2" t="str">
        <f t="shared" si="26"/>
        <v>Error?</v>
      </c>
      <c r="E1762" s="9"/>
    </row>
    <row r="1763" spans="1:5" x14ac:dyDescent="0.2">
      <c r="A1763" s="5">
        <v>1702</v>
      </c>
      <c r="B1763" s="138">
        <f>'Tax Sched 23'!D7</f>
        <v>116537</v>
      </c>
      <c r="C1763" s="2" t="s">
        <v>593</v>
      </c>
      <c r="D1763" s="2" t="str">
        <f t="shared" si="26"/>
        <v>Error?</v>
      </c>
    </row>
    <row r="1764" spans="1:5" x14ac:dyDescent="0.2">
      <c r="A1764" s="5">
        <v>1703</v>
      </c>
      <c r="B1764" s="138">
        <f>'Tax Sched 23'!D8</f>
        <v>72862</v>
      </c>
      <c r="C1764" s="2" t="s">
        <v>593</v>
      </c>
      <c r="D1764" s="2" t="str">
        <f t="shared" si="26"/>
        <v>Error?</v>
      </c>
    </row>
    <row r="1765" spans="1:5" x14ac:dyDescent="0.2">
      <c r="A1765" s="5">
        <v>1704</v>
      </c>
      <c r="B1765" s="138">
        <f>'Tax Sched 23'!D10</f>
        <v>29134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406019</v>
      </c>
      <c r="C1768" s="2" t="s">
        <v>593</v>
      </c>
      <c r="D1768" s="2" t="str">
        <f t="shared" si="26"/>
        <v>Error?</v>
      </c>
    </row>
    <row r="1769" spans="1:5" x14ac:dyDescent="0.2">
      <c r="A1769" s="5">
        <v>1708</v>
      </c>
      <c r="B1769" s="138">
        <f>'Tax Sched 23'!D12</f>
        <v>29134</v>
      </c>
      <c r="C1769" s="2" t="s">
        <v>593</v>
      </c>
      <c r="D1769" s="2" t="str">
        <f t="shared" si="26"/>
        <v>Error?</v>
      </c>
    </row>
    <row r="1770" spans="1:5" x14ac:dyDescent="0.2">
      <c r="A1770" s="5">
        <v>1709</v>
      </c>
      <c r="B1770" s="138">
        <f>'Tax Sched 23'!D14</f>
        <v>23307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2709961</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1189296</v>
      </c>
      <c r="C1792" s="2" t="s">
        <v>593</v>
      </c>
      <c r="D1792" s="2" t="str">
        <f t="shared" si="27"/>
        <v>Error?</v>
      </c>
    </row>
    <row r="1793" spans="1:4" x14ac:dyDescent="0.2">
      <c r="A1793" s="5">
        <v>1732</v>
      </c>
      <c r="B1793" s="138">
        <f>'Tax Sched 23'!F5</f>
        <v>297324</v>
      </c>
      <c r="C1793" s="2" t="s">
        <v>593</v>
      </c>
      <c r="D1793" s="2" t="str">
        <f t="shared" si="27"/>
        <v>Error?</v>
      </c>
    </row>
    <row r="1794" spans="1:4" x14ac:dyDescent="0.2">
      <c r="A1794" s="5">
        <v>1733</v>
      </c>
      <c r="B1794" s="138">
        <f>'Tax Sched 23'!F6</f>
        <v>466483</v>
      </c>
      <c r="C1794" s="2" t="s">
        <v>593</v>
      </c>
      <c r="D1794" s="2" t="str">
        <f t="shared" si="27"/>
        <v>Error?</v>
      </c>
    </row>
    <row r="1795" spans="1:4" x14ac:dyDescent="0.2">
      <c r="A1795" s="5">
        <v>1734</v>
      </c>
      <c r="B1795" s="138">
        <f>'Tax Sched 23'!F7</f>
        <v>118930</v>
      </c>
      <c r="C1795" s="2" t="s">
        <v>593</v>
      </c>
      <c r="D1795" s="2" t="str">
        <f t="shared" si="27"/>
        <v>Error?</v>
      </c>
    </row>
    <row r="1796" spans="1:4" x14ac:dyDescent="0.2">
      <c r="A1796" s="5">
        <v>1735</v>
      </c>
      <c r="B1796" s="138">
        <f>'Tax Sched 23'!F8</f>
        <v>75078</v>
      </c>
      <c r="C1796" s="2" t="s">
        <v>593</v>
      </c>
      <c r="D1796" s="2" t="str">
        <f t="shared" si="27"/>
        <v>Error?</v>
      </c>
    </row>
    <row r="1797" spans="1:4" x14ac:dyDescent="0.2">
      <c r="A1797" s="5">
        <v>1736</v>
      </c>
      <c r="B1797" s="138">
        <f>'Tax Sched 23'!F10</f>
        <v>29732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460483</v>
      </c>
      <c r="C1800" s="2" t="s">
        <v>593</v>
      </c>
      <c r="D1800" s="2" t="str">
        <f t="shared" si="27"/>
        <v>Error?</v>
      </c>
    </row>
    <row r="1801" spans="1:4" x14ac:dyDescent="0.2">
      <c r="A1801" s="5">
        <v>1740</v>
      </c>
      <c r="B1801" s="138">
        <f>'Tax Sched 23'!F12</f>
        <v>29732</v>
      </c>
      <c r="C1801" s="2" t="s">
        <v>593</v>
      </c>
      <c r="D1801" s="2" t="str">
        <f t="shared" si="27"/>
        <v>Error?</v>
      </c>
    </row>
    <row r="1802" spans="1:4" x14ac:dyDescent="0.2">
      <c r="A1802" s="5">
        <v>1741</v>
      </c>
      <c r="B1802" s="138">
        <f>'Tax Sched 23'!F14</f>
        <v>23786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2800662</v>
      </c>
      <c r="C1807" s="2" t="s">
        <v>593</v>
      </c>
      <c r="D1807" s="2" t="str">
        <f t="shared" si="27"/>
        <v>Error?</v>
      </c>
    </row>
    <row r="1808" spans="1:4" x14ac:dyDescent="0.2">
      <c r="A1808" s="5">
        <v>1747</v>
      </c>
      <c r="B1808" s="138">
        <f>'Tax Sched 23'!E4</f>
        <v>1189296</v>
      </c>
      <c r="D1808" s="2" t="str">
        <f t="shared" si="27"/>
        <v>Error?</v>
      </c>
    </row>
    <row r="1809" spans="1:4" x14ac:dyDescent="0.2">
      <c r="A1809" s="5">
        <v>1748</v>
      </c>
      <c r="B1809" s="138">
        <f>'Tax Sched 23'!E5</f>
        <v>297324</v>
      </c>
      <c r="D1809" s="2" t="str">
        <f t="shared" si="27"/>
        <v>Error?</v>
      </c>
    </row>
    <row r="1810" spans="1:4" x14ac:dyDescent="0.2">
      <c r="A1810" s="5">
        <v>1749</v>
      </c>
      <c r="B1810" s="138">
        <f>'Tax Sched 23'!E6</f>
        <v>466483</v>
      </c>
      <c r="D1810" s="2" t="str">
        <f t="shared" si="27"/>
        <v>Error?</v>
      </c>
    </row>
    <row r="1811" spans="1:4" x14ac:dyDescent="0.2">
      <c r="A1811" s="5">
        <v>1750</v>
      </c>
      <c r="B1811" s="138">
        <f>'Tax Sched 23'!E7</f>
        <v>118930</v>
      </c>
      <c r="D1811" s="2" t="str">
        <f t="shared" si="27"/>
        <v>Error?</v>
      </c>
    </row>
    <row r="1812" spans="1:4" x14ac:dyDescent="0.2">
      <c r="A1812" s="5">
        <v>1751</v>
      </c>
      <c r="B1812" s="138">
        <f>'Tax Sched 23'!E8</f>
        <v>75078</v>
      </c>
      <c r="D1812" s="2" t="str">
        <f t="shared" si="27"/>
        <v>Error?</v>
      </c>
    </row>
    <row r="1813" spans="1:4" x14ac:dyDescent="0.2">
      <c r="A1813" s="5">
        <v>1752</v>
      </c>
      <c r="B1813" s="138">
        <f>'Tax Sched 23'!E10</f>
        <v>29732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460483</v>
      </c>
      <c r="D1816" s="2" t="str">
        <f t="shared" si="27"/>
        <v>Error?</v>
      </c>
    </row>
    <row r="1817" spans="1:4" x14ac:dyDescent="0.2">
      <c r="A1817" s="5">
        <v>1756</v>
      </c>
      <c r="B1817" s="138">
        <f>'Tax Sched 23'!E12</f>
        <v>29732</v>
      </c>
      <c r="D1817" s="2" t="str">
        <f t="shared" si="27"/>
        <v>Error?</v>
      </c>
    </row>
    <row r="1818" spans="1:4" x14ac:dyDescent="0.2">
      <c r="A1818" s="5">
        <v>1757</v>
      </c>
      <c r="B1818" s="138">
        <f>'Tax Sched 23'!E14</f>
        <v>23786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2800662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5906094</v>
      </c>
      <c r="C1939" s="2" t="s">
        <v>593</v>
      </c>
      <c r="D1939" s="2" t="str">
        <f t="shared" si="29"/>
        <v>Error?</v>
      </c>
    </row>
    <row r="1940" spans="1:5" x14ac:dyDescent="0.2">
      <c r="A1940" s="5">
        <v>1879</v>
      </c>
      <c r="B1940" s="138">
        <f>'Short-Term Long-Term Debt 24'!F49</f>
        <v>795000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23307</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23307</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376251</v>
      </c>
      <c r="D2008" s="2" t="str">
        <f t="shared" si="30"/>
        <v>Error?</v>
      </c>
    </row>
    <row r="2009" spans="1:4" x14ac:dyDescent="0.2">
      <c r="A2009" s="5">
        <v>1948</v>
      </c>
      <c r="B2009" s="138">
        <f>'Cap Outlay Deprec 26'!C8</f>
        <v>6514946</v>
      </c>
      <c r="D2009" s="2" t="str">
        <f t="shared" si="30"/>
        <v>Error?</v>
      </c>
    </row>
    <row r="2010" spans="1:4" x14ac:dyDescent="0.2">
      <c r="A2010" s="5">
        <v>1949</v>
      </c>
      <c r="B2010" s="138">
        <f>'Cap Outlay Deprec 26'!C10</f>
        <v>576560</v>
      </c>
      <c r="D2010" s="2" t="str">
        <f t="shared" si="30"/>
        <v>Error?</v>
      </c>
    </row>
    <row r="2011" spans="1:4" x14ac:dyDescent="0.2">
      <c r="A2011" s="5">
        <v>1950</v>
      </c>
      <c r="B2011" s="138">
        <f>'Cap Outlay Deprec 26'!C12</f>
        <v>839138</v>
      </c>
      <c r="D2011" s="2" t="str">
        <f t="shared" si="30"/>
        <v>Error?</v>
      </c>
    </row>
    <row r="2012" spans="1:4" x14ac:dyDescent="0.2">
      <c r="A2012" s="5">
        <v>1951</v>
      </c>
      <c r="B2012" s="138">
        <f>'Cap Outlay Deprec 26'!C13</f>
        <v>77524</v>
      </c>
      <c r="D2012" s="2" t="str">
        <f t="shared" si="30"/>
        <v>Error?</v>
      </c>
    </row>
    <row r="2013" spans="1:4" x14ac:dyDescent="0.2">
      <c r="A2013" s="5">
        <v>1952</v>
      </c>
      <c r="B2013" s="138">
        <f>'Cap Outlay Deprec 26'!C16</f>
        <v>8801018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34162</v>
      </c>
      <c r="D2017" s="2" t="str">
        <f t="shared" si="30"/>
        <v>Error?</v>
      </c>
    </row>
    <row r="2018" spans="1:4" x14ac:dyDescent="0.2">
      <c r="A2018" s="5">
        <v>1957</v>
      </c>
      <c r="B2018" s="138">
        <f>'Cap Outlay Deprec 26'!D13</f>
        <v>2060</v>
      </c>
      <c r="D2018" s="2" t="str">
        <f t="shared" si="30"/>
        <v>Error?</v>
      </c>
    </row>
    <row r="2019" spans="1:4" x14ac:dyDescent="0.2">
      <c r="A2019" s="5">
        <v>1958</v>
      </c>
      <c r="B2019" s="138">
        <f>'Cap Outlay Deprec 26'!D16</f>
        <v>1761782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376251</v>
      </c>
      <c r="C2026" s="2" t="s">
        <v>593</v>
      </c>
      <c r="D2026" s="2" t="str">
        <f t="shared" si="30"/>
        <v>Error?</v>
      </c>
    </row>
    <row r="2027" spans="1:4" x14ac:dyDescent="0.2">
      <c r="A2027" s="5">
        <v>1966</v>
      </c>
      <c r="B2027" s="138">
        <f>'Cap Outlay Deprec 26'!F8</f>
        <v>6514946</v>
      </c>
      <c r="C2027" s="2" t="s">
        <v>593</v>
      </c>
      <c r="D2027" s="2" t="str">
        <f t="shared" si="30"/>
        <v>Error?</v>
      </c>
    </row>
    <row r="2028" spans="1:4" x14ac:dyDescent="0.2">
      <c r="A2028" s="5">
        <v>1967</v>
      </c>
      <c r="B2028" s="138">
        <f>'Cap Outlay Deprec 26'!F10</f>
        <v>576560</v>
      </c>
      <c r="C2028" s="2" t="s">
        <v>593</v>
      </c>
      <c r="D2028" s="2" t="str">
        <f t="shared" si="30"/>
        <v>Error?</v>
      </c>
    </row>
    <row r="2029" spans="1:4" x14ac:dyDescent="0.2">
      <c r="A2029" s="5">
        <v>1968</v>
      </c>
      <c r="B2029" s="138">
        <f>'Cap Outlay Deprec 26'!F12</f>
        <v>873300</v>
      </c>
      <c r="C2029" s="2" t="s">
        <v>593</v>
      </c>
      <c r="D2029" s="2" t="str">
        <f t="shared" si="30"/>
        <v>Error?</v>
      </c>
    </row>
    <row r="2030" spans="1:4" x14ac:dyDescent="0.2">
      <c r="A2030" s="5">
        <v>1969</v>
      </c>
      <c r="B2030" s="138">
        <f>'Cap Outlay Deprec 26'!F13</f>
        <v>79584</v>
      </c>
      <c r="C2030" s="2" t="s">
        <v>593</v>
      </c>
      <c r="D2030" s="2" t="str">
        <f t="shared" si="30"/>
        <v>Error?</v>
      </c>
    </row>
    <row r="2031" spans="1:4" x14ac:dyDescent="0.2">
      <c r="A2031" s="5">
        <v>1970</v>
      </c>
      <c r="B2031" s="138">
        <f>'Cap Outlay Deprec 26'!F16</f>
        <v>10562800</v>
      </c>
      <c r="C2031" s="2" t="s">
        <v>593</v>
      </c>
      <c r="D2031" s="2" t="str">
        <f t="shared" si="30"/>
        <v>Error?</v>
      </c>
    </row>
    <row r="2032" spans="1:4" x14ac:dyDescent="0.2">
      <c r="A2032" s="10">
        <v>1971</v>
      </c>
      <c r="D2032" s="2" t="str">
        <f t="shared" si="30"/>
        <v>OK</v>
      </c>
    </row>
    <row r="2033" spans="1:4" x14ac:dyDescent="0.2">
      <c r="A2033" s="5">
        <v>1972</v>
      </c>
      <c r="B2033" s="138">
        <f>'Cap Outlay Deprec 26'!H8</f>
        <v>3352164</v>
      </c>
      <c r="D2033" s="2" t="str">
        <f t="shared" si="30"/>
        <v>Error?</v>
      </c>
    </row>
    <row r="2034" spans="1:4" x14ac:dyDescent="0.2">
      <c r="A2034" s="5">
        <v>1973</v>
      </c>
      <c r="B2034" s="138">
        <f>'Cap Outlay Deprec 26'!H10</f>
        <v>218243</v>
      </c>
      <c r="D2034" s="2" t="str">
        <f t="shared" si="30"/>
        <v>Error?</v>
      </c>
    </row>
    <row r="2035" spans="1:4" x14ac:dyDescent="0.2">
      <c r="A2035" s="5">
        <v>1974</v>
      </c>
      <c r="B2035" s="138">
        <f>'Cap Outlay Deprec 26'!H12</f>
        <v>811718</v>
      </c>
      <c r="D2035" s="2" t="str">
        <f t="shared" si="30"/>
        <v>Error?</v>
      </c>
    </row>
    <row r="2036" spans="1:4" x14ac:dyDescent="0.2">
      <c r="A2036" s="5">
        <v>1975</v>
      </c>
      <c r="B2036" s="138">
        <f>'Cap Outlay Deprec 26'!H13</f>
        <v>67294</v>
      </c>
      <c r="D2036" s="2" t="str">
        <f t="shared" si="30"/>
        <v>Error?</v>
      </c>
    </row>
    <row r="2037" spans="1:4" x14ac:dyDescent="0.2">
      <c r="A2037" s="5">
        <v>1976</v>
      </c>
      <c r="B2037" s="138">
        <f>'Cap Outlay Deprec 26'!H16</f>
        <v>4683511</v>
      </c>
      <c r="C2037" s="2" t="s">
        <v>593</v>
      </c>
      <c r="D2037" s="2" t="str">
        <f t="shared" si="30"/>
        <v>Error?</v>
      </c>
    </row>
    <row r="2038" spans="1:4" x14ac:dyDescent="0.2">
      <c r="A2038" s="10">
        <v>1977</v>
      </c>
      <c r="D2038" s="2" t="str">
        <f t="shared" si="30"/>
        <v>OK</v>
      </c>
    </row>
    <row r="2039" spans="1:4" x14ac:dyDescent="0.2">
      <c r="A2039" s="5">
        <v>1978</v>
      </c>
      <c r="B2039" s="138">
        <f>'Cap Outlay Deprec 26'!I8</f>
        <v>130299</v>
      </c>
      <c r="D2039" s="2" t="str">
        <f t="shared" si="30"/>
        <v>Error?</v>
      </c>
    </row>
    <row r="2040" spans="1:4" x14ac:dyDescent="0.2">
      <c r="A2040" s="5">
        <v>1979</v>
      </c>
      <c r="B2040" s="138">
        <f>'Cap Outlay Deprec 26'!I10</f>
        <v>25808</v>
      </c>
      <c r="D2040" s="2" t="str">
        <f t="shared" si="30"/>
        <v>Error?</v>
      </c>
    </row>
    <row r="2041" spans="1:4" x14ac:dyDescent="0.2">
      <c r="A2041" s="5">
        <v>1980</v>
      </c>
      <c r="B2041" s="138">
        <f>'Cap Outlay Deprec 26'!I12</f>
        <v>9771</v>
      </c>
      <c r="D2041" s="2" t="str">
        <f t="shared" si="30"/>
        <v>Error?</v>
      </c>
    </row>
    <row r="2042" spans="1:4" x14ac:dyDescent="0.2">
      <c r="A2042" s="5">
        <v>1981</v>
      </c>
      <c r="B2042" s="138">
        <f>'Cap Outlay Deprec 26'!I13</f>
        <v>10641</v>
      </c>
      <c r="D2042" s="2" t="str">
        <f t="shared" si="30"/>
        <v>Error?</v>
      </c>
    </row>
    <row r="2043" spans="1:4" x14ac:dyDescent="0.2">
      <c r="A2043" s="5">
        <v>1982</v>
      </c>
      <c r="B2043" s="138">
        <f>'Cap Outlay Deprec 26'!I16</f>
        <v>201029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3482463</v>
      </c>
      <c r="C2051" s="2" t="s">
        <v>593</v>
      </c>
      <c r="D2051" s="2" t="str">
        <f t="shared" si="31"/>
        <v>Error?</v>
      </c>
    </row>
    <row r="2052" spans="1:4" x14ac:dyDescent="0.2">
      <c r="A2052" s="5">
        <v>1991</v>
      </c>
      <c r="B2052" s="138">
        <f>'Cap Outlay Deprec 26'!K10</f>
        <v>244051</v>
      </c>
      <c r="C2052" s="2" t="s">
        <v>593</v>
      </c>
      <c r="D2052" s="2" t="str">
        <f t="shared" si="31"/>
        <v>Error?</v>
      </c>
    </row>
    <row r="2053" spans="1:4" x14ac:dyDescent="0.2">
      <c r="A2053" s="5">
        <v>1992</v>
      </c>
      <c r="B2053" s="138">
        <f>'Cap Outlay Deprec 26'!K12</f>
        <v>821489</v>
      </c>
      <c r="C2053" s="2" t="s">
        <v>593</v>
      </c>
      <c r="D2053" s="2" t="str">
        <f t="shared" si="31"/>
        <v>Error?</v>
      </c>
    </row>
    <row r="2054" spans="1:4" x14ac:dyDescent="0.2">
      <c r="A2054" s="5">
        <v>1993</v>
      </c>
      <c r="B2054" s="138">
        <f>'Cap Outlay Deprec 26'!K13</f>
        <v>77935</v>
      </c>
      <c r="C2054" s="2" t="s">
        <v>593</v>
      </c>
      <c r="D2054" s="2" t="str">
        <f t="shared" si="31"/>
        <v>Error?</v>
      </c>
    </row>
    <row r="2055" spans="1:4" x14ac:dyDescent="0.2">
      <c r="A2055" s="5">
        <v>1994</v>
      </c>
      <c r="B2055" s="138">
        <f>'Cap Outlay Deprec 26'!K16</f>
        <v>4884540</v>
      </c>
      <c r="C2055" s="2" t="s">
        <v>593</v>
      </c>
      <c r="D2055" s="2" t="str">
        <f t="shared" si="31"/>
        <v>Error?</v>
      </c>
    </row>
    <row r="2056" spans="1:4" x14ac:dyDescent="0.2">
      <c r="A2056" s="5">
        <v>1995</v>
      </c>
      <c r="B2056" s="138">
        <f>'Cap Outlay Deprec 26'!L5</f>
        <v>376251</v>
      </c>
      <c r="C2056" s="2" t="s">
        <v>593</v>
      </c>
      <c r="D2056" s="2" t="str">
        <f t="shared" si="31"/>
        <v>Error?</v>
      </c>
    </row>
    <row r="2057" spans="1:4" x14ac:dyDescent="0.2">
      <c r="A2057" s="5">
        <v>1996</v>
      </c>
      <c r="B2057" s="138">
        <f>'Cap Outlay Deprec 26'!L8</f>
        <v>3032483</v>
      </c>
      <c r="C2057" s="2" t="s">
        <v>593</v>
      </c>
      <c r="D2057" s="2" t="str">
        <f t="shared" si="31"/>
        <v>Error?</v>
      </c>
    </row>
    <row r="2058" spans="1:4" x14ac:dyDescent="0.2">
      <c r="A2058" s="5">
        <v>1997</v>
      </c>
      <c r="B2058" s="138">
        <f>'Cap Outlay Deprec 26'!L10</f>
        <v>332509</v>
      </c>
      <c r="C2058" s="2" t="s">
        <v>593</v>
      </c>
      <c r="D2058" s="2" t="str">
        <f t="shared" si="31"/>
        <v>Error?</v>
      </c>
    </row>
    <row r="2059" spans="1:4" x14ac:dyDescent="0.2">
      <c r="A2059" s="5">
        <v>1998</v>
      </c>
      <c r="B2059" s="138">
        <f>'Cap Outlay Deprec 26'!L12</f>
        <v>51811</v>
      </c>
      <c r="C2059" s="2" t="s">
        <v>593</v>
      </c>
      <c r="D2059" s="2" t="str">
        <f t="shared" si="31"/>
        <v>Error?</v>
      </c>
    </row>
    <row r="2060" spans="1:4" x14ac:dyDescent="0.2">
      <c r="A2060" s="5">
        <v>1999</v>
      </c>
      <c r="B2060" s="138">
        <f>'Cap Outlay Deprec 26'!L13</f>
        <v>1649</v>
      </c>
      <c r="C2060" s="2" t="s">
        <v>593</v>
      </c>
      <c r="D2060" s="2" t="str">
        <f t="shared" si="31"/>
        <v>Error?</v>
      </c>
    </row>
    <row r="2061" spans="1:4" x14ac:dyDescent="0.2">
      <c r="A2061" s="5">
        <v>2000</v>
      </c>
      <c r="B2061" s="138">
        <f>'Cap Outlay Deprec 26'!L16</f>
        <v>5678260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211364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48774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125766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130526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404424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1537774</v>
      </c>
      <c r="C2551" s="2" t="s">
        <v>593</v>
      </c>
      <c r="D2551" s="2" t="str">
        <f t="shared" si="38"/>
        <v>Error?</v>
      </c>
    </row>
    <row r="2552" spans="1:4" x14ac:dyDescent="0.2">
      <c r="A2552" s="10">
        <v>2491</v>
      </c>
      <c r="D2552" s="2" t="str">
        <f t="shared" si="38"/>
        <v>OK</v>
      </c>
    </row>
    <row r="2553" spans="1:4" x14ac:dyDescent="0.2">
      <c r="A2553" s="5">
        <v>2492</v>
      </c>
      <c r="B2553" s="138">
        <f>'Acct Summary 7-8'!C6</f>
        <v>2358897</v>
      </c>
      <c r="C2553" s="2" t="s">
        <v>593</v>
      </c>
      <c r="D2553" s="2" t="str">
        <f t="shared" si="38"/>
        <v>Error?</v>
      </c>
    </row>
    <row r="2554" spans="1:4" x14ac:dyDescent="0.2">
      <c r="A2554" s="5">
        <v>2493</v>
      </c>
      <c r="B2554" s="138">
        <f>'Acct Summary 7-8'!C7</f>
        <v>247053</v>
      </c>
      <c r="C2554" s="2" t="s">
        <v>593</v>
      </c>
      <c r="D2554" s="2" t="str">
        <f t="shared" si="38"/>
        <v>Error?</v>
      </c>
    </row>
    <row r="2555" spans="1:4" x14ac:dyDescent="0.2">
      <c r="A2555" s="5">
        <v>2494</v>
      </c>
      <c r="B2555" s="138">
        <f>'Acct Summary 7-8'!C8</f>
        <v>4165243</v>
      </c>
      <c r="C2555" s="2" t="s">
        <v>593</v>
      </c>
      <c r="D2555" s="2" t="str">
        <f t="shared" si="38"/>
        <v>Error?</v>
      </c>
    </row>
    <row r="2556" spans="1:4" x14ac:dyDescent="0.2">
      <c r="A2556" s="5">
        <v>2495</v>
      </c>
      <c r="B2556" s="138">
        <f>'Acct Summary 7-8'!C12</f>
        <v>3013247</v>
      </c>
      <c r="C2556" s="2" t="s">
        <v>593</v>
      </c>
      <c r="D2556" s="2" t="str">
        <f t="shared" si="38"/>
        <v>Error?</v>
      </c>
    </row>
    <row r="2557" spans="1:4" x14ac:dyDescent="0.2">
      <c r="A2557" s="5">
        <v>2496</v>
      </c>
      <c r="B2557" s="138">
        <f>'Acct Summary 7-8'!C13</f>
        <v>857990</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211364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4082601</v>
      </c>
      <c r="C2561" s="2" t="s">
        <v>593</v>
      </c>
      <c r="D2561" s="2" t="str">
        <f t="shared" si="39"/>
        <v>Error?</v>
      </c>
    </row>
    <row r="2562" spans="1:4" x14ac:dyDescent="0.2">
      <c r="A2562" s="5">
        <v>2501</v>
      </c>
      <c r="B2562" s="138">
        <f>'Acct Summary 7-8'!C20</f>
        <v>82642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299524</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299524</v>
      </c>
      <c r="C2568" s="2" t="s">
        <v>593</v>
      </c>
      <c r="D2568" s="2" t="str">
        <f t="shared" si="39"/>
        <v>Error?</v>
      </c>
    </row>
    <row r="2569" spans="1:4" x14ac:dyDescent="0.2">
      <c r="A2569" s="5">
        <v>2508</v>
      </c>
      <c r="B2569" s="138">
        <f>'Acct Summary 7-8'!D13</f>
        <v>354368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354368</v>
      </c>
      <c r="C2573" s="2" t="s">
        <v>593</v>
      </c>
      <c r="D2573" s="2" t="str">
        <f t="shared" si="39"/>
        <v>Error?</v>
      </c>
    </row>
    <row r="2574" spans="1:4" x14ac:dyDescent="0.2">
      <c r="A2574" s="5">
        <v>2513</v>
      </c>
      <c r="B2574" s="138">
        <f>'Acct Summary 7-8'!D20</f>
        <v>-54844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119669</v>
      </c>
      <c r="C2591" s="2" t="s">
        <v>593</v>
      </c>
      <c r="D2591" s="2" t="str">
        <f t="shared" si="39"/>
        <v>Error?</v>
      </c>
    </row>
    <row r="2592" spans="1:4" x14ac:dyDescent="0.2">
      <c r="A2592" s="10">
        <v>2531</v>
      </c>
      <c r="D2592" s="2" t="str">
        <f t="shared" si="39"/>
        <v>OK</v>
      </c>
    </row>
    <row r="2593" spans="1:4" x14ac:dyDescent="0.2">
      <c r="A2593" s="5">
        <v>2532</v>
      </c>
      <c r="B2593" s="138">
        <f>'Acct Summary 7-8'!F6</f>
        <v>163240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282909</v>
      </c>
      <c r="C2595" s="2" t="s">
        <v>593</v>
      </c>
      <c r="D2595" s="2" t="str">
        <f t="shared" si="39"/>
        <v>Error?</v>
      </c>
    </row>
    <row r="2596" spans="1:4" x14ac:dyDescent="0.2">
      <c r="A2596" s="5">
        <v>2535</v>
      </c>
      <c r="B2596" s="138">
        <f>'Acct Summary 7-8'!F13</f>
        <v>252180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252180</v>
      </c>
      <c r="C2600" s="2" t="s">
        <v>593</v>
      </c>
      <c r="D2600" s="2" t="str">
        <f t="shared" si="39"/>
        <v>Error?</v>
      </c>
    </row>
    <row r="2601" spans="1:4" x14ac:dyDescent="0.2">
      <c r="A2601" s="5">
        <v>2540</v>
      </c>
      <c r="B2601" s="138">
        <f>'Acct Summary 7-8'!F20</f>
        <v>30729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161992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161992</v>
      </c>
      <c r="C2606" s="2" t="s">
        <v>593</v>
      </c>
      <c r="D2606" s="2" t="str">
        <f t="shared" si="39"/>
        <v>Error?</v>
      </c>
    </row>
    <row r="2607" spans="1:4" x14ac:dyDescent="0.2">
      <c r="A2607" s="5">
        <v>2546</v>
      </c>
      <c r="B2607" s="138">
        <f>'Acct Summary 7-8'!G12</f>
        <v>58351</v>
      </c>
      <c r="C2607" s="2" t="s">
        <v>593</v>
      </c>
      <c r="D2607" s="2" t="str">
        <f t="shared" si="39"/>
        <v>Error?</v>
      </c>
    </row>
    <row r="2608" spans="1:4" x14ac:dyDescent="0.2">
      <c r="A2608" s="5">
        <v>2547</v>
      </c>
      <c r="B2608" s="138">
        <f>'Acct Summary 7-8'!G13</f>
        <v>71952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130303</v>
      </c>
      <c r="C2612" s="2" t="s">
        <v>593</v>
      </c>
      <c r="D2612" s="2" t="str">
        <f t="shared" si="39"/>
        <v>Error?</v>
      </c>
    </row>
    <row r="2613" spans="1:4" x14ac:dyDescent="0.2">
      <c r="A2613" s="5">
        <v>2552</v>
      </c>
      <c r="B2613" s="138">
        <f>'Acct Summary 7-8'!G20</f>
        <v>31689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467859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467859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1315688</v>
      </c>
      <c r="C2634" s="2" t="s">
        <v>593</v>
      </c>
      <c r="D2634" s="2" t="str">
        <f t="shared" si="40"/>
        <v>Error?</v>
      </c>
    </row>
    <row r="2635" spans="1:4" x14ac:dyDescent="0.2">
      <c r="A2635" s="5">
        <v>2574</v>
      </c>
      <c r="B2635" s="138">
        <f>'Acct Summary 7-8'!E17</f>
        <v>1315688</v>
      </c>
      <c r="C2635" s="2" t="s">
        <v>593</v>
      </c>
      <c r="D2635" s="2" t="str">
        <f t="shared" si="40"/>
        <v>Error?</v>
      </c>
    </row>
    <row r="2636" spans="1:4" x14ac:dyDescent="0.2">
      <c r="A2636" s="5">
        <v>2575</v>
      </c>
      <c r="B2636" s="138">
        <f>'Acct Summary 7-8'!E20</f>
        <v>-847829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1412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1412</v>
      </c>
      <c r="C2658" s="2" t="s">
        <v>593</v>
      </c>
      <c r="D2658" s="2" t="str">
        <f t="shared" si="40"/>
        <v>Error?</v>
      </c>
    </row>
    <row r="2659" spans="1:4" x14ac:dyDescent="0.2">
      <c r="A2659" s="5">
        <v>2598</v>
      </c>
      <c r="B2659" s="138">
        <f>'Acct Summary 7-8'!H13</f>
        <v>1708687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1708687</v>
      </c>
      <c r="C2661" s="2" t="s">
        <v>593</v>
      </c>
      <c r="D2661" s="2" t="str">
        <f t="shared" si="40"/>
        <v>Error?</v>
      </c>
    </row>
    <row r="2662" spans="1:4" x14ac:dyDescent="0.2">
      <c r="A2662" s="5">
        <v>2601</v>
      </c>
      <c r="B2662" s="138">
        <f>'Acct Summary 7-8'!H20</f>
        <v>-1707275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211364</v>
      </c>
      <c r="C2789" s="2" t="s">
        <v>593</v>
      </c>
      <c r="D2789" s="2" t="str">
        <f t="shared" si="42"/>
        <v>Error?</v>
      </c>
    </row>
    <row r="2790" spans="1:4" x14ac:dyDescent="0.2">
      <c r="A2790" s="5">
        <v>2729</v>
      </c>
      <c r="B2790" s="138">
        <f>'Expenditures 15-22'!E102</f>
        <v>211364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1871539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395353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41193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223364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395353</v>
      </c>
      <c r="D2912" s="2" t="str">
        <f t="shared" si="44"/>
        <v>Error?</v>
      </c>
    </row>
    <row r="2913" spans="1:4" x14ac:dyDescent="0.2">
      <c r="A2913" s="5">
        <v>2852</v>
      </c>
      <c r="B2913" s="138">
        <f>'Assets-Liab 5-6'!I41</f>
        <v>395353</v>
      </c>
      <c r="C2913" s="2" t="s">
        <v>593</v>
      </c>
      <c r="D2913" s="2" t="str">
        <f t="shared" si="44"/>
        <v>Error?</v>
      </c>
    </row>
    <row r="2914" spans="1:4" x14ac:dyDescent="0.2">
      <c r="A2914" s="5">
        <v>2853</v>
      </c>
      <c r="B2914" s="138">
        <f>'Assets-Liab 5-6'!L33</f>
        <v>223364</v>
      </c>
      <c r="D2914" s="2" t="str">
        <f t="shared" si="44"/>
        <v>Error?</v>
      </c>
    </row>
    <row r="2915" spans="1:4" x14ac:dyDescent="0.2">
      <c r="A2915" s="10">
        <v>2854</v>
      </c>
      <c r="D2915" s="2" t="str">
        <f t="shared" si="44"/>
        <v>OK</v>
      </c>
    </row>
    <row r="2916" spans="1:4" x14ac:dyDescent="0.2">
      <c r="A2916" s="5">
        <v>2855</v>
      </c>
      <c r="B2916" s="138">
        <f>'Assets-Liab 5-6'!L34</f>
        <v>223364</v>
      </c>
      <c r="C2916" s="2" t="s">
        <v>593</v>
      </c>
      <c r="D2916" s="2" t="str">
        <f t="shared" si="44"/>
        <v>Error?</v>
      </c>
    </row>
    <row r="2917" spans="1:4" x14ac:dyDescent="0.2">
      <c r="A2917" s="5">
        <v>2856</v>
      </c>
      <c r="B2917" s="138">
        <f>'Assets-Liab 5-6'!L41</f>
        <v>223364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153332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58032</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153332</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58032</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53251</v>
      </c>
      <c r="D3055" s="2" t="str">
        <f t="shared" si="46"/>
        <v>Error?</v>
      </c>
    </row>
    <row r="3056" spans="1:4" x14ac:dyDescent="0.2">
      <c r="A3056" s="5">
        <v>2995</v>
      </c>
      <c r="B3056" s="138">
        <f>'Expenditures 15-22'!D10</f>
        <v>14636</v>
      </c>
      <c r="D3056" s="2" t="str">
        <f t="shared" si="46"/>
        <v>Error?</v>
      </c>
    </row>
    <row r="3057" spans="1:4" x14ac:dyDescent="0.2">
      <c r="A3057" s="5">
        <v>2996</v>
      </c>
      <c r="B3057" s="138">
        <f>'Expenditures 15-22'!E10</f>
        <v>2710</v>
      </c>
      <c r="D3057" s="2" t="str">
        <f t="shared" si="46"/>
        <v>Error?</v>
      </c>
    </row>
    <row r="3058" spans="1:4" x14ac:dyDescent="0.2">
      <c r="A3058" s="5">
        <v>2997</v>
      </c>
      <c r="B3058" s="138">
        <f>'Expenditures 15-22'!F10</f>
        <v>27934</v>
      </c>
      <c r="D3058" s="2" t="str">
        <f t="shared" si="46"/>
        <v>Error?</v>
      </c>
    </row>
    <row r="3059" spans="1:4" x14ac:dyDescent="0.2">
      <c r="A3059" s="5">
        <v>2998</v>
      </c>
      <c r="B3059" s="138">
        <f>'Expenditures 15-22'!G10</f>
        <v>4006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102537</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30997</v>
      </c>
      <c r="C3225" s="2" t="s">
        <v>593</v>
      </c>
      <c r="D3225" s="2" t="str">
        <f t="shared" si="49"/>
        <v>Error?</v>
      </c>
    </row>
    <row r="3226" spans="1:4" x14ac:dyDescent="0.2">
      <c r="A3226" s="5">
        <v>3165</v>
      </c>
      <c r="B3226" s="138">
        <f>'Acct Summary 7-8'!I8</f>
        <v>30997</v>
      </c>
      <c r="C3226" s="2" t="s">
        <v>593</v>
      </c>
      <c r="D3226" s="2" t="str">
        <f t="shared" si="49"/>
        <v>Error?</v>
      </c>
    </row>
    <row r="3227" spans="1:4" x14ac:dyDescent="0.2">
      <c r="A3227" s="5">
        <v>3166</v>
      </c>
      <c r="B3227" s="138">
        <f>'Acct Summary 7-8'!I20</f>
        <v>30997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101815</v>
      </c>
      <c r="C3231" s="2" t="s">
        <v>593</v>
      </c>
      <c r="D3231" s="2" t="str">
        <f t="shared" si="49"/>
        <v>Error?</v>
      </c>
    </row>
    <row r="3232" spans="1:4" x14ac:dyDescent="0.2">
      <c r="A3232" s="5">
        <v>3171</v>
      </c>
      <c r="B3232" s="138">
        <f>'Acct Summary 7-8'!C77</f>
        <v>-101815</v>
      </c>
      <c r="C3232" s="2" t="s">
        <v>593</v>
      </c>
      <c r="D3232" s="2" t="str">
        <f t="shared" si="49"/>
        <v>Error?</v>
      </c>
    </row>
    <row r="3233" spans="1:4" x14ac:dyDescent="0.2">
      <c r="A3233" s="5">
        <v>3172</v>
      </c>
      <c r="B3233" s="138">
        <f>'Acct Summary 7-8'!C78</f>
        <v>-19173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-54844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9440</v>
      </c>
      <c r="D3253" s="2" t="str">
        <f t="shared" si="49"/>
        <v>Error?</v>
      </c>
    </row>
    <row r="3254" spans="1:4" x14ac:dyDescent="0.2">
      <c r="A3254" s="5">
        <v>3193</v>
      </c>
      <c r="B3254" s="138">
        <f>'Acct Summary 7-8'!F76</f>
        <v>9440</v>
      </c>
      <c r="C3254" s="2" t="s">
        <v>593</v>
      </c>
      <c r="D3254" s="2" t="str">
        <f t="shared" si="49"/>
        <v>Error?</v>
      </c>
    </row>
    <row r="3255" spans="1:4" x14ac:dyDescent="0.2">
      <c r="A3255" s="5">
        <v>3194</v>
      </c>
      <c r="B3255" s="138">
        <f>'Acct Summary 7-8'!F77</f>
        <v>-9440</v>
      </c>
      <c r="C3255" s="2" t="s">
        <v>593</v>
      </c>
      <c r="D3255" s="2" t="str">
        <f t="shared" si="49"/>
        <v>Error?</v>
      </c>
    </row>
    <row r="3256" spans="1:4" x14ac:dyDescent="0.2">
      <c r="A3256" s="5">
        <v>3195</v>
      </c>
      <c r="B3256" s="138">
        <f>'Acct Summary 7-8'!F78</f>
        <v>21289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31689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9440</v>
      </c>
      <c r="D3273" s="2" t="str">
        <f t="shared" si="50"/>
        <v>Error?</v>
      </c>
    </row>
    <row r="3274" spans="1:4" x14ac:dyDescent="0.2">
      <c r="A3274" s="5">
        <v>3213</v>
      </c>
      <c r="B3274" s="138">
        <f>'Acct Summary 7-8'!E44</f>
        <v>940830</v>
      </c>
      <c r="C3274" s="2" t="s">
        <v>593</v>
      </c>
      <c r="D3274" s="2" t="str">
        <f t="shared" si="50"/>
        <v>Error?</v>
      </c>
    </row>
    <row r="3275" spans="1:4" x14ac:dyDescent="0.2">
      <c r="A3275" s="5">
        <v>3214</v>
      </c>
      <c r="B3275" s="138">
        <f>'Acct Summary 7-8'!E75</f>
        <v>71695</v>
      </c>
      <c r="D3275" s="2" t="str">
        <f t="shared" si="50"/>
        <v>Error?</v>
      </c>
    </row>
    <row r="3276" spans="1:4" x14ac:dyDescent="0.2">
      <c r="A3276" s="5">
        <v>3215</v>
      </c>
      <c r="B3276" s="138">
        <f>'Acct Summary 7-8'!E76</f>
        <v>71695</v>
      </c>
      <c r="C3276" s="2" t="s">
        <v>593</v>
      </c>
      <c r="D3276" s="2" t="str">
        <f t="shared" si="50"/>
        <v>Error?</v>
      </c>
    </row>
    <row r="3277" spans="1:4" x14ac:dyDescent="0.2">
      <c r="A3277" s="5">
        <v>3216</v>
      </c>
      <c r="B3277" s="138">
        <f>'Acct Summary 7-8'!E77</f>
        <v>869135</v>
      </c>
      <c r="C3277" s="2" t="s">
        <v>593</v>
      </c>
      <c r="D3277" s="2" t="str">
        <f t="shared" si="50"/>
        <v>Error?</v>
      </c>
    </row>
    <row r="3278" spans="1:4" x14ac:dyDescent="0.2">
      <c r="A3278" s="5">
        <v>3217</v>
      </c>
      <c r="B3278" s="138">
        <f>'Acct Summary 7-8'!E78</f>
        <v>21306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-1707275</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30997</v>
      </c>
      <c r="C3320" s="2" t="s">
        <v>593</v>
      </c>
      <c r="D3320" s="2" t="str">
        <f t="shared" si="50"/>
        <v>Error?</v>
      </c>
    </row>
    <row r="3321" spans="1:4" x14ac:dyDescent="0.2">
      <c r="A3321" s="5">
        <v>3260</v>
      </c>
      <c r="B3321" s="138">
        <f>'Acct Summary 7-8'!I79</f>
        <v>364356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395353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288867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51099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3329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343722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26853</v>
      </c>
      <c r="D3387" s="2" t="str">
        <f t="shared" si="51"/>
        <v>Error?</v>
      </c>
    </row>
    <row r="3388" spans="1:4" x14ac:dyDescent="0.2">
      <c r="A3388" s="5">
        <v>3327</v>
      </c>
      <c r="B3388" s="138">
        <f>'Expenditures 15-22'!D217</f>
        <v>26217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26853</v>
      </c>
      <c r="C3390" s="2" t="s">
        <v>593</v>
      </c>
      <c r="D3390" s="2" t="str">
        <f t="shared" si="51"/>
        <v>Error?</v>
      </c>
    </row>
    <row r="3391" spans="1:4" x14ac:dyDescent="0.2">
      <c r="A3391" s="5">
        <v>3330</v>
      </c>
      <c r="B3391" s="138">
        <f>'Expenditures 15-22'!K217</f>
        <v>26217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21519</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521884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9821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130526</v>
      </c>
      <c r="D3417" s="2" t="str">
        <f t="shared" si="52"/>
        <v>Error?</v>
      </c>
    </row>
    <row r="3418" spans="1:4" x14ac:dyDescent="0.2">
      <c r="A3418" s="10">
        <v>3357</v>
      </c>
      <c r="D3418" s="2" t="str">
        <f t="shared" si="52"/>
        <v>OK</v>
      </c>
    </row>
    <row r="3419" spans="1:4" x14ac:dyDescent="0.2">
      <c r="A3419" s="5">
        <v>3358</v>
      </c>
      <c r="B3419" s="138">
        <f>'Assets-Liab 5-6'!F4</f>
        <v>316475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125766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404424</v>
      </c>
      <c r="D3425" s="2" t="str">
        <f t="shared" si="52"/>
        <v>Error?</v>
      </c>
    </row>
    <row r="3426" spans="1:4" x14ac:dyDescent="0.2">
      <c r="A3426" s="10">
        <v>3365</v>
      </c>
      <c r="D3426" s="2" t="str">
        <f t="shared" si="52"/>
        <v>OK</v>
      </c>
    </row>
    <row r="3427" spans="1:4" x14ac:dyDescent="0.2">
      <c r="A3427" s="5">
        <v>3366</v>
      </c>
      <c r="B3427" s="138">
        <f>'Assets-Liab 5-6'!I4</f>
        <v>395353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182171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79849</v>
      </c>
      <c r="C3446" s="2" t="s">
        <v>593</v>
      </c>
      <c r="D3446" s="2" t="str">
        <f t="shared" si="52"/>
        <v>Error?</v>
      </c>
    </row>
    <row r="3447" spans="1:4" x14ac:dyDescent="0.2">
      <c r="A3447" s="5">
        <v>3386</v>
      </c>
      <c r="B3447" s="138">
        <f>'Tax Sched 23'!D16</f>
        <v>79849</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80086</v>
      </c>
      <c r="C3449" s="2" t="s">
        <v>593</v>
      </c>
      <c r="D3449" s="2" t="str">
        <f t="shared" si="52"/>
        <v>Error?</v>
      </c>
    </row>
    <row r="3450" spans="1:4" x14ac:dyDescent="0.2">
      <c r="A3450" s="5">
        <v>3389</v>
      </c>
      <c r="B3450" s="138">
        <f>'Tax Sched 23'!E16</f>
        <v>80086</v>
      </c>
      <c r="D3450" s="2" t="str">
        <f t="shared" si="52"/>
        <v>Error?</v>
      </c>
    </row>
    <row r="3451" spans="1:4" x14ac:dyDescent="0.2">
      <c r="A3451" s="5">
        <v>3390</v>
      </c>
      <c r="B3451" s="138">
        <f>'Cap Outlay Deprec 26'!C15</f>
        <v>162852</v>
      </c>
      <c r="D3451" s="2" t="str">
        <f t="shared" si="52"/>
        <v>Error?</v>
      </c>
    </row>
    <row r="3452" spans="1:4" x14ac:dyDescent="0.2">
      <c r="A3452" s="5">
        <v>3391</v>
      </c>
      <c r="B3452" s="138">
        <f>'Cap Outlay Deprec 26'!D15</f>
        <v>1708687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1871539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1871539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46200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46200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46200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46200</v>
      </c>
      <c r="C3568" s="2" t="s">
        <v>593</v>
      </c>
      <c r="D3568" s="2" t="str">
        <f t="shared" si="54"/>
        <v>Error?</v>
      </c>
    </row>
    <row r="3569" spans="1:4" x14ac:dyDescent="0.2">
      <c r="A3569" s="5">
        <v>3508</v>
      </c>
      <c r="B3569" s="138">
        <f>'Acct Summary 7-8'!K4</f>
        <v>29383</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29383</v>
      </c>
      <c r="C3571" s="2" t="s">
        <v>593</v>
      </c>
      <c r="D3571" s="2" t="str">
        <f t="shared" si="54"/>
        <v>Error?</v>
      </c>
    </row>
    <row r="3572" spans="1:4" x14ac:dyDescent="0.2">
      <c r="A3572" s="5">
        <v>3511</v>
      </c>
      <c r="B3572" s="138">
        <f>'Acct Summary 7-8'!K13</f>
        <v>38493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38493</v>
      </c>
      <c r="C3575" s="2" t="s">
        <v>593</v>
      </c>
      <c r="D3575" s="2" t="str">
        <f t="shared" si="54"/>
        <v>Error?</v>
      </c>
    </row>
    <row r="3576" spans="1:4" x14ac:dyDescent="0.2">
      <c r="A3576" s="5">
        <v>3515</v>
      </c>
      <c r="B3576" s="138">
        <f>'Acct Summary 7-8'!K20</f>
        <v>-9110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-9110</v>
      </c>
      <c r="C3588" s="2" t="s">
        <v>593</v>
      </c>
      <c r="D3588" s="2" t="str">
        <f t="shared" si="55"/>
        <v>Error?</v>
      </c>
    </row>
    <row r="3589" spans="1:4" x14ac:dyDescent="0.2">
      <c r="A3589" s="5">
        <v>3528</v>
      </c>
      <c r="B3589" s="138">
        <f>'Acct Summary 7-8'!K79</f>
        <v>55310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46200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13844</v>
      </c>
      <c r="D3632" s="2" t="str">
        <f t="shared" si="55"/>
        <v>Error?</v>
      </c>
    </row>
    <row r="3633" spans="1:4" x14ac:dyDescent="0.2">
      <c r="A3633" s="5">
        <v>3572</v>
      </c>
      <c r="B3633" s="138">
        <f>'Expenditures 15-22'!E350</f>
        <v>13844</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13844</v>
      </c>
      <c r="C3635" s="2" t="s">
        <v>593</v>
      </c>
      <c r="D3635" s="2" t="str">
        <f t="shared" si="55"/>
        <v>Error?</v>
      </c>
    </row>
    <row r="3636" spans="1:4" x14ac:dyDescent="0.2">
      <c r="A3636" s="5">
        <v>3575</v>
      </c>
      <c r="B3636" s="138">
        <f>'Expenditures 15-22'!E367</f>
        <v>13844</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24649</v>
      </c>
      <c r="D3646" s="2" t="str">
        <f t="shared" si="55"/>
        <v>Error?</v>
      </c>
    </row>
    <row r="3647" spans="1:4" x14ac:dyDescent="0.2">
      <c r="A3647" s="5">
        <v>3586</v>
      </c>
      <c r="B3647" s="138">
        <f>'Expenditures 15-22'!G350</f>
        <v>24649</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24649</v>
      </c>
      <c r="C3649" s="2" t="s">
        <v>593</v>
      </c>
      <c r="D3649" s="2" t="str">
        <f t="shared" si="56"/>
        <v>Error?</v>
      </c>
    </row>
    <row r="3650" spans="1:4" x14ac:dyDescent="0.2">
      <c r="A3650" s="5">
        <v>3589</v>
      </c>
      <c r="B3650" s="138">
        <f>'Expenditures 15-22'!G367</f>
        <v>24649</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38493</v>
      </c>
      <c r="C3669" s="2" t="s">
        <v>593</v>
      </c>
      <c r="D3669" s="2" t="str">
        <f t="shared" si="56"/>
        <v>Error?</v>
      </c>
    </row>
    <row r="3670" spans="1:4" x14ac:dyDescent="0.2">
      <c r="A3670" s="5">
        <v>3609</v>
      </c>
      <c r="B3670" s="138">
        <f>'Expenditures 15-22'!K350</f>
        <v>38493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38493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38493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-9110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29134</v>
      </c>
      <c r="C3725" s="2" t="s">
        <v>593</v>
      </c>
      <c r="D3725" s="2" t="str">
        <f t="shared" si="57"/>
        <v>Error?</v>
      </c>
    </row>
    <row r="3726" spans="1:4" x14ac:dyDescent="0.2">
      <c r="A3726" s="5">
        <v>3665</v>
      </c>
      <c r="B3726" s="138">
        <f>'Tax Sched 23'!D13</f>
        <v>29134</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29732</v>
      </c>
      <c r="C3728" s="2" t="s">
        <v>593</v>
      </c>
      <c r="D3728" s="2" t="str">
        <f t="shared" si="57"/>
        <v>Error?</v>
      </c>
    </row>
    <row r="3729" spans="1:4" x14ac:dyDescent="0.2">
      <c r="A3729" s="5">
        <v>3668</v>
      </c>
      <c r="B3729" s="138">
        <f>'Tax Sched 23'!E13</f>
        <v>29732</v>
      </c>
      <c r="D3729" s="2" t="str">
        <f t="shared" si="57"/>
        <v>Error?</v>
      </c>
    </row>
    <row r="3730" spans="1:4" x14ac:dyDescent="0.2">
      <c r="A3730" s="5">
        <v>3669</v>
      </c>
      <c r="B3730" s="138">
        <f>'ICR Computation 30'!E10</f>
        <v>169455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2024036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6189279</v>
      </c>
      <c r="C4122" s="2" t="s">
        <v>593</v>
      </c>
      <c r="D4122" s="2" t="str">
        <f t="shared" si="63"/>
        <v>Error?</v>
      </c>
    </row>
    <row r="4123" spans="1:4" x14ac:dyDescent="0.2">
      <c r="A4123" s="5">
        <v>4062</v>
      </c>
      <c r="B4123" s="138">
        <f>'Acct Summary 7-8'!D10</f>
        <v>299524</v>
      </c>
      <c r="C4123" s="2" t="s">
        <v>593</v>
      </c>
      <c r="D4123" s="2" t="str">
        <f t="shared" si="63"/>
        <v>Error?</v>
      </c>
    </row>
    <row r="4124" spans="1:4" x14ac:dyDescent="0.2">
      <c r="A4124" s="5">
        <v>4063</v>
      </c>
      <c r="B4124" s="138">
        <f>'Acct Summary 7-8'!E10</f>
        <v>467859</v>
      </c>
      <c r="C4124" s="2" t="s">
        <v>593</v>
      </c>
      <c r="D4124" s="2" t="str">
        <f t="shared" si="63"/>
        <v>Error?</v>
      </c>
    </row>
    <row r="4125" spans="1:4" x14ac:dyDescent="0.2">
      <c r="A4125" s="5">
        <v>4064</v>
      </c>
      <c r="B4125" s="138">
        <f>'Acct Summary 7-8'!F10</f>
        <v>282909</v>
      </c>
      <c r="C4125" s="2" t="s">
        <v>593</v>
      </c>
      <c r="D4125" s="2" t="str">
        <f t="shared" si="63"/>
        <v>Error?</v>
      </c>
    </row>
    <row r="4126" spans="1:4" x14ac:dyDescent="0.2">
      <c r="A4126" s="5">
        <v>4065</v>
      </c>
      <c r="B4126" s="138">
        <f>'Acct Summary 7-8'!G10</f>
        <v>161992</v>
      </c>
      <c r="C4126" s="2" t="s">
        <v>593</v>
      </c>
      <c r="D4126" s="2" t="str">
        <f t="shared" si="63"/>
        <v>Error?</v>
      </c>
    </row>
    <row r="4127" spans="1:4" x14ac:dyDescent="0.2">
      <c r="A4127" s="5">
        <v>4066</v>
      </c>
      <c r="B4127" s="138">
        <f>'Acct Summary 7-8'!H10</f>
        <v>1412</v>
      </c>
      <c r="C4127" s="2" t="s">
        <v>593</v>
      </c>
      <c r="D4127" s="2" t="str">
        <f t="shared" si="63"/>
        <v>Error?</v>
      </c>
    </row>
    <row r="4128" spans="1:4" x14ac:dyDescent="0.2">
      <c r="A4128" s="5">
        <v>4067</v>
      </c>
      <c r="B4128" s="138">
        <f>'Acct Summary 7-8'!I10</f>
        <v>30997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29383</v>
      </c>
      <c r="C4130" s="2" t="s">
        <v>593</v>
      </c>
      <c r="D4130" s="2" t="str">
        <f t="shared" si="63"/>
        <v>Error?</v>
      </c>
    </row>
    <row r="4131" spans="1:4" x14ac:dyDescent="0.2">
      <c r="A4131" s="5">
        <v>4070</v>
      </c>
      <c r="B4131" s="138">
        <f>'Acct Summary 7-8'!C18</f>
        <v>2024036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6106637</v>
      </c>
      <c r="C4136" s="2" t="s">
        <v>593</v>
      </c>
      <c r="D4136" s="2" t="str">
        <f t="shared" si="63"/>
        <v>Error?</v>
      </c>
    </row>
    <row r="4137" spans="1:4" x14ac:dyDescent="0.2">
      <c r="A4137" s="5">
        <v>4076</v>
      </c>
      <c r="B4137" s="138">
        <f>'Acct Summary 7-8'!D19</f>
        <v>354368</v>
      </c>
      <c r="C4137" s="2" t="s">
        <v>593</v>
      </c>
      <c r="D4137" s="2" t="str">
        <f t="shared" si="63"/>
        <v>Error?</v>
      </c>
    </row>
    <row r="4138" spans="1:4" x14ac:dyDescent="0.2">
      <c r="A4138" s="5">
        <v>4077</v>
      </c>
      <c r="B4138" s="138">
        <f>'Acct Summary 7-8'!E19</f>
        <v>1315688</v>
      </c>
      <c r="C4138" s="2" t="s">
        <v>593</v>
      </c>
      <c r="D4138" s="2" t="str">
        <f t="shared" si="63"/>
        <v>Error?</v>
      </c>
    </row>
    <row r="4139" spans="1:4" x14ac:dyDescent="0.2">
      <c r="A4139" s="5">
        <v>4078</v>
      </c>
      <c r="B4139" s="138">
        <f>'Acct Summary 7-8'!F19</f>
        <v>252180</v>
      </c>
      <c r="C4139" s="2" t="s">
        <v>593</v>
      </c>
      <c r="D4139" s="2" t="str">
        <f t="shared" si="63"/>
        <v>Error?</v>
      </c>
    </row>
    <row r="4140" spans="1:4" x14ac:dyDescent="0.2">
      <c r="A4140" s="5">
        <v>4079</v>
      </c>
      <c r="B4140" s="138">
        <f>'Acct Summary 7-8'!G19</f>
        <v>130303</v>
      </c>
      <c r="C4140" s="2" t="s">
        <v>593</v>
      </c>
      <c r="D4140" s="2" t="str">
        <f t="shared" si="63"/>
        <v>Error?</v>
      </c>
    </row>
    <row r="4141" spans="1:4" x14ac:dyDescent="0.2">
      <c r="A4141" s="5">
        <v>4080</v>
      </c>
      <c r="B4141" s="138">
        <f>'Acct Summary 7-8'!H19</f>
        <v>1708687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38493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5643106</v>
      </c>
      <c r="C4171" s="2" t="s">
        <v>593</v>
      </c>
      <c r="D4171" s="2" t="str">
        <f t="shared" si="64"/>
        <v>Error?</v>
      </c>
    </row>
    <row r="4172" spans="1:4" x14ac:dyDescent="0.2">
      <c r="A4172" s="5">
        <v>4111</v>
      </c>
      <c r="B4172" s="138">
        <f>'Short-Term Long-Term Debt 24'!J49</f>
        <v>5512580</v>
      </c>
      <c r="C4172" s="2" t="s">
        <v>593</v>
      </c>
      <c r="D4172" s="2" t="str">
        <f t="shared" si="64"/>
        <v>Error?</v>
      </c>
    </row>
    <row r="4173" spans="1:4" x14ac:dyDescent="0.2">
      <c r="A4173" s="5">
        <v>4112</v>
      </c>
      <c r="B4173" s="138">
        <f>'Short-Term Long-Term Debt 24'!H49</f>
        <v>1057988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2700</v>
      </c>
      <c r="C4268" s="2" t="s">
        <v>593</v>
      </c>
      <c r="D4268" s="2" t="str">
        <f t="shared" si="65"/>
        <v>Error?</v>
      </c>
    </row>
    <row r="4269" spans="1:5" x14ac:dyDescent="0.2">
      <c r="A4269" s="12">
        <v>4208</v>
      </c>
      <c r="B4269" s="138">
        <f>'FP Info 3'!J16</f>
        <v>2861406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5280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29780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2519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32441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59464812</v>
      </c>
      <c r="D4995" s="2" t="str">
        <f t="shared" si="77"/>
        <v>Error?</v>
      </c>
    </row>
    <row r="4996" spans="1:4" x14ac:dyDescent="0.2">
      <c r="A4996" s="12">
        <v>4935</v>
      </c>
      <c r="B4996" s="138">
        <f>'FP Info 3'!H31</f>
        <v>8206144.0560000008</v>
      </c>
      <c r="D4996" s="2" t="str">
        <f t="shared" si="77"/>
        <v>Error?</v>
      </c>
    </row>
    <row r="4997" spans="1:4" x14ac:dyDescent="0.2">
      <c r="A4997" s="12">
        <v>4936</v>
      </c>
      <c r="B4997" s="138">
        <f>'FP Info 3'!H37</f>
        <v>5643106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29134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1165371</v>
      </c>
      <c r="D5061" s="2" t="str">
        <f t="shared" si="78"/>
        <v>Error?</v>
      </c>
    </row>
    <row r="5062" spans="1:4" x14ac:dyDescent="0.2">
      <c r="A5062" s="10">
        <v>5001</v>
      </c>
      <c r="D5062" s="2" t="str">
        <f t="shared" si="78"/>
        <v>OK</v>
      </c>
    </row>
    <row r="5063" spans="1:4" x14ac:dyDescent="0.2">
      <c r="A5063" s="5">
        <v>5002</v>
      </c>
      <c r="B5063" s="138">
        <f>'Revenues 9-14'!C7</f>
        <v>23307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1217812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167728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167728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8027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8027</v>
      </c>
      <c r="C5087" s="2" t="s">
        <v>593</v>
      </c>
      <c r="D5087" s="2" t="str">
        <f t="shared" si="78"/>
        <v>Error?</v>
      </c>
    </row>
    <row r="5088" spans="1:4" x14ac:dyDescent="0.2">
      <c r="A5088" s="5">
        <v>5027</v>
      </c>
      <c r="B5088" s="138">
        <f>'Revenues 9-14'!C65</f>
        <v>17195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17195</v>
      </c>
      <c r="C5090" s="2" t="s">
        <v>593</v>
      </c>
      <c r="D5090" s="2" t="str">
        <f t="shared" si="78"/>
        <v>Error?</v>
      </c>
    </row>
    <row r="5091" spans="1:4" x14ac:dyDescent="0.2">
      <c r="A5091" s="5">
        <v>5030</v>
      </c>
      <c r="B5091" s="138">
        <f>'Revenues 9-14'!C70</f>
        <v>3574</v>
      </c>
      <c r="D5091" s="2" t="str">
        <f t="shared" si="78"/>
        <v>Error?</v>
      </c>
    </row>
    <row r="5092" spans="1:4" x14ac:dyDescent="0.2">
      <c r="A5092" s="5">
        <v>5031</v>
      </c>
      <c r="B5092" s="138">
        <f>'Revenues 9-14'!C71</f>
        <v>41119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1298</v>
      </c>
      <c r="D5094" s="2" t="str">
        <f t="shared" si="78"/>
        <v>Error?</v>
      </c>
    </row>
    <row r="5095" spans="1:4" x14ac:dyDescent="0.2">
      <c r="A5095" s="5">
        <v>5034</v>
      </c>
      <c r="B5095" s="138">
        <f>'Revenues 9-14'!C74</f>
        <v>5184</v>
      </c>
      <c r="D5095" s="2" t="str">
        <f t="shared" si="78"/>
        <v>Error?</v>
      </c>
    </row>
    <row r="5096" spans="1:4" x14ac:dyDescent="0.2">
      <c r="A5096" s="5">
        <v>5035</v>
      </c>
      <c r="B5096" s="138">
        <f>'Revenues 9-14'!C75</f>
        <v>78935</v>
      </c>
      <c r="C5096" s="2" t="s">
        <v>593</v>
      </c>
      <c r="D5096" s="2" t="str">
        <f t="shared" si="78"/>
        <v>Error?</v>
      </c>
    </row>
    <row r="5097" spans="1:4" x14ac:dyDescent="0.2">
      <c r="A5097" s="5">
        <v>5036</v>
      </c>
      <c r="B5097" s="138">
        <f>'Revenues 9-14'!C77</f>
        <v>12398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12398</v>
      </c>
      <c r="C5102" s="2" t="s">
        <v>593</v>
      </c>
      <c r="D5102" s="2" t="str">
        <f t="shared" si="78"/>
        <v>Error?</v>
      </c>
    </row>
    <row r="5103" spans="1:4" x14ac:dyDescent="0.2">
      <c r="A5103" s="5">
        <v>5042</v>
      </c>
      <c r="B5103" s="138">
        <f>'Revenues 9-14'!C84</f>
        <v>22540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22540</v>
      </c>
      <c r="C5112" s="2" t="s">
        <v>593</v>
      </c>
      <c r="D5112" s="2" t="str">
        <f t="shared" si="78"/>
        <v>Error?</v>
      </c>
    </row>
    <row r="5113" spans="1:4" x14ac:dyDescent="0.2">
      <c r="A5113" s="5">
        <v>5052</v>
      </c>
      <c r="B5113" s="138">
        <f>'Revenues 9-14'!C95</f>
        <v>6000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108</v>
      </c>
      <c r="D5118" s="2" t="str">
        <f t="shared" si="78"/>
        <v>Error?</v>
      </c>
    </row>
    <row r="5119" spans="1:4" x14ac:dyDescent="0.2">
      <c r="A5119" s="5">
        <v>5058</v>
      </c>
      <c r="B5119" s="138">
        <f>'Revenues 9-14'!C107</f>
        <v>6185</v>
      </c>
      <c r="D5119" s="2" t="str">
        <f t="shared" ref="D5119:D5182" si="79">IF(ISBLANK(B5119),"OK",IF(A5119-B5119=0,"OK","Error?"))</f>
        <v>Error?</v>
      </c>
    </row>
    <row r="5120" spans="1:4" x14ac:dyDescent="0.2">
      <c r="A5120" s="5">
        <v>5059</v>
      </c>
      <c r="B5120" s="138">
        <f>'Revenues 9-14'!C108</f>
        <v>13139</v>
      </c>
      <c r="C5120" s="2" t="s">
        <v>593</v>
      </c>
      <c r="D5120" s="2" t="str">
        <f t="shared" si="79"/>
        <v>Error?</v>
      </c>
    </row>
    <row r="5121" spans="1:4" x14ac:dyDescent="0.2">
      <c r="A5121" s="5">
        <v>5060</v>
      </c>
      <c r="B5121" s="138">
        <f>'Revenues 9-14'!C109</f>
        <v>1537774</v>
      </c>
      <c r="C5121" s="2" t="s">
        <v>593</v>
      </c>
      <c r="D5121" s="2" t="str">
        <f t="shared" si="79"/>
        <v>Error?</v>
      </c>
    </row>
    <row r="5122" spans="1:4" x14ac:dyDescent="0.2">
      <c r="A5122" s="5">
        <v>5061</v>
      </c>
      <c r="B5122" s="138">
        <f>'Revenues 9-14'!C111</f>
        <v>21519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21519</v>
      </c>
      <c r="C5125" s="2" t="s">
        <v>593</v>
      </c>
      <c r="D5125" s="2" t="str">
        <f t="shared" si="79"/>
        <v>Error?</v>
      </c>
    </row>
    <row r="5126" spans="1:4" x14ac:dyDescent="0.2">
      <c r="A5126" s="5">
        <v>5065</v>
      </c>
      <c r="B5126" s="138">
        <f>'Revenues 9-14'!C117</f>
        <v>1922854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1922854</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37476</v>
      </c>
      <c r="D5134" s="2" t="str">
        <f t="shared" si="79"/>
        <v>Error?</v>
      </c>
    </row>
    <row r="5135" spans="1:4" x14ac:dyDescent="0.2">
      <c r="A5135" s="5">
        <v>5074</v>
      </c>
      <c r="B5135" s="138">
        <f>'Revenues 9-14'!C126</f>
        <v>51750</v>
      </c>
      <c r="D5135" s="2" t="str">
        <f t="shared" si="79"/>
        <v>Error?</v>
      </c>
    </row>
    <row r="5136" spans="1:4" x14ac:dyDescent="0.2">
      <c r="A5136" s="10">
        <v>5075</v>
      </c>
      <c r="D5136" s="2" t="str">
        <f t="shared" si="79"/>
        <v>OK</v>
      </c>
    </row>
    <row r="5137" spans="1:4" x14ac:dyDescent="0.2">
      <c r="A5137" s="5">
        <v>5076</v>
      </c>
      <c r="B5137" s="138">
        <f>'Revenues 9-14'!C127</f>
        <v>11024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100250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9965</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1432</v>
      </c>
      <c r="D5167" s="2" t="str">
        <f t="shared" si="79"/>
        <v>Error?</v>
      </c>
    </row>
    <row r="5168" spans="1:4" x14ac:dyDescent="0.2">
      <c r="A5168" s="5">
        <v>5107</v>
      </c>
      <c r="B5168" s="138">
        <f>'Revenues 9-14'!C147</f>
        <v>9130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312747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436043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2358897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69964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17039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87003</v>
      </c>
      <c r="C5246" s="2" t="s">
        <v>593</v>
      </c>
      <c r="D5246" s="2" t="str">
        <f t="shared" si="80"/>
        <v>Error?</v>
      </c>
    </row>
    <row r="5247" spans="1:4" x14ac:dyDescent="0.2">
      <c r="A5247" s="5">
        <v>5186</v>
      </c>
      <c r="B5247" s="138">
        <f>'Revenues 9-14'!C203</f>
        <v>92549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92549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247053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247053</v>
      </c>
      <c r="C5326" s="2" t="s">
        <v>593</v>
      </c>
      <c r="D5326" s="2" t="str">
        <f t="shared" si="82"/>
        <v>Error?</v>
      </c>
    </row>
    <row r="5327" spans="1:4" x14ac:dyDescent="0.2">
      <c r="A5327" s="5">
        <v>5266</v>
      </c>
      <c r="B5327" s="138">
        <f>'Revenues 9-14'!C275</f>
        <v>4165243</v>
      </c>
      <c r="C5327" s="2" t="s">
        <v>593</v>
      </c>
      <c r="D5327" s="2" t="str">
        <f t="shared" si="82"/>
        <v>Error?</v>
      </c>
    </row>
    <row r="5328" spans="1:4" x14ac:dyDescent="0.2">
      <c r="A5328" s="5">
        <v>5267</v>
      </c>
      <c r="B5328" s="138">
        <f>'Revenues 9-14'!D5</f>
        <v>291343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291343</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7793</v>
      </c>
      <c r="D5354" s="2" t="str">
        <f t="shared" si="82"/>
        <v>Error?</v>
      </c>
    </row>
    <row r="5355" spans="1:4" x14ac:dyDescent="0.2">
      <c r="A5355" s="5">
        <v>5294</v>
      </c>
      <c r="B5355" s="138">
        <f>'Revenues 9-14'!D108</f>
        <v>7998</v>
      </c>
      <c r="C5355" s="2" t="s">
        <v>593</v>
      </c>
      <c r="D5355" s="2" t="str">
        <f t="shared" si="82"/>
        <v>Error?</v>
      </c>
    </row>
    <row r="5356" spans="1:4" x14ac:dyDescent="0.2">
      <c r="A5356" s="5">
        <v>5295</v>
      </c>
      <c r="B5356" s="138">
        <f>'Revenues 9-14'!D109</f>
        <v>299524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299524</v>
      </c>
      <c r="C5508" s="2" t="s">
        <v>593</v>
      </c>
      <c r="D5508" s="2" t="str">
        <f t="shared" si="85"/>
        <v>Error?</v>
      </c>
    </row>
    <row r="5509" spans="1:4" x14ac:dyDescent="0.2">
      <c r="A5509" s="5">
        <v>5448</v>
      </c>
      <c r="B5509" s="138">
        <f>'Revenues 9-14'!E5</f>
        <v>467271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467271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588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467859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467859</v>
      </c>
      <c r="C5552" s="2" t="s">
        <v>593</v>
      </c>
      <c r="D5552" s="2" t="str">
        <f t="shared" si="85"/>
        <v>Error?</v>
      </c>
    </row>
    <row r="5553" spans="1:4" x14ac:dyDescent="0.2">
      <c r="A5553" s="5">
        <v>5492</v>
      </c>
      <c r="B5553" s="138">
        <f>'Revenues 9-14'!F5</f>
        <v>116537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116537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1500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1500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1632</v>
      </c>
      <c r="D5586" s="2" t="str">
        <f t="shared" si="86"/>
        <v>Error?</v>
      </c>
    </row>
    <row r="5587" spans="1:4" x14ac:dyDescent="0.2">
      <c r="A5587" s="5">
        <v>5526</v>
      </c>
      <c r="B5587" s="138">
        <f>'Revenues 9-14'!F108</f>
        <v>1632</v>
      </c>
      <c r="C5587" s="2" t="s">
        <v>593</v>
      </c>
      <c r="D5587" s="2" t="str">
        <f t="shared" si="86"/>
        <v>Error?</v>
      </c>
    </row>
    <row r="5588" spans="1:4" x14ac:dyDescent="0.2">
      <c r="A5588" s="5">
        <v>5527</v>
      </c>
      <c r="B5588" s="138">
        <f>'Revenues 9-14'!F109</f>
        <v>119669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151401</v>
      </c>
      <c r="D5615" s="2" t="str">
        <f t="shared" si="86"/>
        <v>Error?</v>
      </c>
    </row>
    <row r="5616" spans="1:4" x14ac:dyDescent="0.2">
      <c r="A5616" s="10">
        <v>5555</v>
      </c>
      <c r="D5616" s="2" t="str">
        <f t="shared" si="86"/>
        <v>OK</v>
      </c>
    </row>
    <row r="5617" spans="1:4" x14ac:dyDescent="0.2">
      <c r="A5617" s="5">
        <v>5556</v>
      </c>
      <c r="B5617" s="138">
        <f>'Revenues 9-14'!F152</f>
        <v>11839</v>
      </c>
      <c r="D5617" s="2" t="str">
        <f t="shared" si="86"/>
        <v>Error?</v>
      </c>
    </row>
    <row r="5618" spans="1:4" x14ac:dyDescent="0.2">
      <c r="A5618" s="5">
        <v>5557</v>
      </c>
      <c r="B5618" s="138">
        <f>'Revenues 9-14'!F154</f>
        <v>163240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163240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163240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282909</v>
      </c>
      <c r="C5720" s="2" t="s">
        <v>593</v>
      </c>
      <c r="D5720" s="2" t="str">
        <f t="shared" si="88"/>
        <v>Error?</v>
      </c>
    </row>
    <row r="5721" spans="1:4" x14ac:dyDescent="0.2">
      <c r="A5721" s="5">
        <v>5660</v>
      </c>
      <c r="B5721" s="138">
        <f>'Revenues 9-14'!G5</f>
        <v>72862</v>
      </c>
      <c r="D5721" s="2" t="str">
        <f t="shared" si="88"/>
        <v>Error?</v>
      </c>
    </row>
    <row r="5722" spans="1:4" x14ac:dyDescent="0.2">
      <c r="A5722" s="5">
        <v>5661</v>
      </c>
      <c r="B5722" s="138">
        <f>'Revenues 9-14'!G7</f>
        <v>0</v>
      </c>
      <c r="D5722" s="2" t="str">
        <f t="shared" si="88"/>
        <v>Error?</v>
      </c>
    </row>
    <row r="5723" spans="1:4" x14ac:dyDescent="0.2">
      <c r="A5723" s="5">
        <v>5662</v>
      </c>
      <c r="B5723" s="138">
        <f>'Revenues 9-14'!G8</f>
        <v>79849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152711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8742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8742</v>
      </c>
      <c r="C5730" s="2" t="s">
        <v>593</v>
      </c>
      <c r="D5730" s="2" t="str">
        <f t="shared" si="88"/>
        <v>Error?</v>
      </c>
    </row>
    <row r="5731" spans="1:4" x14ac:dyDescent="0.2">
      <c r="A5731" s="5">
        <v>5670</v>
      </c>
      <c r="B5731" s="138">
        <f>'Revenues 9-14'!G65</f>
        <v>539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161992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1412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1412</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1412</v>
      </c>
      <c r="C5915" s="2" t="s">
        <v>593</v>
      </c>
      <c r="D5915" s="2" t="str">
        <f t="shared" si="91"/>
        <v>Error?</v>
      </c>
    </row>
    <row r="5916" spans="1:4" x14ac:dyDescent="0.2">
      <c r="A5916" s="5">
        <v>5855</v>
      </c>
      <c r="B5916" s="138">
        <f>'Revenues 9-14'!I5</f>
        <v>29134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29134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1863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1863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30997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29134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29134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29383</v>
      </c>
      <c r="C6023" s="2" t="s">
        <v>593</v>
      </c>
      <c r="D6023" s="2" t="str">
        <f t="shared" si="93"/>
        <v>Error?</v>
      </c>
    </row>
    <row r="6024" spans="1:5" x14ac:dyDescent="0.2">
      <c r="A6024" s="5">
        <v>5963</v>
      </c>
      <c r="B6024" s="138">
        <f>'Revenues 9-14'!G109</f>
        <v>161992</v>
      </c>
      <c r="C6024" s="2" t="s">
        <v>593</v>
      </c>
      <c r="D6024" s="2" t="str">
        <f t="shared" si="93"/>
        <v>Error?</v>
      </c>
    </row>
    <row r="6025" spans="1:5" x14ac:dyDescent="0.2">
      <c r="A6025" s="5">
        <v>5964</v>
      </c>
      <c r="B6025" s="138">
        <f>'Revenues 9-14'!H109</f>
        <v>1412</v>
      </c>
      <c r="C6025" s="2" t="s">
        <v>593</v>
      </c>
      <c r="D6025" s="2" t="str">
        <f t="shared" si="93"/>
        <v>Error?</v>
      </c>
    </row>
    <row r="6026" spans="1:5" x14ac:dyDescent="0.2">
      <c r="A6026" s="5">
        <v>5965</v>
      </c>
      <c r="B6026" s="138">
        <f>'Revenues 9-14'!I109</f>
        <v>30997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29383</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27760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11746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533.14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406019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406019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406019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406019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406019</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1217</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18768</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-19173</v>
      </c>
      <c r="D6267" s="2" t="str">
        <f t="shared" si="96"/>
        <v>Error?</v>
      </c>
      <c r="E6267" s="2" t="s">
        <v>199</v>
      </c>
    </row>
    <row r="6268" spans="1:5" x14ac:dyDescent="0.2">
      <c r="A6268">
        <v>6207</v>
      </c>
      <c r="B6268" s="138">
        <f>'Acct Summary 7-8'!D82</f>
        <v>-54844</v>
      </c>
      <c r="D6268" s="2" t="str">
        <f t="shared" si="96"/>
        <v>Error?</v>
      </c>
      <c r="E6268" s="2" t="s">
        <v>199</v>
      </c>
    </row>
    <row r="6269" spans="1:5" x14ac:dyDescent="0.2">
      <c r="A6269">
        <v>6208</v>
      </c>
      <c r="B6269" s="138">
        <f>'Acct Summary 7-8'!E82</f>
        <v>21306</v>
      </c>
      <c r="D6269" s="2" t="str">
        <f t="shared" si="96"/>
        <v>Error?</v>
      </c>
      <c r="E6269" s="2" t="s">
        <v>199</v>
      </c>
    </row>
    <row r="6270" spans="1:5" x14ac:dyDescent="0.2">
      <c r="A6270">
        <v>6209</v>
      </c>
      <c r="B6270" s="138">
        <f>'Acct Summary 7-8'!F82</f>
        <v>21289</v>
      </c>
      <c r="D6270" s="2" t="str">
        <f t="shared" si="96"/>
        <v>Error?</v>
      </c>
      <c r="E6270" s="2" t="s">
        <v>199</v>
      </c>
    </row>
    <row r="6271" spans="1:5" x14ac:dyDescent="0.2">
      <c r="A6271">
        <v>6210</v>
      </c>
      <c r="B6271" s="138">
        <f>'Acct Summary 7-8'!G82</f>
        <v>31689</v>
      </c>
      <c r="D6271" s="2" t="str">
        <f t="shared" ref="D6271:D6334" si="97">IF(ISBLANK(B6271),"OK",IF(A6271-B6271=0,"OK","Error?"))</f>
        <v>Error?</v>
      </c>
      <c r="E6271" s="2" t="s">
        <v>199</v>
      </c>
    </row>
    <row r="6272" spans="1:5" x14ac:dyDescent="0.2">
      <c r="A6272">
        <v>6211</v>
      </c>
      <c r="B6272" s="138">
        <f>'Acct Summary 7-8'!H82</f>
        <v>-1707275</v>
      </c>
      <c r="D6272" s="2" t="str">
        <f t="shared" si="97"/>
        <v>Error?</v>
      </c>
      <c r="E6272" s="2" t="s">
        <v>199</v>
      </c>
    </row>
    <row r="6273" spans="1:5" x14ac:dyDescent="0.2">
      <c r="A6273">
        <v>6212</v>
      </c>
      <c r="B6273" s="138">
        <f>'Acct Summary 7-8'!I82</f>
        <v>30997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-9110</v>
      </c>
      <c r="D6275" s="2" t="str">
        <f t="shared" si="97"/>
        <v>Error?</v>
      </c>
      <c r="E6275" s="2" t="s">
        <v>199</v>
      </c>
    </row>
    <row r="6276" spans="1:5" x14ac:dyDescent="0.2">
      <c r="A6276">
        <v>6215</v>
      </c>
      <c r="B6276" s="138">
        <f>'Acct Summary 7-8'!C83</f>
        <v>-8.9603632562015225E-3</v>
      </c>
      <c r="D6276" s="2" t="str">
        <f t="shared" si="97"/>
        <v>Error?</v>
      </c>
      <c r="E6276" s="2" t="s">
        <v>199</v>
      </c>
    </row>
    <row r="6277" spans="1:5" x14ac:dyDescent="0.2">
      <c r="A6277">
        <v>6216</v>
      </c>
      <c r="B6277" s="138">
        <f>'Acct Summary 7-8'!D83</f>
        <v>-5.5843600448019552</v>
      </c>
      <c r="D6277" s="2" t="str">
        <f t="shared" si="97"/>
        <v>Error?</v>
      </c>
      <c r="E6277" s="2" t="s">
        <v>199</v>
      </c>
    </row>
    <row r="6278" spans="1:5" x14ac:dyDescent="0.2">
      <c r="A6278">
        <v>6217</v>
      </c>
      <c r="B6278" s="138">
        <f>'Acct Summary 7-8'!E83</f>
        <v>0.16323184652866096</v>
      </c>
      <c r="D6278" s="2" t="str">
        <f t="shared" si="97"/>
        <v>Error?</v>
      </c>
      <c r="E6278" s="2" t="s">
        <v>199</v>
      </c>
    </row>
    <row r="6279" spans="1:5" x14ac:dyDescent="0.2">
      <c r="A6279">
        <v>6218</v>
      </c>
      <c r="B6279" s="138">
        <f>'Acct Summary 7-8'!F83</f>
        <v>6.7269136582668462E-2</v>
      </c>
      <c r="D6279" s="2" t="str">
        <f t="shared" si="97"/>
        <v>Error?</v>
      </c>
      <c r="E6279" s="2" t="s">
        <v>199</v>
      </c>
    </row>
    <row r="6280" spans="1:5" x14ac:dyDescent="0.2">
      <c r="A6280">
        <v>6219</v>
      </c>
      <c r="B6280" s="138">
        <f>'Acct Summary 7-8'!G83</f>
        <v>0.25196794046085585</v>
      </c>
      <c r="D6280" s="2" t="str">
        <f t="shared" si="97"/>
        <v>Error?</v>
      </c>
      <c r="E6280" s="2" t="s">
        <v>199</v>
      </c>
    </row>
    <row r="6281" spans="1:5" x14ac:dyDescent="0.2">
      <c r="A6281">
        <v>6220</v>
      </c>
      <c r="B6281" s="138">
        <f>'Acct Summary 7-8'!H83</f>
        <v>-4.2214977350503435</v>
      </c>
      <c r="D6281" s="2" t="str">
        <f t="shared" si="97"/>
        <v>Error?</v>
      </c>
      <c r="E6281" s="2" t="s">
        <v>199</v>
      </c>
    </row>
    <row r="6282" spans="1:5" x14ac:dyDescent="0.2">
      <c r="A6282">
        <v>6221</v>
      </c>
      <c r="B6282" s="138">
        <f>'Acct Summary 7-8'!I83</f>
        <v>7.8403350929422563E-2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-0.19718614718614719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78047</v>
      </c>
      <c r="D6286" s="2" t="str">
        <f t="shared" si="97"/>
        <v>Error?</v>
      </c>
      <c r="E6286" s="2" t="s">
        <v>199</v>
      </c>
    </row>
    <row r="6287" spans="1:5" x14ac:dyDescent="0.2">
      <c r="A6287">
        <v>6226</v>
      </c>
      <c r="B6287" s="138">
        <f>'Acct Summary 7-8'!E39</f>
        <v>23768</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406019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406019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406019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9965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122472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220278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60026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406019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406019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781</v>
      </c>
      <c r="D7079" s="2" t="str">
        <f t="shared" si="109"/>
        <v>Error?</v>
      </c>
    </row>
    <row r="7080" spans="1:4" x14ac:dyDescent="0.2">
      <c r="A7080">
        <v>7019</v>
      </c>
      <c r="B7080" s="138">
        <f>'Expenditures 15-22'!K226</f>
        <v>781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29304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29304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8655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8655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44503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44503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320080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320080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3477</v>
      </c>
      <c r="D7198" s="2" t="str">
        <f t="shared" si="111"/>
        <v>Error?</v>
      </c>
    </row>
    <row r="7199" spans="1:4" x14ac:dyDescent="0.2">
      <c r="A7199">
        <v>7138</v>
      </c>
      <c r="B7199" s="138">
        <f>'Expenditures 15-22'!C330</f>
        <v>320080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85939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406019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320080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85939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406019</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28511</v>
      </c>
      <c r="D7246" s="2" t="str">
        <f t="shared" si="112"/>
        <v>Error?</v>
      </c>
    </row>
    <row r="7247" spans="1:4" x14ac:dyDescent="0.2">
      <c r="A7247">
        <f t="shared" si="113"/>
        <v>7186</v>
      </c>
      <c r="B7247" s="138">
        <f>'Expenditures 15-22'!E7</f>
        <v>59988</v>
      </c>
      <c r="D7247" s="2" t="str">
        <f t="shared" si="112"/>
        <v>Error?</v>
      </c>
    </row>
    <row r="7248" spans="1:4" x14ac:dyDescent="0.2">
      <c r="A7248">
        <f t="shared" si="113"/>
        <v>7187</v>
      </c>
      <c r="B7248" s="138">
        <f>'Expenditures 15-22'!F7</f>
        <v>8343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964</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45771</v>
      </c>
      <c r="D7263" s="2" t="str">
        <f t="shared" si="112"/>
        <v>Error?</v>
      </c>
    </row>
    <row r="7264" spans="1:4" x14ac:dyDescent="0.2">
      <c r="A7264">
        <f t="shared" si="113"/>
        <v>7203</v>
      </c>
      <c r="B7264" s="138">
        <f>'Expenditures 15-22'!D17</f>
        <v>10871</v>
      </c>
      <c r="D7264" s="2" t="str">
        <f t="shared" si="112"/>
        <v>Error?</v>
      </c>
    </row>
    <row r="7265" spans="1:5" x14ac:dyDescent="0.2">
      <c r="A7265">
        <f t="shared" si="113"/>
        <v>7204</v>
      </c>
      <c r="B7265" s="138">
        <f>'Expenditures 15-22'!E17</f>
        <v>1277</v>
      </c>
      <c r="D7265" s="2" t="str">
        <f t="shared" si="112"/>
        <v>Error?</v>
      </c>
    </row>
    <row r="7266" spans="1:5" x14ac:dyDescent="0.2">
      <c r="A7266">
        <f t="shared" si="113"/>
        <v>7205</v>
      </c>
      <c r="B7266" s="138">
        <f>'Expenditures 15-22'!F17</f>
        <v>2107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253747</v>
      </c>
      <c r="D7615" s="2" t="str">
        <f t="shared" ref="D7615:D7678" si="124">IF(ISBLANK(B7615),"OK",IF(A7615-B7615=0,"OK","Error?"))</f>
        <v>Error?</v>
      </c>
      <c r="E7615" s="2" t="s">
        <v>19</v>
      </c>
    </row>
    <row r="7616" spans="1:5" x14ac:dyDescent="0.2">
      <c r="A7616">
        <f t="shared" si="123"/>
        <v>7555</v>
      </c>
      <c r="B7616" s="138">
        <f>'Cap Outlay Deprec 26'!D14</f>
        <v>16873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270620</v>
      </c>
      <c r="D7618" s="2" t="str">
        <f t="shared" si="124"/>
        <v>Error?</v>
      </c>
      <c r="E7618" s="2" t="s">
        <v>19</v>
      </c>
    </row>
    <row r="7619" spans="1:5" x14ac:dyDescent="0.2">
      <c r="A7619">
        <f t="shared" si="123"/>
        <v>7558</v>
      </c>
      <c r="B7619" s="138">
        <f>'Cap Outlay Deprec 26'!H14</f>
        <v>234092</v>
      </c>
      <c r="D7619" s="2" t="str">
        <f t="shared" si="124"/>
        <v>Error?</v>
      </c>
      <c r="E7619" s="2" t="s">
        <v>19</v>
      </c>
    </row>
    <row r="7620" spans="1:5" x14ac:dyDescent="0.2">
      <c r="A7620">
        <f t="shared" si="123"/>
        <v>7559</v>
      </c>
      <c r="B7620" s="138">
        <f>'Cap Outlay Deprec 26'!I14</f>
        <v>24510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258602</v>
      </c>
      <c r="D7622" s="2" t="str">
        <f t="shared" si="124"/>
        <v>Error?</v>
      </c>
      <c r="E7622" s="2" t="s">
        <v>19</v>
      </c>
    </row>
    <row r="7623" spans="1:5" x14ac:dyDescent="0.2">
      <c r="A7623">
        <f t="shared" si="123"/>
        <v>7562</v>
      </c>
      <c r="B7623" s="138">
        <f>'Cap Outlay Deprec 26'!L14</f>
        <v>12018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201029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76830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5000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9130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9130</v>
      </c>
      <c r="D7719" s="2" t="str">
        <f t="shared" si="126"/>
        <v>Error?</v>
      </c>
      <c r="E7719" s="2" t="s">
        <v>880</v>
      </c>
    </row>
    <row r="7720" spans="1:6" x14ac:dyDescent="0.2">
      <c r="A7720">
        <v>7659</v>
      </c>
      <c r="B7720" s="138">
        <f>'Rest Tax Levies-Tort Im 25'!H14</f>
        <v>23307</v>
      </c>
      <c r="D7720" s="2" t="str">
        <f t="shared" si="126"/>
        <v>Error?</v>
      </c>
      <c r="E7720" s="2" t="s">
        <v>880</v>
      </c>
    </row>
    <row r="7721" spans="1:6" x14ac:dyDescent="0.2">
      <c r="A7721">
        <v>7660</v>
      </c>
      <c r="B7721" s="138">
        <f>'Rest Tax Levies-Tort Im 25'!K14</f>
        <v>9130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0</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1252</v>
      </c>
      <c r="B2" s="2399"/>
      <c r="C2" s="2399"/>
      <c r="D2" s="2399"/>
      <c r="E2" s="2399"/>
      <c r="F2" s="2399"/>
      <c r="G2" s="2399"/>
      <c r="H2" s="2399"/>
      <c r="I2" s="2399"/>
      <c r="J2" s="2399"/>
      <c r="K2" s="2399"/>
      <c r="L2" s="2399"/>
    </row>
    <row r="3" spans="1:29" ht="13.5" customHeight="1" x14ac:dyDescent="0.2">
      <c r="A3" s="2430" t="s">
        <v>1251</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1" t="str">
        <f>COVER!A17</f>
        <v>Goreville CUD 1</v>
      </c>
      <c r="B7" s="2422"/>
      <c r="C7" s="2422"/>
      <c r="D7" s="2423"/>
      <c r="E7" s="2424">
        <f>COVER!A13</f>
        <v>21044001026</v>
      </c>
      <c r="F7" s="2425"/>
      <c r="G7" s="2431" t="str">
        <f>COVER!T23</f>
        <v>066-005023</v>
      </c>
      <c r="H7" s="2432"/>
      <c r="I7" s="2432"/>
      <c r="J7" s="2432"/>
      <c r="K7" s="2432"/>
      <c r="L7" s="243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DR STEVEN D WEBB</v>
      </c>
      <c r="B10" s="2412"/>
      <c r="C10" s="2412"/>
      <c r="D10" s="2412"/>
      <c r="E10" s="2412"/>
      <c r="F10" s="2413"/>
      <c r="G10" s="2405" t="str">
        <f>COVER!T17</f>
        <v>139 W VIENNA ST - PO BOX 556</v>
      </c>
      <c r="H10" s="2406"/>
      <c r="I10" s="2406"/>
      <c r="J10" s="2406"/>
      <c r="K10" s="2406"/>
      <c r="L10" s="2407"/>
    </row>
    <row r="11" spans="1:29" ht="13.5" customHeight="1" x14ac:dyDescent="0.2">
      <c r="A11" s="1185" t="s">
        <v>1598</v>
      </c>
      <c r="B11" s="1186"/>
      <c r="C11" s="1187"/>
      <c r="D11" s="1192"/>
      <c r="E11" s="1187"/>
      <c r="F11" s="1191"/>
      <c r="G11" s="2405" t="str">
        <f>COVER!T19</f>
        <v>ANNA</v>
      </c>
      <c r="H11" s="2406"/>
      <c r="I11" s="2406"/>
      <c r="J11" s="2406"/>
      <c r="K11" s="2406"/>
      <c r="L11" s="2407"/>
    </row>
    <row r="12" spans="1:29" ht="13.5" customHeight="1" x14ac:dyDescent="0.2">
      <c r="A12" s="2414" t="s">
        <v>1597</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1599</v>
      </c>
      <c r="H13" s="2401"/>
      <c r="I13" s="2417" t="str">
        <f>COVER!T25</f>
        <v>shickam@frontier.com</v>
      </c>
      <c r="J13" s="2418"/>
      <c r="K13" s="2418"/>
      <c r="L13" s="2419"/>
    </row>
    <row r="14" spans="1:29" ht="13.5" customHeight="1" x14ac:dyDescent="0.2">
      <c r="A14" s="2405" t="str">
        <f>COVER!A19</f>
        <v>201 S FERNE CLYFFE RD</v>
      </c>
      <c r="B14" s="2406"/>
      <c r="C14" s="2406"/>
      <c r="D14" s="2406"/>
      <c r="E14" s="2406"/>
      <c r="F14" s="2407"/>
      <c r="G14" s="1196" t="s">
        <v>1246</v>
      </c>
      <c r="H14" s="1194"/>
      <c r="I14" s="1194"/>
      <c r="J14" s="1194"/>
      <c r="K14" s="1194"/>
      <c r="L14" s="1195"/>
    </row>
    <row r="15" spans="1:29" ht="13.5" customHeight="1" x14ac:dyDescent="0.2">
      <c r="A15" s="2405" t="str">
        <f>COVER!A21</f>
        <v>GOREVILLE</v>
      </c>
      <c r="B15" s="2406"/>
      <c r="C15" s="2406"/>
      <c r="D15" s="2406"/>
      <c r="E15" s="2406"/>
      <c r="F15" s="2407"/>
      <c r="G15" s="2402" t="str">
        <f>COVER!T15</f>
        <v>SCOTT A HICKAM</v>
      </c>
      <c r="H15" s="2403"/>
      <c r="I15" s="2403"/>
      <c r="J15" s="2403"/>
      <c r="K15" s="2403"/>
      <c r="L15" s="2404"/>
    </row>
    <row r="16" spans="1:29" ht="12.2" customHeight="1" x14ac:dyDescent="0.2">
      <c r="A16" s="2427">
        <f>COVER!A25</f>
        <v>62939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1245</v>
      </c>
      <c r="H17" s="1194"/>
      <c r="I17" s="1194"/>
      <c r="J17" s="1194"/>
      <c r="K17" s="1198" t="s">
        <v>1244</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Goreville CUD 1</v>
      </c>
      <c r="B1" s="2420"/>
      <c r="C1" s="2420"/>
      <c r="D1" s="2420"/>
    </row>
    <row r="2" spans="1:11" s="1215" customFormat="1" ht="12.75" x14ac:dyDescent="0.2">
      <c r="A2" s="2444">
        <f>'Single Audit Cover'!E7</f>
        <v>21044001026</v>
      </c>
      <c r="B2" s="2445"/>
      <c r="C2" s="2445"/>
      <c r="D2" s="2445"/>
    </row>
    <row r="3" spans="1:11" s="1215" customFormat="1" ht="12.75" x14ac:dyDescent="0.2">
      <c r="A3" s="2443" t="s">
        <v>1592</v>
      </c>
      <c r="B3" s="2420"/>
      <c r="C3" s="2420"/>
      <c r="D3" s="2420"/>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Goreville CUD 1</v>
      </c>
      <c r="B1" s="2447"/>
      <c r="C1" s="2447"/>
      <c r="D1" s="2447"/>
      <c r="E1" s="2447"/>
    </row>
    <row r="2" spans="1:5" x14ac:dyDescent="0.2">
      <c r="A2" s="2448">
        <f>'Single Audit Cover'!E7</f>
        <v>21044001026</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247053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11746</v>
      </c>
    </row>
    <row r="15" spans="1:5" x14ac:dyDescent="0.2">
      <c r="A15" s="1261"/>
      <c r="B15" s="1262"/>
      <c r="C15" s="1262"/>
    </row>
    <row r="16" spans="1:5" x14ac:dyDescent="0.2">
      <c r="A16" s="1261" t="s">
        <v>1954</v>
      </c>
      <c r="B16" s="1262"/>
      <c r="C16" s="1262"/>
    </row>
    <row r="17" spans="1:4" x14ac:dyDescent="0.2">
      <c r="A17" s="1261" t="s">
        <v>1600</v>
      </c>
      <c r="B17" s="1262" t="s">
        <v>1297</v>
      </c>
      <c r="C17" s="1262"/>
      <c r="D17" s="1264">
        <f>-SUM('Revenues 9-14'!C271:D271,'Revenues 9-14'!F271:G271)</f>
        <v>-29780</v>
      </c>
    </row>
    <row r="19" spans="1:4" ht="13.5" thickBot="1" x14ac:dyDescent="0.25">
      <c r="A19" s="1265" t="s">
        <v>1296</v>
      </c>
      <c r="D19" s="1266">
        <f>SUM(D10:D17)</f>
        <v>229019</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229019</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0</v>
      </c>
    </row>
    <row r="49" spans="2:4" x14ac:dyDescent="0.2">
      <c r="B49" s="1272" t="s">
        <v>1287</v>
      </c>
      <c r="C49" s="1272"/>
      <c r="D49" s="1273">
        <f>D32-D47</f>
        <v>229019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Goreville CUD 1</v>
      </c>
      <c r="B1" s="2460"/>
      <c r="C1" s="2460"/>
      <c r="D1" s="2460"/>
      <c r="E1" s="2460"/>
      <c r="F1" s="2460"/>
    </row>
    <row r="2" spans="1:7" ht="13.5" customHeight="1" x14ac:dyDescent="0.2">
      <c r="A2" s="2461">
        <f>'Single Audit Cover'!E7</f>
        <v>21044001026</v>
      </c>
      <c r="B2" s="2461"/>
      <c r="C2" s="2461"/>
      <c r="D2" s="2461"/>
      <c r="E2" s="2461"/>
      <c r="F2" s="2461"/>
      <c r="G2" s="1275"/>
    </row>
    <row r="3" spans="1:7" ht="15.75" customHeight="1" x14ac:dyDescent="0.2">
      <c r="A3" s="2462" t="s">
        <v>1332</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0.95" customHeight="1" x14ac:dyDescent="0.2">
      <c r="A7" s="2459" t="s">
        <v>1831</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9" t="s">
        <v>1833</v>
      </c>
      <c r="B13" s="2459"/>
      <c r="C13" s="2459"/>
      <c r="D13" s="2459"/>
      <c r="E13" s="2459"/>
      <c r="F13" s="2459"/>
    </row>
    <row r="14" spans="1:7" ht="9.75" customHeight="1" x14ac:dyDescent="0.2">
      <c r="C14" s="1260"/>
      <c r="D14" s="1260"/>
    </row>
    <row r="15" spans="1:7" ht="13.5" customHeight="1" x14ac:dyDescent="0.2">
      <c r="C15" s="1871" t="s">
        <v>1331</v>
      </c>
      <c r="D15" s="2457" t="s">
        <v>1330</v>
      </c>
      <c r="E15" s="2457"/>
      <c r="F15" s="2457"/>
    </row>
    <row r="16" spans="1:7" ht="13.5" customHeight="1" x14ac:dyDescent="0.2">
      <c r="A16" s="1282"/>
      <c r="B16" s="1276" t="s">
        <v>1329</v>
      </c>
      <c r="C16" s="1871" t="s">
        <v>1328</v>
      </c>
      <c r="D16" s="2458" t="s">
        <v>1669</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3" t="s">
        <v>1834</v>
      </c>
      <c r="B32" s="2453"/>
      <c r="C32" s="2453"/>
      <c r="D32" s="2453"/>
      <c r="E32" s="2453"/>
      <c r="F32" s="2453"/>
    </row>
    <row r="33" spans="1:6" ht="13.5" customHeight="1" x14ac:dyDescent="0.2">
      <c r="A33" s="328" t="s">
        <v>1508</v>
      </c>
      <c r="B33" s="328"/>
      <c r="C33" s="1288">
        <v>0</v>
      </c>
      <c r="D33" s="1928"/>
      <c r="E33" s="1286"/>
    </row>
    <row r="34" spans="1:6" ht="13.5" customHeight="1" x14ac:dyDescent="0.2">
      <c r="A34" s="328" t="s">
        <v>1947</v>
      </c>
      <c r="B34" s="328"/>
      <c r="C34" s="1289">
        <v>0</v>
      </c>
      <c r="D34" s="1928" t="s">
        <v>1670</v>
      </c>
      <c r="E34" s="2454">
        <f>+C33+C34</f>
        <v>0</v>
      </c>
      <c r="F34" s="2455"/>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1671</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1631</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Goreville CUD 1</v>
      </c>
      <c r="C1" s="2464"/>
      <c r="D1" s="2464"/>
      <c r="E1" s="2464"/>
      <c r="F1" s="2464"/>
      <c r="G1" s="2464"/>
      <c r="H1" s="2464"/>
      <c r="I1" s="2464"/>
      <c r="J1" s="2464"/>
      <c r="K1" s="2464"/>
      <c r="L1" s="2464"/>
      <c r="M1" s="2464"/>
    </row>
    <row r="2" spans="2:14" ht="15" x14ac:dyDescent="0.2">
      <c r="B2" s="2461">
        <f>'Single Audit Cover'!E7</f>
        <v>21044001026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1948</v>
      </c>
      <c r="K8" s="1319" t="s">
        <v>1322</v>
      </c>
      <c r="L8" s="1320" t="s">
        <v>1318</v>
      </c>
      <c r="M8" s="1321" t="s">
        <v>30</v>
      </c>
    </row>
    <row r="9" spans="2:14" ht="14.25" x14ac:dyDescent="0.2">
      <c r="B9" s="1325" t="s">
        <v>1320</v>
      </c>
      <c r="C9" s="1313" t="s">
        <v>1837</v>
      </c>
      <c r="D9" s="1314" t="s">
        <v>1838</v>
      </c>
      <c r="E9" s="1322" t="s">
        <v>1662</v>
      </c>
      <c r="F9" s="1323" t="s">
        <v>1948</v>
      </c>
      <c r="G9" s="1324" t="s">
        <v>1662</v>
      </c>
      <c r="H9" s="1317" t="s">
        <v>1663</v>
      </c>
      <c r="I9" s="1319" t="s">
        <v>1948</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2077</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Goreville CUD 1</v>
      </c>
      <c r="C1" s="2479"/>
      <c r="D1" s="2479"/>
      <c r="E1" s="2479"/>
      <c r="F1" s="2479"/>
      <c r="G1" s="2479"/>
      <c r="H1" s="2479"/>
      <c r="I1" s="2479"/>
      <c r="J1" s="1422"/>
    </row>
    <row r="2" spans="2:10" s="317" customFormat="1" ht="12.75" customHeight="1" x14ac:dyDescent="0.2">
      <c r="B2" s="2480">
        <f>'Single Audit Cover'!E7</f>
        <v>21044001026</v>
      </c>
      <c r="C2" s="2481"/>
      <c r="D2" s="2481"/>
      <c r="E2" s="2481"/>
      <c r="F2" s="2481"/>
      <c r="G2" s="2481"/>
      <c r="H2" s="2481"/>
      <c r="I2" s="2481"/>
      <c r="J2" s="1422"/>
    </row>
    <row r="3" spans="2:10" s="317" customFormat="1" ht="12.75" customHeight="1" x14ac:dyDescent="0.2">
      <c r="B3" s="2482" t="s">
        <v>1346</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1345</v>
      </c>
      <c r="C7" s="2483"/>
      <c r="D7" s="2483"/>
      <c r="E7" s="2483"/>
      <c r="F7" s="2483"/>
      <c r="G7" s="2483"/>
      <c r="H7" s="2483"/>
      <c r="I7" s="2483"/>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4"/>
      <c r="D11" s="2484"/>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5"/>
      <c r="E29" s="2485"/>
      <c r="F29" s="2485"/>
      <c r="G29" s="2485"/>
      <c r="H29" s="2485"/>
      <c r="I29" s="2485"/>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1673</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1674</v>
      </c>
      <c r="D43" s="2468"/>
      <c r="E43" s="2468"/>
      <c r="F43" s="2469"/>
      <c r="G43" s="2470">
        <f>SUM(G38:I42)</f>
        <v>0</v>
      </c>
      <c r="H43" s="2470"/>
      <c r="I43" s="2470"/>
    </row>
    <row r="44" spans="2:9" ht="12.75" customHeight="1" x14ac:dyDescent="0.2"/>
    <row r="45" spans="2:9" ht="12.75" customHeight="1" x14ac:dyDescent="0.2">
      <c r="B45" s="1435" t="s">
        <v>1950</v>
      </c>
      <c r="D45" s="2471">
        <v>0</v>
      </c>
      <c r="E45" s="2472"/>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3"/>
      <c r="F49" s="2473"/>
      <c r="G49" s="2473"/>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Goreville CUD 1</v>
      </c>
      <c r="C1" s="2478"/>
      <c r="D1" s="2478"/>
      <c r="E1" s="2478"/>
      <c r="F1" s="2478"/>
      <c r="G1" s="2478"/>
      <c r="H1" s="2478"/>
      <c r="I1" s="2478"/>
      <c r="J1" s="2478"/>
      <c r="K1" s="2478"/>
      <c r="L1" s="1374"/>
      <c r="M1" s="1374"/>
    </row>
    <row r="2" spans="1:13" ht="12" customHeight="1" x14ac:dyDescent="0.2">
      <c r="B2" s="2480">
        <f>'Single Audit Cover'!E7</f>
        <v>21044001026</v>
      </c>
      <c r="C2" s="2480"/>
      <c r="D2" s="2480"/>
      <c r="E2" s="2480"/>
      <c r="F2" s="2480"/>
      <c r="G2" s="2480"/>
      <c r="H2" s="2480"/>
      <c r="I2" s="2480"/>
      <c r="J2" s="2480"/>
      <c r="K2" s="2480"/>
      <c r="L2" s="1375"/>
      <c r="M2" s="1376"/>
    </row>
    <row r="3" spans="1:13" ht="10.35" customHeight="1" x14ac:dyDescent="0.2">
      <c r="B3" s="2494" t="s">
        <v>1346</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Goreville CUD 1</v>
      </c>
      <c r="C1" s="2501"/>
      <c r="D1" s="2501"/>
      <c r="E1" s="2501"/>
      <c r="F1" s="2501"/>
      <c r="G1" s="2501"/>
      <c r="H1" s="2501"/>
      <c r="I1" s="2501"/>
      <c r="J1" s="2501"/>
      <c r="K1" s="2501"/>
      <c r="L1" s="1465"/>
    </row>
    <row r="2" spans="1:12" ht="12.75" customHeight="1" x14ac:dyDescent="0.2">
      <c r="B2" s="2502">
        <f>'Single Audit Cover'!E7</f>
        <v>21044001026</v>
      </c>
      <c r="C2" s="2502"/>
      <c r="D2" s="2502"/>
      <c r="E2" s="2502"/>
      <c r="F2" s="2502"/>
      <c r="G2" s="2502"/>
      <c r="H2" s="2502"/>
      <c r="I2" s="2502"/>
      <c r="J2" s="2502"/>
      <c r="K2" s="2502"/>
      <c r="L2" s="1466"/>
    </row>
    <row r="3" spans="1:12" ht="12.75" customHeight="1" x14ac:dyDescent="0.2">
      <c r="B3" s="2494" t="s">
        <v>1346</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1230</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8"/>
      <c r="E14" s="2498"/>
      <c r="F14" s="2498"/>
      <c r="H14" s="1475" t="s">
        <v>1369</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9"/>
      <c r="E16" s="2499"/>
      <c r="F16" s="2499"/>
      <c r="G16" s="2499"/>
      <c r="H16" s="2499"/>
      <c r="I16" s="2499"/>
      <c r="J16" s="2499"/>
      <c r="K16" s="2499"/>
      <c r="L16" s="322"/>
    </row>
    <row r="17" spans="2:12" ht="13.5" customHeight="1" x14ac:dyDescent="0.2">
      <c r="B17" s="1387" t="s">
        <v>1367</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Goreville CUD 1</v>
      </c>
      <c r="C1" s="2478"/>
      <c r="D1" s="2478"/>
      <c r="E1" s="1491"/>
    </row>
    <row r="2" spans="2:5" s="1282" customFormat="1" ht="12.75" customHeight="1" x14ac:dyDescent="0.2">
      <c r="B2" s="2480">
        <f>'Single Audit Cover'!E7</f>
        <v>21044001026</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59464812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0.02</v>
      </c>
      <c r="E10" s="356" t="s">
        <v>1061</v>
      </c>
      <c r="F10" s="355">
        <f>0.5/100</f>
        <v>5.0000000000000001E-3</v>
      </c>
      <c r="G10" s="356" t="s">
        <v>1061</v>
      </c>
      <c r="H10" s="355">
        <f>0.2/100</f>
        <v>2E-3</v>
      </c>
      <c r="I10" s="356" t="s">
        <v>1062</v>
      </c>
      <c r="J10" s="1754">
        <f>ROUND(D10+F10+H10,5)</f>
        <v>2.7E-2</v>
      </c>
      <c r="K10" s="222"/>
      <c r="L10" s="355">
        <f>0.05/100</f>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4778673</v>
      </c>
      <c r="E16" s="356"/>
      <c r="F16" s="1755">
        <f>SUM('Acct Summary 7-8'!C17,'Acct Summary 7-8'!D17,'Acct Summary 7-8'!F17)</f>
        <v>4689149</v>
      </c>
      <c r="G16" s="356"/>
      <c r="H16" s="1755">
        <f>SUM(D16-F16)</f>
        <v>89524</v>
      </c>
      <c r="I16" s="222"/>
      <c r="J16" s="1755">
        <f>SUM('Acct Summary 7-8'!C81,'Acct Summary 7-8'!D81,'Acct Summary 7-8'!F81,'Acct Summary 7-8'!I81)</f>
        <v>2861406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8206144.0560000008</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5643106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Goreville CUD 1</v>
      </c>
      <c r="E7" s="391"/>
      <c r="G7" s="252"/>
      <c r="H7" s="387"/>
      <c r="I7" s="387"/>
      <c r="J7" s="387"/>
      <c r="K7" s="387"/>
      <c r="L7" s="329"/>
      <c r="M7" s="329"/>
      <c r="N7" s="329"/>
      <c r="O7" s="329"/>
      <c r="P7" s="329"/>
    </row>
    <row r="8" spans="1:18" ht="12.75" x14ac:dyDescent="0.2">
      <c r="A8" s="329"/>
      <c r="B8" s="329"/>
      <c r="C8" s="389" t="s">
        <v>1186</v>
      </c>
      <c r="D8" s="392">
        <f>COVER!A13</f>
        <v>21044001026</v>
      </c>
      <c r="E8" s="393"/>
      <c r="G8" s="329"/>
      <c r="H8" s="329"/>
      <c r="I8" s="329"/>
      <c r="J8" s="329"/>
      <c r="K8" s="329"/>
      <c r="L8" s="329"/>
      <c r="M8" s="329"/>
      <c r="N8" s="329"/>
      <c r="O8" s="329"/>
      <c r="P8" s="329"/>
    </row>
    <row r="9" spans="1:18" ht="12.75" x14ac:dyDescent="0.2">
      <c r="A9" s="329"/>
      <c r="B9" s="329"/>
      <c r="C9" s="389" t="s">
        <v>736</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2861406</v>
      </c>
      <c r="I12" s="404"/>
      <c r="J12" s="404"/>
      <c r="K12" s="405">
        <f>TRUNC((H12/H13*100000),5)/100000</f>
        <v>0.61182229599999993</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4676858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-101815</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4689149</v>
      </c>
      <c r="I17" s="404"/>
      <c r="J17" s="416"/>
      <c r="K17" s="405">
        <f>TRUNC((H17/H18*100000),5)/100000</f>
        <v>1.0026280463999999</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4676858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-101815</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194.75390380000002</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2861406</v>
      </c>
      <c r="I24" s="422"/>
      <c r="J24" s="422"/>
      <c r="K24" s="423">
        <f>TRUNC(((H24/H25*100000)/100000),2)</f>
        <v>219.67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13025.41389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1364717.4354000001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5643106</v>
      </c>
      <c r="I32" s="420"/>
      <c r="J32" s="420"/>
      <c r="K32" s="423">
        <f>TRUNC(100-((((H32/H33*100))*100)/100),2)</f>
        <v>31.23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8206144.0560000008</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f>513884+8000</f>
        <v>521884</v>
      </c>
      <c r="D4" s="466">
        <v>9821</v>
      </c>
      <c r="E4" s="466">
        <v>130526</v>
      </c>
      <c r="F4" s="466">
        <v>316475</v>
      </c>
      <c r="G4" s="466">
        <v>125766</v>
      </c>
      <c r="H4" s="466">
        <f>162852+241572</f>
        <v>404424</v>
      </c>
      <c r="I4" s="466">
        <v>395353</v>
      </c>
      <c r="J4" s="467">
        <v>0</v>
      </c>
      <c r="K4" s="466">
        <v>46200</v>
      </c>
      <c r="L4" s="466">
        <f>223364-41193</f>
        <v>182171</v>
      </c>
      <c r="M4" s="468"/>
      <c r="N4" s="469"/>
    </row>
    <row r="5" spans="1:14" x14ac:dyDescent="0.2">
      <c r="A5" s="463" t="s">
        <v>1048</v>
      </c>
      <c r="B5" s="470">
        <v>120</v>
      </c>
      <c r="C5" s="465">
        <v>1617873</v>
      </c>
      <c r="D5" s="466"/>
      <c r="E5" s="466"/>
      <c r="F5" s="466"/>
      <c r="G5" s="466"/>
      <c r="H5" s="466"/>
      <c r="I5" s="466"/>
      <c r="J5" s="467"/>
      <c r="K5" s="471"/>
      <c r="L5" s="472">
        <v>41193</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2139757</v>
      </c>
      <c r="D13" s="1759">
        <f t="shared" ref="D13:L13" si="0">SUM(D4:D12)</f>
        <v>9821</v>
      </c>
      <c r="E13" s="1759">
        <f t="shared" si="0"/>
        <v>130526</v>
      </c>
      <c r="F13" s="1759">
        <f t="shared" si="0"/>
        <v>316475</v>
      </c>
      <c r="G13" s="1759">
        <f t="shared" si="0"/>
        <v>125766</v>
      </c>
      <c r="H13" s="1759">
        <f t="shared" si="0"/>
        <v>404424</v>
      </c>
      <c r="I13" s="1759">
        <f t="shared" si="0"/>
        <v>395353</v>
      </c>
      <c r="J13" s="1759">
        <f t="shared" si="0"/>
        <v>0</v>
      </c>
      <c r="K13" s="1759">
        <f t="shared" si="0"/>
        <v>46200</v>
      </c>
      <c r="L13" s="1759">
        <f t="shared" si="0"/>
        <v>223364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v>0</v>
      </c>
      <c r="N15" s="484"/>
    </row>
    <row r="16" spans="1:14" s="485" customFormat="1" ht="12.75" customHeight="1" x14ac:dyDescent="0.2">
      <c r="A16" s="482" t="s">
        <v>1468</v>
      </c>
      <c r="B16" s="483">
        <v>220</v>
      </c>
      <c r="C16" s="477"/>
      <c r="D16" s="477"/>
      <c r="E16" s="477"/>
      <c r="F16" s="477"/>
      <c r="G16" s="477"/>
      <c r="H16" s="477"/>
      <c r="I16" s="477"/>
      <c r="J16" s="477"/>
      <c r="K16" s="477"/>
      <c r="L16" s="477"/>
      <c r="M16" s="467">
        <v>376251</v>
      </c>
      <c r="N16" s="484"/>
    </row>
    <row r="17" spans="1:14" s="485" customFormat="1" ht="12.75" customHeight="1" x14ac:dyDescent="0.2">
      <c r="A17" s="482" t="s">
        <v>1469</v>
      </c>
      <c r="B17" s="483">
        <v>230</v>
      </c>
      <c r="C17" s="477"/>
      <c r="D17" s="477"/>
      <c r="E17" s="477"/>
      <c r="F17" s="477"/>
      <c r="G17" s="477"/>
      <c r="H17" s="477"/>
      <c r="I17" s="477"/>
      <c r="J17" s="477"/>
      <c r="K17" s="477"/>
      <c r="L17" s="477"/>
      <c r="M17" s="467">
        <v>6514946</v>
      </c>
      <c r="N17" s="484"/>
    </row>
    <row r="18" spans="1:14" s="485" customFormat="1" ht="12.75" customHeight="1" x14ac:dyDescent="0.2">
      <c r="A18" s="482" t="s">
        <v>1470</v>
      </c>
      <c r="B18" s="483">
        <v>240</v>
      </c>
      <c r="C18" s="477"/>
      <c r="D18" s="477"/>
      <c r="E18" s="477"/>
      <c r="F18" s="477"/>
      <c r="G18" s="477"/>
      <c r="H18" s="477"/>
      <c r="I18" s="477"/>
      <c r="J18" s="477"/>
      <c r="K18" s="477"/>
      <c r="L18" s="477"/>
      <c r="M18" s="467">
        <v>576560</v>
      </c>
      <c r="N18" s="484"/>
    </row>
    <row r="19" spans="1:14" s="485" customFormat="1" ht="12.75" customHeight="1" x14ac:dyDescent="0.2">
      <c r="A19" s="482" t="s">
        <v>1471</v>
      </c>
      <c r="B19" s="483">
        <v>250</v>
      </c>
      <c r="C19" s="477"/>
      <c r="D19" s="477"/>
      <c r="E19" s="477"/>
      <c r="F19" s="477"/>
      <c r="G19" s="477"/>
      <c r="H19" s="477"/>
      <c r="I19" s="477"/>
      <c r="J19" s="477"/>
      <c r="K19" s="477"/>
      <c r="L19" s="477"/>
      <c r="M19" s="467">
        <f>873300+79584+270620</f>
        <v>1223504</v>
      </c>
      <c r="N19" s="484"/>
    </row>
    <row r="20" spans="1:14" s="485" customFormat="1" ht="12.75" customHeight="1" x14ac:dyDescent="0.2">
      <c r="A20" s="482" t="s">
        <v>1472</v>
      </c>
      <c r="B20" s="483">
        <v>260</v>
      </c>
      <c r="C20" s="477"/>
      <c r="D20" s="477"/>
      <c r="E20" s="477"/>
      <c r="F20" s="477"/>
      <c r="G20" s="477"/>
      <c r="H20" s="477"/>
      <c r="I20" s="477"/>
      <c r="J20" s="477"/>
      <c r="K20" s="477"/>
      <c r="L20" s="477"/>
      <c r="M20" s="467">
        <v>1871539</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130526</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5512580</v>
      </c>
    </row>
    <row r="23" spans="1:14" ht="13.5" customHeight="1" thickBot="1" x14ac:dyDescent="0.25">
      <c r="A23" s="1758" t="s">
        <v>663</v>
      </c>
      <c r="B23" s="1763"/>
      <c r="C23" s="468"/>
      <c r="D23" s="468"/>
      <c r="E23" s="468"/>
      <c r="F23" s="468"/>
      <c r="G23" s="468"/>
      <c r="H23" s="468"/>
      <c r="I23" s="468"/>
      <c r="J23" s="468"/>
      <c r="K23" s="468"/>
      <c r="L23" s="468"/>
      <c r="M23" s="1710">
        <f>SUM(M15:M22)</f>
        <v>10562800</v>
      </c>
      <c r="N23" s="1710">
        <f>SUM(N21:N22)</f>
        <v>5643106</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223364</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223364</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5643106</v>
      </c>
    </row>
    <row r="37" spans="1:14" ht="13.5" thickBot="1" x14ac:dyDescent="0.25">
      <c r="A37" s="1758" t="s">
        <v>673</v>
      </c>
      <c r="B37" s="1763"/>
      <c r="C37" s="477"/>
      <c r="D37" s="477"/>
      <c r="E37" s="477"/>
      <c r="F37" s="477"/>
      <c r="G37" s="477"/>
      <c r="H37" s="477"/>
      <c r="I37" s="477"/>
      <c r="J37" s="477"/>
      <c r="K37" s="477"/>
      <c r="L37" s="480"/>
      <c r="M37" s="468"/>
      <c r="N37" s="1710">
        <f>SUM(N36:N36)</f>
        <v>5643106</v>
      </c>
    </row>
    <row r="38" spans="1:14" s="329" customFormat="1" ht="13.5" customHeight="1" thickTop="1" x14ac:dyDescent="0.2">
      <c r="A38" s="496" t="s">
        <v>439</v>
      </c>
      <c r="B38" s="483">
        <v>714</v>
      </c>
      <c r="C38" s="466">
        <v>48774</v>
      </c>
      <c r="D38" s="466">
        <v>0</v>
      </c>
      <c r="E38" s="466">
        <v>130526</v>
      </c>
      <c r="F38" s="466">
        <v>0</v>
      </c>
      <c r="G38" s="466">
        <v>125766</v>
      </c>
      <c r="H38" s="466">
        <v>404424</v>
      </c>
      <c r="I38" s="466">
        <v>0</v>
      </c>
      <c r="J38" s="467">
        <v>0</v>
      </c>
      <c r="K38" s="466">
        <v>46200</v>
      </c>
      <c r="L38" s="481">
        <v>0</v>
      </c>
      <c r="M38" s="497"/>
      <c r="N38" s="497"/>
    </row>
    <row r="39" spans="1:14" s="329" customFormat="1" ht="13.5" customHeight="1" x14ac:dyDescent="0.2">
      <c r="A39" s="496" t="s">
        <v>359</v>
      </c>
      <c r="B39" s="483">
        <v>730</v>
      </c>
      <c r="C39" s="466">
        <f>2139757-48774</f>
        <v>2090983</v>
      </c>
      <c r="D39" s="466">
        <v>9821</v>
      </c>
      <c r="E39" s="466">
        <v>0</v>
      </c>
      <c r="F39" s="466">
        <v>316475</v>
      </c>
      <c r="G39" s="466">
        <v>0</v>
      </c>
      <c r="H39" s="466">
        <v>0</v>
      </c>
      <c r="I39" s="466">
        <v>395353</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10562800</v>
      </c>
      <c r="N40" s="497"/>
    </row>
    <row r="41" spans="1:14" ht="13.5" customHeight="1" thickBot="1" x14ac:dyDescent="0.25">
      <c r="A41" s="1758" t="s">
        <v>675</v>
      </c>
      <c r="B41" s="1728"/>
      <c r="C41" s="1710">
        <f>(SUM(C34,C37,C38,C39))</f>
        <v>2139757</v>
      </c>
      <c r="D41" s="1710">
        <f t="shared" ref="D41:L41" si="2">SUM(D34,D37,D38:D39)</f>
        <v>9821</v>
      </c>
      <c r="E41" s="1710">
        <f t="shared" si="2"/>
        <v>130526</v>
      </c>
      <c r="F41" s="1710">
        <f t="shared" si="2"/>
        <v>316475</v>
      </c>
      <c r="G41" s="1710">
        <f t="shared" si="2"/>
        <v>125766</v>
      </c>
      <c r="H41" s="1710">
        <f t="shared" si="2"/>
        <v>404424</v>
      </c>
      <c r="I41" s="1710">
        <f t="shared" si="2"/>
        <v>395353</v>
      </c>
      <c r="J41" s="1710">
        <f t="shared" si="2"/>
        <v>0</v>
      </c>
      <c r="K41" s="1710">
        <f t="shared" si="2"/>
        <v>46200</v>
      </c>
      <c r="L41" s="1710">
        <f t="shared" si="2"/>
        <v>223364</v>
      </c>
      <c r="M41" s="1710">
        <f>SUM(M40)</f>
        <v>10562800</v>
      </c>
      <c r="N41" s="1710">
        <f>SUM(N37)</f>
        <v>5643106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84" sqref="C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95"/>
      <c r="D3" s="1596"/>
      <c r="E3" s="1596"/>
      <c r="F3" s="1596"/>
      <c r="G3" s="1596"/>
      <c r="H3" s="1596"/>
      <c r="I3" s="1596"/>
      <c r="J3" s="1596"/>
      <c r="K3" s="1597"/>
      <c r="L3" s="506"/>
    </row>
    <row r="4" spans="1:13" ht="15.75" customHeight="1" x14ac:dyDescent="0.2">
      <c r="A4" s="1954" t="s">
        <v>1578</v>
      </c>
      <c r="B4" s="1955">
        <v>1000</v>
      </c>
      <c r="C4" s="1764">
        <f>'Revenues 9-14'!C109</f>
        <v>1537774</v>
      </c>
      <c r="D4" s="1764">
        <f>'Revenues 9-14'!D109</f>
        <v>299524</v>
      </c>
      <c r="E4" s="1764">
        <f>'Revenues 9-14'!E109</f>
        <v>467859</v>
      </c>
      <c r="F4" s="1764">
        <f>'Revenues 9-14'!F109</f>
        <v>119669</v>
      </c>
      <c r="G4" s="1764">
        <f>'Revenues 9-14'!G109</f>
        <v>161992</v>
      </c>
      <c r="H4" s="1764">
        <f>'Revenues 9-14'!H109</f>
        <v>1412</v>
      </c>
      <c r="I4" s="1764">
        <f>'Revenues 9-14'!I109</f>
        <v>30997</v>
      </c>
      <c r="J4" s="1764">
        <f>'Revenues 9-14'!J109</f>
        <v>406019</v>
      </c>
      <c r="K4" s="1764">
        <f>'Revenues 9-14'!K109</f>
        <v>29383</v>
      </c>
      <c r="L4" s="347"/>
    </row>
    <row r="5" spans="1:13" ht="15.75" customHeight="1" x14ac:dyDescent="0.2">
      <c r="A5" s="1598" t="s">
        <v>1579</v>
      </c>
      <c r="B5" s="1599">
        <v>2000</v>
      </c>
      <c r="C5" s="1765">
        <f>'Revenues 9-14'!C114</f>
        <v>21519</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2358897</v>
      </c>
      <c r="D6" s="1765">
        <f>'Revenues 9-14'!D173</f>
        <v>0</v>
      </c>
      <c r="E6" s="1765">
        <f>'Revenues 9-14'!E173</f>
        <v>0</v>
      </c>
      <c r="F6" s="1765">
        <f>'Revenues 9-14'!F173</f>
        <v>163240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247053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4165243</v>
      </c>
      <c r="D8" s="1710">
        <f t="shared" ref="D8:K8" si="0">SUM(D4:D7)</f>
        <v>299524</v>
      </c>
      <c r="E8" s="1710">
        <f t="shared" si="0"/>
        <v>467859</v>
      </c>
      <c r="F8" s="1710">
        <f t="shared" si="0"/>
        <v>282909</v>
      </c>
      <c r="G8" s="1710">
        <f t="shared" si="0"/>
        <v>161992</v>
      </c>
      <c r="H8" s="1710">
        <f t="shared" si="0"/>
        <v>1412</v>
      </c>
      <c r="I8" s="1710">
        <f t="shared" si="0"/>
        <v>30997</v>
      </c>
      <c r="J8" s="1710">
        <f t="shared" si="0"/>
        <v>406019</v>
      </c>
      <c r="K8" s="1710">
        <f t="shared" si="0"/>
        <v>29383</v>
      </c>
      <c r="L8" s="347"/>
    </row>
    <row r="9" spans="1:13" ht="15.75" thickTop="1" x14ac:dyDescent="0.2">
      <c r="A9" s="514" t="s">
        <v>1751</v>
      </c>
      <c r="B9" s="515">
        <v>3998</v>
      </c>
      <c r="C9" s="481">
        <v>2024036</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6189279</v>
      </c>
      <c r="D10" s="1710">
        <f t="shared" ref="D10:K10" si="1">SUM(D8:D9)</f>
        <v>299524</v>
      </c>
      <c r="E10" s="1710">
        <f t="shared" si="1"/>
        <v>467859</v>
      </c>
      <c r="F10" s="1710">
        <f t="shared" si="1"/>
        <v>282909</v>
      </c>
      <c r="G10" s="1710">
        <f t="shared" si="1"/>
        <v>161992</v>
      </c>
      <c r="H10" s="1710">
        <f t="shared" si="1"/>
        <v>1412</v>
      </c>
      <c r="I10" s="1710">
        <f t="shared" si="1"/>
        <v>30997</v>
      </c>
      <c r="J10" s="1710">
        <f t="shared" si="1"/>
        <v>406019</v>
      </c>
      <c r="K10" s="1710">
        <f t="shared" si="1"/>
        <v>29383</v>
      </c>
      <c r="L10" s="518"/>
    </row>
    <row r="11" spans="1:13" s="519" customFormat="1" ht="16.7"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3013247</v>
      </c>
      <c r="D12" s="520" t="s">
        <v>1230</v>
      </c>
      <c r="E12" s="468" t="s">
        <v>1230</v>
      </c>
      <c r="F12" s="468" t="s">
        <v>1230</v>
      </c>
      <c r="G12" s="1764">
        <f>'Expenditures 15-22'!K229</f>
        <v>58351</v>
      </c>
      <c r="H12" s="521"/>
      <c r="I12" s="468" t="s">
        <v>1230</v>
      </c>
      <c r="J12" s="468" t="s">
        <v>1230</v>
      </c>
      <c r="K12" s="521" t="s">
        <v>1230</v>
      </c>
      <c r="L12" s="347"/>
    </row>
    <row r="13" spans="1:13" ht="15.75" customHeight="1" x14ac:dyDescent="0.2">
      <c r="A13" s="1598" t="s">
        <v>476</v>
      </c>
      <c r="B13" s="1600">
        <v>2000</v>
      </c>
      <c r="C13" s="1765">
        <f>'Expenditures 15-22'!K74</f>
        <v>857990</v>
      </c>
      <c r="D13" s="1765">
        <f>'Expenditures 15-22'!K129</f>
        <v>354368</v>
      </c>
      <c r="E13" s="469" t="s">
        <v>1230</v>
      </c>
      <c r="F13" s="1765">
        <f>'Expenditures 15-22'!K184</f>
        <v>252180</v>
      </c>
      <c r="G13" s="1765">
        <f>'Expenditures 15-22'!K279</f>
        <v>71952</v>
      </c>
      <c r="H13" s="1765">
        <f>'Expenditures 15-22'!K303</f>
        <v>1708687</v>
      </c>
      <c r="I13" s="468" t="s">
        <v>1230</v>
      </c>
      <c r="J13" s="1765">
        <f>'Expenditures 15-22'!K330</f>
        <v>406019</v>
      </c>
      <c r="K13" s="1769">
        <f>'Expenditures 15-22'!K352</f>
        <v>38493</v>
      </c>
      <c r="L13" s="347"/>
    </row>
    <row r="14" spans="1:13" ht="15.75" customHeight="1" x14ac:dyDescent="0.2">
      <c r="A14" s="1598" t="s">
        <v>468</v>
      </c>
      <c r="B14" s="1600">
        <v>3000</v>
      </c>
      <c r="C14" s="1765">
        <f>'Expenditures 15-22'!K75</f>
        <v>0</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211364</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1315688</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4082601</v>
      </c>
      <c r="D17" s="1710">
        <f t="shared" si="2"/>
        <v>354368</v>
      </c>
      <c r="E17" s="1710">
        <f t="shared" si="2"/>
        <v>1315688</v>
      </c>
      <c r="F17" s="1710">
        <f t="shared" si="2"/>
        <v>252180</v>
      </c>
      <c r="G17" s="1710">
        <f t="shared" si="2"/>
        <v>130303</v>
      </c>
      <c r="H17" s="1710">
        <f t="shared" si="2"/>
        <v>1708687</v>
      </c>
      <c r="I17" s="468"/>
      <c r="J17" s="1710">
        <f>SUM(J12:J16)</f>
        <v>406019</v>
      </c>
      <c r="K17" s="1710">
        <f>SUM(K12:K16)</f>
        <v>38493</v>
      </c>
      <c r="L17" s="347"/>
    </row>
    <row r="18" spans="1:12" ht="15" customHeight="1" thickTop="1" x14ac:dyDescent="0.2">
      <c r="A18" s="1766" t="s">
        <v>1752</v>
      </c>
      <c r="B18" s="1767">
        <v>4180</v>
      </c>
      <c r="C18" s="1764">
        <f t="shared" ref="C18:H18" si="3">C9</f>
        <v>2024036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6106637</v>
      </c>
      <c r="D19" s="1710">
        <f t="shared" si="4"/>
        <v>354368</v>
      </c>
      <c r="E19" s="1710">
        <f t="shared" si="4"/>
        <v>1315688</v>
      </c>
      <c r="F19" s="1710">
        <f t="shared" si="4"/>
        <v>252180</v>
      </c>
      <c r="G19" s="1710">
        <f t="shared" si="4"/>
        <v>130303</v>
      </c>
      <c r="H19" s="1710">
        <f t="shared" si="4"/>
        <v>1708687</v>
      </c>
      <c r="I19" s="468"/>
      <c r="J19" s="1710">
        <f>SUM(J17:J18)</f>
        <v>406019</v>
      </c>
      <c r="K19" s="1710">
        <f>SUM(K17:K18)</f>
        <v>38493</v>
      </c>
      <c r="L19" s="347"/>
    </row>
    <row r="20" spans="1:12" ht="16.5" thickTop="1" thickBot="1" x14ac:dyDescent="0.25">
      <c r="A20" s="2144" t="s">
        <v>1753</v>
      </c>
      <c r="B20" s="2145"/>
      <c r="C20" s="1768">
        <f>C8-C17</f>
        <v>82642</v>
      </c>
      <c r="D20" s="1768">
        <f t="shared" ref="D20:K20" si="5">D8-D17</f>
        <v>-54844</v>
      </c>
      <c r="E20" s="1768">
        <f t="shared" si="5"/>
        <v>-847829</v>
      </c>
      <c r="F20" s="1768">
        <f t="shared" si="5"/>
        <v>30729</v>
      </c>
      <c r="G20" s="1768">
        <f t="shared" si="5"/>
        <v>31689</v>
      </c>
      <c r="H20" s="1768">
        <f t="shared" si="5"/>
        <v>-1707275</v>
      </c>
      <c r="I20" s="1768">
        <f t="shared" si="5"/>
        <v>30997</v>
      </c>
      <c r="J20" s="1768">
        <f t="shared" si="5"/>
        <v>0</v>
      </c>
      <c r="K20" s="1768">
        <f t="shared" si="5"/>
        <v>-9110</v>
      </c>
      <c r="L20" s="347"/>
    </row>
    <row r="21" spans="1:12" ht="16.7"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1896</v>
      </c>
      <c r="B30" s="527">
        <v>7160</v>
      </c>
      <c r="C30" s="477"/>
      <c r="D30" s="467">
        <v>0</v>
      </c>
      <c r="E30" s="477"/>
      <c r="F30" s="477"/>
      <c r="G30" s="477"/>
      <c r="H30" s="477"/>
      <c r="I30" s="477"/>
      <c r="J30" s="477"/>
      <c r="K30" s="477"/>
      <c r="L30" s="524"/>
    </row>
    <row r="31" spans="1:12" s="485" customFormat="1" ht="26.25" x14ac:dyDescent="0.2">
      <c r="A31" s="1511" t="s">
        <v>1900</v>
      </c>
      <c r="B31" s="527">
        <v>7170</v>
      </c>
      <c r="C31" s="477"/>
      <c r="D31" s="477"/>
      <c r="E31" s="474">
        <v>0</v>
      </c>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v>0</v>
      </c>
      <c r="D33" s="467">
        <v>0</v>
      </c>
      <c r="E33" s="467">
        <v>795000</v>
      </c>
      <c r="F33" s="467">
        <v>0</v>
      </c>
      <c r="G33" s="477"/>
      <c r="H33" s="467">
        <v>0</v>
      </c>
      <c r="I33" s="467">
        <v>0</v>
      </c>
      <c r="J33" s="467">
        <v>0</v>
      </c>
      <c r="K33" s="467">
        <v>0</v>
      </c>
      <c r="L33" s="524"/>
    </row>
    <row r="34" spans="1:12" s="485" customFormat="1" x14ac:dyDescent="0.2">
      <c r="A34" s="1511" t="s">
        <v>1057</v>
      </c>
      <c r="B34" s="525">
        <v>7220</v>
      </c>
      <c r="C34" s="467">
        <v>0</v>
      </c>
      <c r="D34" s="467">
        <v>0</v>
      </c>
      <c r="E34" s="467">
        <v>34575</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78047</v>
      </c>
      <c r="F38" s="477"/>
      <c r="G38" s="477"/>
      <c r="H38" s="477"/>
      <c r="I38" s="477"/>
      <c r="J38" s="477"/>
      <c r="K38" s="477"/>
      <c r="L38" s="524"/>
    </row>
    <row r="39" spans="1:12" s="485" customFormat="1" x14ac:dyDescent="0.2">
      <c r="A39" s="1511" t="s">
        <v>462</v>
      </c>
      <c r="B39" s="525">
        <v>7600</v>
      </c>
      <c r="C39" s="477"/>
      <c r="D39" s="477"/>
      <c r="E39" s="1765">
        <f>SUM(C62:D65)</f>
        <v>23768</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9440</v>
      </c>
      <c r="F43" s="467">
        <v>0</v>
      </c>
      <c r="G43" s="467">
        <v>0</v>
      </c>
      <c r="H43" s="467">
        <v>0</v>
      </c>
      <c r="I43" s="467">
        <v>0</v>
      </c>
      <c r="J43" s="467">
        <v>0</v>
      </c>
      <c r="K43" s="467">
        <v>0</v>
      </c>
      <c r="L43" s="524"/>
    </row>
    <row r="44" spans="1:12" s="485" customFormat="1" ht="13.5" customHeight="1" thickBot="1" x14ac:dyDescent="0.25">
      <c r="A44" s="2158" t="s">
        <v>391</v>
      </c>
      <c r="B44" s="2159"/>
      <c r="C44" s="1725">
        <f>SUM(C24:C43)</f>
        <v>0</v>
      </c>
      <c r="D44" s="1725">
        <f t="shared" ref="D44:K44" si="6">SUM(D24:D43)</f>
        <v>0</v>
      </c>
      <c r="E44" s="1725">
        <f t="shared" si="6"/>
        <v>940830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1217</v>
      </c>
      <c r="D58" s="531">
        <v>0</v>
      </c>
      <c r="E58" s="477"/>
      <c r="F58" s="477"/>
      <c r="G58" s="477"/>
      <c r="H58" s="530">
        <v>0</v>
      </c>
      <c r="I58" s="477"/>
      <c r="J58" s="477"/>
      <c r="K58" s="477"/>
      <c r="L58" s="524"/>
    </row>
    <row r="59" spans="1:12" s="485" customFormat="1" ht="14.25" thickTop="1" thickBot="1" x14ac:dyDescent="0.25">
      <c r="A59" s="1514" t="s">
        <v>717</v>
      </c>
      <c r="B59" s="483">
        <v>8520</v>
      </c>
      <c r="C59" s="531">
        <v>76830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18768</v>
      </c>
      <c r="D62" s="531">
        <v>0</v>
      </c>
      <c r="E62" s="477"/>
      <c r="F62" s="477"/>
      <c r="G62" s="477"/>
      <c r="H62" s="477"/>
      <c r="I62" s="477"/>
      <c r="J62" s="477"/>
      <c r="K62" s="477"/>
      <c r="L62" s="524"/>
    </row>
    <row r="63" spans="1:12" s="485" customFormat="1" ht="14.25" thickTop="1" thickBot="1" x14ac:dyDescent="0.25">
      <c r="A63" s="1513" t="s">
        <v>718</v>
      </c>
      <c r="B63" s="483">
        <v>8620</v>
      </c>
      <c r="C63" s="531">
        <v>5000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71695</v>
      </c>
      <c r="F75" s="532">
        <v>9440</v>
      </c>
      <c r="G75" s="532">
        <v>0</v>
      </c>
      <c r="H75" s="532">
        <v>0</v>
      </c>
      <c r="I75" s="530">
        <v>0</v>
      </c>
      <c r="J75" s="530">
        <v>0</v>
      </c>
      <c r="K75" s="532">
        <v>0</v>
      </c>
      <c r="L75" s="524"/>
    </row>
    <row r="76" spans="1:12" s="485" customFormat="1" ht="14.25" thickTop="1" thickBot="1" x14ac:dyDescent="0.25">
      <c r="A76" s="2134" t="s">
        <v>459</v>
      </c>
      <c r="B76" s="2135"/>
      <c r="C76" s="1725">
        <f t="shared" ref="C76:K76" si="7">SUM(C47:C75)</f>
        <v>101815</v>
      </c>
      <c r="D76" s="1725">
        <f t="shared" si="7"/>
        <v>0</v>
      </c>
      <c r="E76" s="1725">
        <f t="shared" si="7"/>
        <v>71695</v>
      </c>
      <c r="F76" s="1725">
        <f t="shared" si="7"/>
        <v>9440</v>
      </c>
      <c r="G76" s="1725">
        <f t="shared" si="7"/>
        <v>0</v>
      </c>
      <c r="H76" s="1725">
        <f t="shared" si="7"/>
        <v>0</v>
      </c>
      <c r="I76" s="1725">
        <f t="shared" si="7"/>
        <v>0</v>
      </c>
      <c r="J76" s="1725">
        <f t="shared" si="7"/>
        <v>0</v>
      </c>
      <c r="K76" s="1725">
        <f t="shared" si="7"/>
        <v>0</v>
      </c>
      <c r="L76" s="524"/>
    </row>
    <row r="77" spans="1:12" ht="14.25" thickTop="1" thickBot="1" x14ac:dyDescent="0.25">
      <c r="A77" s="2136" t="s">
        <v>1238</v>
      </c>
      <c r="B77" s="2137"/>
      <c r="C77" s="1725">
        <f t="shared" ref="C77:K77" si="8">C44-C76</f>
        <v>-101815</v>
      </c>
      <c r="D77" s="1725">
        <f t="shared" si="8"/>
        <v>0</v>
      </c>
      <c r="E77" s="1725">
        <f t="shared" si="8"/>
        <v>869135</v>
      </c>
      <c r="F77" s="1725">
        <f t="shared" si="8"/>
        <v>-9440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617</v>
      </c>
      <c r="B78" s="2141"/>
      <c r="C78" s="1724">
        <f t="shared" ref="C78:K78" si="9">C20+C77</f>
        <v>-19173</v>
      </c>
      <c r="D78" s="1724">
        <f t="shared" si="9"/>
        <v>-54844</v>
      </c>
      <c r="E78" s="1724">
        <f t="shared" si="9"/>
        <v>21306</v>
      </c>
      <c r="F78" s="1724">
        <f t="shared" si="9"/>
        <v>21289</v>
      </c>
      <c r="G78" s="1724">
        <f t="shared" si="9"/>
        <v>31689</v>
      </c>
      <c r="H78" s="1724">
        <f t="shared" si="9"/>
        <v>-1707275</v>
      </c>
      <c r="I78" s="1724">
        <f t="shared" si="9"/>
        <v>30997</v>
      </c>
      <c r="J78" s="1724">
        <f t="shared" si="9"/>
        <v>0</v>
      </c>
      <c r="K78" s="1724">
        <f t="shared" si="9"/>
        <v>-9110</v>
      </c>
      <c r="L78" s="533"/>
    </row>
    <row r="79" spans="1:12" ht="13.5" thickTop="1" x14ac:dyDescent="0.2">
      <c r="A79" s="1516" t="s">
        <v>2070</v>
      </c>
      <c r="B79" s="534"/>
      <c r="C79" s="478">
        <v>2158930</v>
      </c>
      <c r="D79" s="535">
        <v>64665</v>
      </c>
      <c r="E79" s="535">
        <v>109220</v>
      </c>
      <c r="F79" s="535">
        <v>295186</v>
      </c>
      <c r="G79" s="535">
        <v>94077</v>
      </c>
      <c r="H79" s="535">
        <v>2111699</v>
      </c>
      <c r="I79" s="535">
        <v>364356</v>
      </c>
      <c r="J79" s="535">
        <v>0</v>
      </c>
      <c r="K79" s="535">
        <v>55310</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2071</v>
      </c>
      <c r="B81" s="2139"/>
      <c r="C81" s="1710">
        <f>(SUM(C78:C80))</f>
        <v>2139757</v>
      </c>
      <c r="D81" s="1710">
        <f>SUM(D78:D80)</f>
        <v>9821</v>
      </c>
      <c r="E81" s="1710">
        <f t="shared" ref="E81:K81" si="10">SUM(E78:E80)</f>
        <v>130526</v>
      </c>
      <c r="F81" s="1710">
        <f t="shared" si="10"/>
        <v>316475</v>
      </c>
      <c r="G81" s="1710">
        <f t="shared" si="10"/>
        <v>125766</v>
      </c>
      <c r="H81" s="1710">
        <f t="shared" si="10"/>
        <v>404424</v>
      </c>
      <c r="I81" s="1710">
        <f t="shared" si="10"/>
        <v>395353</v>
      </c>
      <c r="J81" s="1710">
        <f t="shared" si="10"/>
        <v>0</v>
      </c>
      <c r="K81" s="1710">
        <f t="shared" si="10"/>
        <v>46200</v>
      </c>
      <c r="L81" s="347"/>
    </row>
    <row r="82" spans="1:12" ht="0.75" customHeight="1" thickTop="1" thickBot="1" x14ac:dyDescent="0.25">
      <c r="A82" s="536" t="s">
        <v>360</v>
      </c>
      <c r="B82" s="537"/>
      <c r="C82" s="538">
        <f>(C81-C79)</f>
        <v>-19173</v>
      </c>
      <c r="D82" s="538">
        <f t="shared" ref="D82:K82" si="11">(D81-D79)</f>
        <v>-54844</v>
      </c>
      <c r="E82" s="538">
        <f t="shared" si="11"/>
        <v>21306</v>
      </c>
      <c r="F82" s="538">
        <f t="shared" si="11"/>
        <v>21289</v>
      </c>
      <c r="G82" s="538">
        <f t="shared" si="11"/>
        <v>31689</v>
      </c>
      <c r="H82" s="538">
        <f t="shared" si="11"/>
        <v>-1707275</v>
      </c>
      <c r="I82" s="538">
        <f t="shared" si="11"/>
        <v>30997</v>
      </c>
      <c r="J82" s="538">
        <f t="shared" si="11"/>
        <v>0</v>
      </c>
      <c r="K82" s="538">
        <f t="shared" si="11"/>
        <v>-9110</v>
      </c>
    </row>
    <row r="83" spans="1:12" ht="14.25" hidden="1" thickTop="1" thickBot="1" x14ac:dyDescent="0.25">
      <c r="A83" s="539" t="s">
        <v>361</v>
      </c>
      <c r="B83" s="464"/>
      <c r="C83" s="540">
        <f>C82/C81</f>
        <v>-8.9603632562015225E-3</v>
      </c>
      <c r="D83" s="540">
        <f t="shared" ref="D83:K83" si="12">D82/D81</f>
        <v>-5.5843600448019552</v>
      </c>
      <c r="E83" s="540">
        <f t="shared" si="12"/>
        <v>0.16323184652866096</v>
      </c>
      <c r="F83" s="540">
        <f t="shared" si="12"/>
        <v>6.7269136582668462E-2</v>
      </c>
      <c r="G83" s="540">
        <f t="shared" si="12"/>
        <v>0.25196794046085585</v>
      </c>
      <c r="H83" s="540">
        <f t="shared" si="12"/>
        <v>-4.2214977350503435</v>
      </c>
      <c r="I83" s="540">
        <f t="shared" si="12"/>
        <v>7.8403350929422563E-2</v>
      </c>
      <c r="J83" s="540" t="e">
        <f t="shared" si="12"/>
        <v>#DIV/0!</v>
      </c>
      <c r="K83" s="540">
        <f t="shared" si="12"/>
        <v>-0.19718614718614719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1165371</v>
      </c>
      <c r="D5" s="481">
        <v>291343</v>
      </c>
      <c r="E5" s="466">
        <v>467271</v>
      </c>
      <c r="F5" s="548">
        <v>116537</v>
      </c>
      <c r="G5" s="466">
        <v>72862</v>
      </c>
      <c r="H5" s="466"/>
      <c r="I5" s="466">
        <v>29134</v>
      </c>
      <c r="J5" s="467">
        <v>406019</v>
      </c>
      <c r="K5" s="466">
        <v>29134</v>
      </c>
    </row>
    <row r="6" spans="1:12" ht="15" x14ac:dyDescent="0.2">
      <c r="A6" s="463" t="s">
        <v>1760</v>
      </c>
      <c r="B6" s="470">
        <v>1130</v>
      </c>
      <c r="C6" s="466">
        <v>29134</v>
      </c>
      <c r="D6" s="466"/>
      <c r="E6" s="475"/>
      <c r="F6" s="475"/>
      <c r="G6" s="468"/>
      <c r="H6" s="468"/>
      <c r="I6" s="468"/>
      <c r="J6" s="468"/>
      <c r="K6" s="468"/>
    </row>
    <row r="7" spans="1:12" x14ac:dyDescent="0.2">
      <c r="A7" s="463" t="s">
        <v>112</v>
      </c>
      <c r="B7" s="549">
        <v>1140</v>
      </c>
      <c r="C7" s="466">
        <v>23307</v>
      </c>
      <c r="D7" s="466"/>
      <c r="E7" s="468"/>
      <c r="F7" s="467"/>
      <c r="G7" s="467"/>
      <c r="H7" s="467"/>
      <c r="I7" s="468"/>
      <c r="J7" s="468"/>
      <c r="K7" s="468"/>
    </row>
    <row r="8" spans="1:12" x14ac:dyDescent="0.2">
      <c r="A8" s="463" t="s">
        <v>432</v>
      </c>
      <c r="B8" s="470">
        <v>1150</v>
      </c>
      <c r="C8" s="475"/>
      <c r="D8" s="475"/>
      <c r="E8" s="477"/>
      <c r="F8" s="477"/>
      <c r="G8" s="481">
        <v>79849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1217812</v>
      </c>
      <c r="D12" s="1729">
        <f t="shared" si="0"/>
        <v>291343</v>
      </c>
      <c r="E12" s="1729">
        <f t="shared" si="0"/>
        <v>467271</v>
      </c>
      <c r="F12" s="1729">
        <f t="shared" si="0"/>
        <v>116537</v>
      </c>
      <c r="G12" s="1729">
        <f t="shared" si="0"/>
        <v>152711</v>
      </c>
      <c r="H12" s="1729">
        <f t="shared" si="0"/>
        <v>0</v>
      </c>
      <c r="I12" s="1729">
        <f t="shared" si="0"/>
        <v>29134</v>
      </c>
      <c r="J12" s="1729">
        <f t="shared" si="0"/>
        <v>406019</v>
      </c>
      <c r="K12" s="1710">
        <f t="shared" si="0"/>
        <v>29134</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167728</v>
      </c>
      <c r="D16" s="466"/>
      <c r="E16" s="466"/>
      <c r="F16" s="466"/>
      <c r="G16" s="466">
        <v>8742</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167728</v>
      </c>
      <c r="D18" s="1732">
        <f t="shared" ref="D18:K18" si="1">SUM(D14:D17)</f>
        <v>0</v>
      </c>
      <c r="E18" s="1732">
        <f t="shared" si="1"/>
        <v>0</v>
      </c>
      <c r="F18" s="1732">
        <f t="shared" si="1"/>
        <v>0</v>
      </c>
      <c r="G18" s="1732">
        <f t="shared" si="1"/>
        <v>8742</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v>8027</v>
      </c>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8027</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17195</v>
      </c>
      <c r="D65" s="466">
        <v>183</v>
      </c>
      <c r="E65" s="466">
        <v>588</v>
      </c>
      <c r="F65" s="467">
        <v>1500</v>
      </c>
      <c r="G65" s="466">
        <v>539</v>
      </c>
      <c r="H65" s="466">
        <v>1412</v>
      </c>
      <c r="I65" s="466">
        <v>1863</v>
      </c>
      <c r="J65" s="467"/>
      <c r="K65" s="466">
        <v>249</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17195</v>
      </c>
      <c r="D67" s="1710">
        <f t="shared" ref="D67:K67" si="2">SUM(D65:D66)</f>
        <v>183</v>
      </c>
      <c r="E67" s="1710">
        <f t="shared" si="2"/>
        <v>588</v>
      </c>
      <c r="F67" s="1710">
        <f t="shared" si="2"/>
        <v>1500</v>
      </c>
      <c r="G67" s="1710">
        <f t="shared" si="2"/>
        <v>539</v>
      </c>
      <c r="H67" s="1710">
        <f t="shared" si="2"/>
        <v>1412</v>
      </c>
      <c r="I67" s="1710">
        <f t="shared" si="2"/>
        <v>1863</v>
      </c>
      <c r="J67" s="1710">
        <f t="shared" si="2"/>
        <v>0</v>
      </c>
      <c r="K67" s="1710">
        <f t="shared" si="2"/>
        <v>249</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27760</v>
      </c>
      <c r="D69" s="468"/>
      <c r="E69" s="468"/>
      <c r="F69" s="468"/>
      <c r="G69" s="468"/>
      <c r="H69" s="468"/>
      <c r="I69" s="468"/>
      <c r="J69" s="468"/>
      <c r="K69" s="468"/>
    </row>
    <row r="70" spans="1:11" ht="12.75" customHeight="1" x14ac:dyDescent="0.2">
      <c r="A70" s="463" t="s">
        <v>1053</v>
      </c>
      <c r="B70" s="470">
        <v>1612</v>
      </c>
      <c r="C70" s="551">
        <v>3574</v>
      </c>
      <c r="D70" s="468"/>
      <c r="E70" s="468"/>
      <c r="F70" s="468"/>
      <c r="G70" s="468"/>
      <c r="H70" s="468"/>
      <c r="I70" s="468"/>
      <c r="J70" s="468"/>
      <c r="K70" s="468"/>
    </row>
    <row r="71" spans="1:11" ht="12.75" customHeight="1" x14ac:dyDescent="0.2">
      <c r="A71" s="463" t="s">
        <v>290</v>
      </c>
      <c r="B71" s="470">
        <v>1613</v>
      </c>
      <c r="C71" s="551">
        <v>41119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1298</v>
      </c>
      <c r="D73" s="468"/>
      <c r="E73" s="468"/>
      <c r="F73" s="468"/>
      <c r="G73" s="468"/>
      <c r="H73" s="468"/>
      <c r="I73" s="468"/>
      <c r="J73" s="468"/>
      <c r="K73" s="468"/>
    </row>
    <row r="74" spans="1:11" ht="12.75" customHeight="1" x14ac:dyDescent="0.2">
      <c r="A74" s="463" t="s">
        <v>25</v>
      </c>
      <c r="B74" s="470">
        <v>1690</v>
      </c>
      <c r="C74" s="551">
        <v>5184</v>
      </c>
      <c r="D74" s="468"/>
      <c r="E74" s="468"/>
      <c r="F74" s="468"/>
      <c r="G74" s="468"/>
      <c r="H74" s="468"/>
      <c r="I74" s="468"/>
      <c r="J74" s="468"/>
      <c r="K74" s="468"/>
    </row>
    <row r="75" spans="1:11" ht="12.75" customHeight="1" thickBot="1" x14ac:dyDescent="0.25">
      <c r="A75" s="1730" t="s">
        <v>568</v>
      </c>
      <c r="B75" s="1731"/>
      <c r="C75" s="1710">
        <f>SUM(C69:C74)</f>
        <v>78935</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12398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12398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22540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22540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6000</v>
      </c>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846</v>
      </c>
      <c r="D99" s="466">
        <v>205</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108</v>
      </c>
      <c r="D106" s="489"/>
      <c r="E106" s="467"/>
      <c r="F106" s="467"/>
      <c r="G106" s="467"/>
      <c r="H106" s="467"/>
      <c r="I106" s="521"/>
      <c r="J106" s="467"/>
      <c r="K106" s="467"/>
    </row>
    <row r="107" spans="1:12" ht="12.75" customHeight="1" x14ac:dyDescent="0.2">
      <c r="A107" s="463" t="s">
        <v>80</v>
      </c>
      <c r="B107" s="470">
        <v>1999</v>
      </c>
      <c r="C107" s="551">
        <v>6185</v>
      </c>
      <c r="D107" s="466">
        <v>7793</v>
      </c>
      <c r="E107" s="466"/>
      <c r="F107" s="466">
        <v>1632</v>
      </c>
      <c r="G107" s="466"/>
      <c r="H107" s="466"/>
      <c r="I107" s="466"/>
      <c r="J107" s="467"/>
      <c r="K107" s="466"/>
    </row>
    <row r="108" spans="1:12" ht="12.75" customHeight="1" thickBot="1" x14ac:dyDescent="0.25">
      <c r="A108" s="1730" t="s">
        <v>507</v>
      </c>
      <c r="B108" s="1734"/>
      <c r="C108" s="1729">
        <f>SUM(C95:C107)</f>
        <v>13139</v>
      </c>
      <c r="D108" s="1729">
        <f t="shared" ref="D108:K108" si="3">SUM(D95:D107)</f>
        <v>7998</v>
      </c>
      <c r="E108" s="1729">
        <f t="shared" si="3"/>
        <v>0</v>
      </c>
      <c r="F108" s="1729">
        <f t="shared" si="3"/>
        <v>1632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1537774</v>
      </c>
      <c r="D109" s="1737">
        <f t="shared" si="4"/>
        <v>299524</v>
      </c>
      <c r="E109" s="1737">
        <f t="shared" si="4"/>
        <v>467859</v>
      </c>
      <c r="F109" s="1737">
        <f t="shared" si="4"/>
        <v>119669</v>
      </c>
      <c r="G109" s="1737">
        <f t="shared" si="4"/>
        <v>161992</v>
      </c>
      <c r="H109" s="1737">
        <f t="shared" si="4"/>
        <v>1412</v>
      </c>
      <c r="I109" s="1737">
        <f t="shared" si="4"/>
        <v>30997</v>
      </c>
      <c r="J109" s="1737">
        <f t="shared" si="4"/>
        <v>406019</v>
      </c>
      <c r="K109" s="1724">
        <f t="shared" si="4"/>
        <v>29383</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21519</v>
      </c>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21519</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1922854</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1922854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37476</v>
      </c>
      <c r="D125" s="561"/>
      <c r="E125" s="468"/>
      <c r="F125" s="466"/>
      <c r="G125" s="468"/>
      <c r="H125" s="468"/>
      <c r="I125" s="468"/>
      <c r="J125" s="468"/>
      <c r="K125" s="468"/>
    </row>
    <row r="126" spans="1:11" ht="12.75" customHeight="1" x14ac:dyDescent="0.2">
      <c r="A126" s="463" t="s">
        <v>921</v>
      </c>
      <c r="B126" s="562">
        <v>3110</v>
      </c>
      <c r="C126" s="551">
        <v>51750</v>
      </c>
      <c r="D126" s="466"/>
      <c r="E126" s="468"/>
      <c r="F126" s="466"/>
      <c r="G126" s="468"/>
      <c r="H126" s="468"/>
      <c r="I126" s="468"/>
      <c r="J126" s="468"/>
      <c r="K126" s="468"/>
    </row>
    <row r="127" spans="1:11" ht="12.75" customHeight="1" x14ac:dyDescent="0.2">
      <c r="A127" s="463" t="s">
        <v>107</v>
      </c>
      <c r="B127" s="562">
        <v>3120</v>
      </c>
      <c r="C127" s="466">
        <v>11024</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100250</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9965</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9965</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1432</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9130</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151401</v>
      </c>
      <c r="G151" s="467"/>
      <c r="H151" s="468"/>
      <c r="I151" s="468"/>
      <c r="J151" s="468"/>
      <c r="K151" s="468"/>
    </row>
    <row r="152" spans="1:11" ht="12.75" customHeight="1" x14ac:dyDescent="0.2">
      <c r="A152" s="463" t="s">
        <v>1116</v>
      </c>
      <c r="B152" s="562">
        <v>3510</v>
      </c>
      <c r="C152" s="551"/>
      <c r="D152" s="466"/>
      <c r="E152" s="561"/>
      <c r="F152" s="466">
        <v>11839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163240</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312747</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f>1019+1500</f>
        <v>2519</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436043</v>
      </c>
      <c r="D172" s="1744">
        <f t="shared" si="6"/>
        <v>0</v>
      </c>
      <c r="E172" s="1744">
        <f t="shared" si="6"/>
        <v>0</v>
      </c>
      <c r="F172" s="1744">
        <f t="shared" si="6"/>
        <v>163240</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2358897</v>
      </c>
      <c r="D173" s="1737">
        <f>SUM(D121,D172)</f>
        <v>0</v>
      </c>
      <c r="E173" s="1737">
        <f>SUM(E121,E172)</f>
        <v>0</v>
      </c>
      <c r="F173" s="1737">
        <f t="shared" ref="F173:K173" si="7">SUM(F121,F172)</f>
        <v>163240</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69964</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17039</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87003</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92549</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92549</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5280</v>
      </c>
      <c r="D270" s="576"/>
      <c r="E270" s="468"/>
      <c r="F270" s="576"/>
      <c r="G270" s="576"/>
      <c r="H270" s="468"/>
      <c r="I270" s="468"/>
      <c r="J270" s="468"/>
      <c r="K270" s="468"/>
    </row>
    <row r="271" spans="1:11" ht="12.75" customHeight="1" thickTop="1" thickBot="1" x14ac:dyDescent="0.25">
      <c r="A271" s="463" t="s">
        <v>394</v>
      </c>
      <c r="B271" s="470">
        <v>4992</v>
      </c>
      <c r="C271" s="575">
        <v>29780</v>
      </c>
      <c r="D271" s="576"/>
      <c r="E271" s="468"/>
      <c r="F271" s="576"/>
      <c r="G271" s="576"/>
      <c r="H271" s="468"/>
      <c r="I271" s="468"/>
      <c r="J271" s="468"/>
      <c r="K271" s="468"/>
    </row>
    <row r="272" spans="1:11" s="594" customFormat="1" ht="12.75" customHeight="1" thickTop="1" thickBot="1" x14ac:dyDescent="0.25">
      <c r="A272" s="563" t="s">
        <v>77</v>
      </c>
      <c r="B272" s="557">
        <v>4999</v>
      </c>
      <c r="C272" s="575">
        <v>32441</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247053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247053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4165243</v>
      </c>
      <c r="D275" s="1737">
        <f t="shared" si="12"/>
        <v>299524</v>
      </c>
      <c r="E275" s="1737">
        <f t="shared" si="12"/>
        <v>467859</v>
      </c>
      <c r="F275" s="1737">
        <f t="shared" si="12"/>
        <v>282909</v>
      </c>
      <c r="G275" s="1737">
        <f t="shared" si="12"/>
        <v>161992</v>
      </c>
      <c r="H275" s="1737">
        <f t="shared" si="12"/>
        <v>1412</v>
      </c>
      <c r="I275" s="1737">
        <f t="shared" si="12"/>
        <v>30997</v>
      </c>
      <c r="J275" s="1737">
        <f t="shared" si="12"/>
        <v>406019</v>
      </c>
      <c r="K275" s="1724">
        <f t="shared" si="12"/>
        <v>29383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0" t="s">
        <v>314</v>
      </c>
      <c r="B3" s="218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f>981789+742336</f>
        <v>1724125</v>
      </c>
      <c r="D5" s="466">
        <f>123239+27703+98299+44402</f>
        <v>293643</v>
      </c>
      <c r="E5" s="466">
        <f>27738+25016</f>
        <v>52754</v>
      </c>
      <c r="F5" s="466">
        <f>19637+39009</f>
        <v>58646</v>
      </c>
      <c r="G5" s="466">
        <v>5640</v>
      </c>
      <c r="H5" s="466">
        <f>125+1655</f>
        <v>1780</v>
      </c>
      <c r="I5" s="467"/>
      <c r="J5" s="467"/>
      <c r="K5" s="1693">
        <f>SUM(C5:J5)</f>
        <v>2136588</v>
      </c>
      <c r="L5" s="466">
        <v>1218100</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122472</v>
      </c>
      <c r="D7" s="467">
        <f>16624+11887</f>
        <v>28511</v>
      </c>
      <c r="E7" s="467">
        <v>59988</v>
      </c>
      <c r="F7" s="467">
        <v>8343</v>
      </c>
      <c r="G7" s="467"/>
      <c r="H7" s="467">
        <v>964</v>
      </c>
      <c r="I7" s="467"/>
      <c r="J7" s="467"/>
      <c r="K7" s="1693">
        <f t="shared" ref="K7:K32" si="0">SUM(C7:J7)</f>
        <v>220278</v>
      </c>
      <c r="L7" s="466">
        <v>1212550</v>
      </c>
    </row>
    <row r="8" spans="1:14" x14ac:dyDescent="0.2">
      <c r="A8" s="1526" t="s">
        <v>166</v>
      </c>
      <c r="B8" s="615">
        <v>1200</v>
      </c>
      <c r="C8" s="466">
        <v>288867</v>
      </c>
      <c r="D8" s="466">
        <f>28102+22997</f>
        <v>51099</v>
      </c>
      <c r="E8" s="466">
        <v>307</v>
      </c>
      <c r="F8" s="466">
        <v>3329</v>
      </c>
      <c r="G8" s="466"/>
      <c r="H8" s="466">
        <v>120</v>
      </c>
      <c r="I8" s="467"/>
      <c r="J8" s="467"/>
      <c r="K8" s="1693">
        <f t="shared" si="0"/>
        <v>343722</v>
      </c>
      <c r="L8" s="466">
        <v>351500</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53251</v>
      </c>
      <c r="D10" s="466">
        <f>10329+4307</f>
        <v>14636</v>
      </c>
      <c r="E10" s="466">
        <v>2710</v>
      </c>
      <c r="F10" s="466">
        <v>27934</v>
      </c>
      <c r="G10" s="466">
        <v>4006</v>
      </c>
      <c r="H10" s="466"/>
      <c r="I10" s="467"/>
      <c r="J10" s="467"/>
      <c r="K10" s="1693">
        <f t="shared" si="0"/>
        <v>102537</v>
      </c>
      <c r="L10" s="466">
        <v>96300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1085</v>
      </c>
      <c r="D13" s="466">
        <v>17</v>
      </c>
      <c r="E13" s="466"/>
      <c r="F13" s="466">
        <v>11985</v>
      </c>
      <c r="G13" s="466">
        <v>9513</v>
      </c>
      <c r="H13" s="466"/>
      <c r="I13" s="467"/>
      <c r="J13" s="467"/>
      <c r="K13" s="1693">
        <f t="shared" si="0"/>
        <v>22600</v>
      </c>
      <c r="L13" s="466"/>
    </row>
    <row r="14" spans="1:14" x14ac:dyDescent="0.2">
      <c r="A14" s="1526" t="s">
        <v>1019</v>
      </c>
      <c r="B14" s="615">
        <v>1500</v>
      </c>
      <c r="C14" s="466">
        <v>43971</v>
      </c>
      <c r="D14" s="466">
        <v>3222</v>
      </c>
      <c r="E14" s="466">
        <v>68717</v>
      </c>
      <c r="F14" s="466">
        <v>11586</v>
      </c>
      <c r="G14" s="466"/>
      <c r="H14" s="466"/>
      <c r="I14" s="467"/>
      <c r="J14" s="467"/>
      <c r="K14" s="1693">
        <f t="shared" si="0"/>
        <v>127496</v>
      </c>
      <c r="L14" s="466">
        <v>105800</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45771</v>
      </c>
      <c r="D17" s="467">
        <f>6537+4334</f>
        <v>10871</v>
      </c>
      <c r="E17" s="467">
        <v>1277</v>
      </c>
      <c r="F17" s="467">
        <v>2107</v>
      </c>
      <c r="G17" s="467"/>
      <c r="H17" s="467"/>
      <c r="I17" s="467"/>
      <c r="J17" s="467"/>
      <c r="K17" s="1693">
        <f t="shared" si="0"/>
        <v>60026</v>
      </c>
      <c r="L17" s="466">
        <v>59200</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2279542</v>
      </c>
      <c r="D33" s="1692">
        <f t="shared" ref="D33:L33" si="1">SUM(D5:D32)</f>
        <v>401999</v>
      </c>
      <c r="E33" s="1692">
        <f t="shared" si="1"/>
        <v>185753</v>
      </c>
      <c r="F33" s="1692">
        <f t="shared" si="1"/>
        <v>123930</v>
      </c>
      <c r="G33" s="1692">
        <f t="shared" si="1"/>
        <v>19159</v>
      </c>
      <c r="H33" s="1692">
        <f t="shared" si="1"/>
        <v>2864</v>
      </c>
      <c r="I33" s="1692">
        <f t="shared" si="1"/>
        <v>0</v>
      </c>
      <c r="J33" s="1692">
        <f t="shared" si="1"/>
        <v>0</v>
      </c>
      <c r="K33" s="1692">
        <f t="shared" si="1"/>
        <v>3013247</v>
      </c>
      <c r="L33" s="1692">
        <f t="shared" si="1"/>
        <v>3043450</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c r="D36" s="481"/>
      <c r="E36" s="481"/>
      <c r="F36" s="481"/>
      <c r="G36" s="481"/>
      <c r="H36" s="481"/>
      <c r="I36" s="467"/>
      <c r="J36" s="467"/>
      <c r="K36" s="1693">
        <f t="shared" ref="K36:K41" si="2">SUM(C36:J36)</f>
        <v>0</v>
      </c>
      <c r="L36" s="466"/>
    </row>
    <row r="37" spans="1:14" x14ac:dyDescent="0.2">
      <c r="A37" s="1526" t="s">
        <v>1150</v>
      </c>
      <c r="B37" s="615">
        <v>2120</v>
      </c>
      <c r="C37" s="466">
        <v>69594</v>
      </c>
      <c r="D37" s="466">
        <f>8922+7062</f>
        <v>15984</v>
      </c>
      <c r="E37" s="466">
        <v>906</v>
      </c>
      <c r="F37" s="466">
        <v>5676</v>
      </c>
      <c r="G37" s="466"/>
      <c r="H37" s="466"/>
      <c r="I37" s="467"/>
      <c r="J37" s="467"/>
      <c r="K37" s="1693">
        <f t="shared" si="2"/>
        <v>92160</v>
      </c>
      <c r="L37" s="466">
        <v>87900</v>
      </c>
    </row>
    <row r="38" spans="1:14" x14ac:dyDescent="0.2">
      <c r="A38" s="1526" t="s">
        <v>207</v>
      </c>
      <c r="B38" s="615">
        <v>2130</v>
      </c>
      <c r="C38" s="466"/>
      <c r="D38" s="466"/>
      <c r="E38" s="466">
        <v>288</v>
      </c>
      <c r="F38" s="466">
        <v>1445</v>
      </c>
      <c r="G38" s="466"/>
      <c r="H38" s="466"/>
      <c r="I38" s="467"/>
      <c r="J38" s="467"/>
      <c r="K38" s="1693">
        <f t="shared" si="2"/>
        <v>1733</v>
      </c>
      <c r="L38" s="466">
        <v>4150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v>6328</v>
      </c>
      <c r="D41" s="466"/>
      <c r="E41" s="466"/>
      <c r="F41" s="466"/>
      <c r="G41" s="466"/>
      <c r="H41" s="466"/>
      <c r="I41" s="467"/>
      <c r="J41" s="467"/>
      <c r="K41" s="1693">
        <f t="shared" si="2"/>
        <v>6328</v>
      </c>
      <c r="L41" s="466">
        <v>7000</v>
      </c>
    </row>
    <row r="42" spans="1:14" ht="12.75" customHeight="1" thickBot="1" x14ac:dyDescent="0.25">
      <c r="A42" s="1690" t="s">
        <v>580</v>
      </c>
      <c r="B42" s="1691" t="s">
        <v>739</v>
      </c>
      <c r="C42" s="1692">
        <f>SUM(C36:C41)</f>
        <v>75922</v>
      </c>
      <c r="D42" s="1692">
        <f t="shared" ref="D42:L42" si="3">SUM(D36:D41)</f>
        <v>15984</v>
      </c>
      <c r="E42" s="1692">
        <f t="shared" si="3"/>
        <v>1194</v>
      </c>
      <c r="F42" s="1692">
        <f t="shared" si="3"/>
        <v>7121</v>
      </c>
      <c r="G42" s="1692">
        <f t="shared" si="3"/>
        <v>0</v>
      </c>
      <c r="H42" s="1692">
        <f t="shared" si="3"/>
        <v>0</v>
      </c>
      <c r="I42" s="1692">
        <f t="shared" si="3"/>
        <v>0</v>
      </c>
      <c r="J42" s="1692">
        <f t="shared" si="3"/>
        <v>0</v>
      </c>
      <c r="K42" s="1692">
        <f t="shared" si="3"/>
        <v>100221</v>
      </c>
      <c r="L42" s="1692">
        <f t="shared" si="3"/>
        <v>99050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c r="F44" s="481"/>
      <c r="G44" s="481"/>
      <c r="H44" s="481"/>
      <c r="I44" s="467"/>
      <c r="J44" s="467"/>
      <c r="K44" s="1694">
        <f>SUM(C44:J44)</f>
        <v>0</v>
      </c>
      <c r="L44" s="481">
        <v>2000</v>
      </c>
    </row>
    <row r="45" spans="1:14" x14ac:dyDescent="0.2">
      <c r="A45" s="1526" t="s">
        <v>868</v>
      </c>
      <c r="B45" s="615">
        <v>2220</v>
      </c>
      <c r="C45" s="466">
        <v>58752</v>
      </c>
      <c r="D45" s="466">
        <f>7422+4346</f>
        <v>11768</v>
      </c>
      <c r="E45" s="466"/>
      <c r="F45" s="466">
        <v>6956</v>
      </c>
      <c r="G45" s="466"/>
      <c r="H45" s="466">
        <v>45</v>
      </c>
      <c r="I45" s="467"/>
      <c r="J45" s="467"/>
      <c r="K45" s="1694">
        <f>SUM(C45:J45)</f>
        <v>77521</v>
      </c>
      <c r="L45" s="466">
        <v>74300</v>
      </c>
    </row>
    <row r="46" spans="1:14" x14ac:dyDescent="0.2">
      <c r="A46" s="1526" t="s">
        <v>869</v>
      </c>
      <c r="B46" s="615">
        <v>2230</v>
      </c>
      <c r="C46" s="466"/>
      <c r="D46" s="466"/>
      <c r="E46" s="466"/>
      <c r="F46" s="466"/>
      <c r="G46" s="466"/>
      <c r="H46" s="466"/>
      <c r="I46" s="467"/>
      <c r="J46" s="467"/>
      <c r="K46" s="1694">
        <f>SUM(C46:J46)</f>
        <v>0</v>
      </c>
      <c r="L46" s="466"/>
    </row>
    <row r="47" spans="1:14" ht="12.75" customHeight="1" thickBot="1" x14ac:dyDescent="0.25">
      <c r="A47" s="1690" t="s">
        <v>581</v>
      </c>
      <c r="B47" s="1691" t="s">
        <v>32</v>
      </c>
      <c r="C47" s="1692">
        <f>SUM(C44:C46)</f>
        <v>58752</v>
      </c>
      <c r="D47" s="1692">
        <f t="shared" ref="D47:K47" si="4">SUM(D44:D46)</f>
        <v>11768</v>
      </c>
      <c r="E47" s="1692">
        <f t="shared" si="4"/>
        <v>0</v>
      </c>
      <c r="F47" s="1692">
        <f t="shared" si="4"/>
        <v>6956</v>
      </c>
      <c r="G47" s="1692">
        <f t="shared" si="4"/>
        <v>0</v>
      </c>
      <c r="H47" s="1692">
        <f t="shared" si="4"/>
        <v>45</v>
      </c>
      <c r="I47" s="1692">
        <f t="shared" si="4"/>
        <v>0</v>
      </c>
      <c r="J47" s="1692">
        <f t="shared" si="4"/>
        <v>0</v>
      </c>
      <c r="K47" s="1692">
        <f t="shared" si="4"/>
        <v>77521</v>
      </c>
      <c r="L47" s="1692">
        <f>SUM(L44:L46)</f>
        <v>76300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53857</v>
      </c>
      <c r="F49" s="481">
        <v>4820</v>
      </c>
      <c r="G49" s="481"/>
      <c r="H49" s="481">
        <v>5581</v>
      </c>
      <c r="I49" s="467"/>
      <c r="J49" s="467"/>
      <c r="K49" s="1694">
        <f>SUM(C49:J49)</f>
        <v>64258</v>
      </c>
      <c r="L49" s="481">
        <v>26500</v>
      </c>
    </row>
    <row r="50" spans="1:14" x14ac:dyDescent="0.2">
      <c r="A50" s="1526" t="s">
        <v>871</v>
      </c>
      <c r="B50" s="615">
        <v>2320</v>
      </c>
      <c r="C50" s="466">
        <v>91988</v>
      </c>
      <c r="D50" s="466">
        <f>21025+38445</f>
        <v>59470</v>
      </c>
      <c r="E50" s="466">
        <v>7505</v>
      </c>
      <c r="F50" s="466">
        <v>370</v>
      </c>
      <c r="G50" s="466"/>
      <c r="H50" s="466">
        <v>4701</v>
      </c>
      <c r="I50" s="467"/>
      <c r="J50" s="467"/>
      <c r="K50" s="1694">
        <f>SUM(C50:J50)</f>
        <v>164034</v>
      </c>
      <c r="L50" s="466">
        <v>162000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91988</v>
      </c>
      <c r="D53" s="1692">
        <f t="shared" ref="D53:L53" si="5">SUM(D49:D52)</f>
        <v>59470</v>
      </c>
      <c r="E53" s="1692">
        <f t="shared" si="5"/>
        <v>61362</v>
      </c>
      <c r="F53" s="1692">
        <f t="shared" si="5"/>
        <v>5190</v>
      </c>
      <c r="G53" s="1692">
        <f t="shared" si="5"/>
        <v>0</v>
      </c>
      <c r="H53" s="1692">
        <f t="shared" si="5"/>
        <v>10282</v>
      </c>
      <c r="I53" s="1692">
        <f t="shared" si="5"/>
        <v>0</v>
      </c>
      <c r="J53" s="1692">
        <f t="shared" si="5"/>
        <v>0</v>
      </c>
      <c r="K53" s="1692">
        <f t="shared" si="5"/>
        <v>228292</v>
      </c>
      <c r="L53" s="1692">
        <f t="shared" si="5"/>
        <v>188500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143489</v>
      </c>
      <c r="D55" s="481">
        <f>21377+8089</f>
        <v>29466</v>
      </c>
      <c r="E55" s="481">
        <v>1210</v>
      </c>
      <c r="F55" s="481">
        <v>3368</v>
      </c>
      <c r="G55" s="481"/>
      <c r="H55" s="481">
        <v>585</v>
      </c>
      <c r="I55" s="467"/>
      <c r="J55" s="467"/>
      <c r="K55" s="1694">
        <f>SUM(C55:J55)</f>
        <v>178118</v>
      </c>
      <c r="L55" s="481">
        <v>167000</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143489</v>
      </c>
      <c r="D57" s="1696">
        <f t="shared" ref="D57:K57" si="6">SUM(D55:D56)</f>
        <v>29466</v>
      </c>
      <c r="E57" s="1696">
        <f t="shared" si="6"/>
        <v>1210</v>
      </c>
      <c r="F57" s="1696">
        <f t="shared" si="6"/>
        <v>3368</v>
      </c>
      <c r="G57" s="1696">
        <f t="shared" si="6"/>
        <v>0</v>
      </c>
      <c r="H57" s="1696">
        <f t="shared" si="6"/>
        <v>585</v>
      </c>
      <c r="I57" s="1696">
        <f t="shared" si="6"/>
        <v>0</v>
      </c>
      <c r="J57" s="1696">
        <f t="shared" si="6"/>
        <v>0</v>
      </c>
      <c r="K57" s="1696">
        <f t="shared" si="6"/>
        <v>178118</v>
      </c>
      <c r="L57" s="1692">
        <f>SUM(L55:L56)</f>
        <v>167000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84347</v>
      </c>
      <c r="D60" s="466">
        <v>8261</v>
      </c>
      <c r="E60" s="466">
        <v>6067</v>
      </c>
      <c r="F60" s="466">
        <v>3458</v>
      </c>
      <c r="G60" s="466"/>
      <c r="H60" s="466">
        <v>2250</v>
      </c>
      <c r="I60" s="467"/>
      <c r="J60" s="467"/>
      <c r="K60" s="1694">
        <f t="shared" si="7"/>
        <v>104383</v>
      </c>
      <c r="L60" s="466">
        <v>94346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57898</v>
      </c>
      <c r="D63" s="466"/>
      <c r="E63" s="466">
        <v>18930</v>
      </c>
      <c r="F63" s="466">
        <v>92472</v>
      </c>
      <c r="G63" s="466"/>
      <c r="H63" s="466">
        <v>155</v>
      </c>
      <c r="I63" s="467"/>
      <c r="J63" s="467"/>
      <c r="K63" s="1694">
        <f t="shared" si="7"/>
        <v>169455</v>
      </c>
      <c r="L63" s="466">
        <v>155562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142245</v>
      </c>
      <c r="D65" s="1692">
        <f t="shared" ref="D65:L65" si="8">SUM(D59:D64)</f>
        <v>8261</v>
      </c>
      <c r="E65" s="1692">
        <f t="shared" si="8"/>
        <v>24997</v>
      </c>
      <c r="F65" s="1692">
        <f t="shared" si="8"/>
        <v>95930</v>
      </c>
      <c r="G65" s="1692">
        <f t="shared" si="8"/>
        <v>0</v>
      </c>
      <c r="H65" s="1692">
        <f t="shared" si="8"/>
        <v>2405</v>
      </c>
      <c r="I65" s="1692">
        <f t="shared" si="8"/>
        <v>0</v>
      </c>
      <c r="J65" s="1692">
        <f t="shared" si="8"/>
        <v>0</v>
      </c>
      <c r="K65" s="1692">
        <f t="shared" si="8"/>
        <v>273838</v>
      </c>
      <c r="L65" s="1692">
        <f t="shared" si="8"/>
        <v>249908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512396</v>
      </c>
      <c r="D74" s="1699">
        <f t="shared" ref="D74:K74" si="10">SUM(D42,D47,D53,D57,D65,D72,D73)</f>
        <v>124949</v>
      </c>
      <c r="E74" s="1699">
        <f t="shared" si="10"/>
        <v>88763</v>
      </c>
      <c r="F74" s="1699">
        <f t="shared" si="10"/>
        <v>118565</v>
      </c>
      <c r="G74" s="1699">
        <f t="shared" si="10"/>
        <v>0</v>
      </c>
      <c r="H74" s="1699">
        <f t="shared" si="10"/>
        <v>13317</v>
      </c>
      <c r="I74" s="1699">
        <f t="shared" si="10"/>
        <v>0</v>
      </c>
      <c r="J74" s="1699">
        <f t="shared" si="10"/>
        <v>0</v>
      </c>
      <c r="K74" s="1699">
        <f t="shared" si="10"/>
        <v>857990</v>
      </c>
      <c r="L74" s="1699">
        <f>SUM(L42,L47,L53,L57,L65,L72,L73)</f>
        <v>780758</v>
      </c>
    </row>
    <row r="75" spans="1:14" s="259" customFormat="1" ht="15.75" customHeight="1" thickTop="1" thickBot="1" x14ac:dyDescent="0.25">
      <c r="A75" s="1632" t="s">
        <v>49</v>
      </c>
      <c r="B75" s="1633" t="s">
        <v>595</v>
      </c>
      <c r="C75" s="573"/>
      <c r="D75" s="573"/>
      <c r="E75" s="573"/>
      <c r="F75" s="573"/>
      <c r="G75" s="573"/>
      <c r="H75" s="573"/>
      <c r="I75" s="531"/>
      <c r="J75" s="531"/>
      <c r="K75" s="1692">
        <f>SUM(C75:J75)</f>
        <v>0</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f>1392+151940</f>
        <v>153332</v>
      </c>
      <c r="F79" s="617"/>
      <c r="G79" s="617"/>
      <c r="H79" s="466"/>
      <c r="I79" s="477"/>
      <c r="J79" s="477"/>
      <c r="K79" s="1693">
        <f t="shared" si="11"/>
        <v>153332</v>
      </c>
      <c r="L79" s="466">
        <v>130000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v>58032</v>
      </c>
      <c r="F81" s="617"/>
      <c r="G81" s="617"/>
      <c r="H81" s="466"/>
      <c r="I81" s="477"/>
      <c r="J81" s="477"/>
      <c r="K81" s="1693">
        <f t="shared" si="11"/>
        <v>58032</v>
      </c>
      <c r="L81" s="466">
        <v>58803</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211364</v>
      </c>
      <c r="F84" s="617"/>
      <c r="G84" s="617"/>
      <c r="H84" s="1692">
        <f>SUM(H78:H83)</f>
        <v>0</v>
      </c>
      <c r="I84" s="477"/>
      <c r="J84" s="477"/>
      <c r="K84" s="1692">
        <f>SUM(K78:K83)</f>
        <v>211364</v>
      </c>
      <c r="L84" s="1692">
        <f>SUM(L78:L83)</f>
        <v>188803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211364</v>
      </c>
      <c r="F102" s="617"/>
      <c r="G102" s="617"/>
      <c r="H102" s="1699">
        <f>SUM(H84,H92,H100,H101)</f>
        <v>0</v>
      </c>
      <c r="I102" s="477"/>
      <c r="J102" s="477"/>
      <c r="K102" s="1699">
        <f>SUM(K84,K92,K100,K101)</f>
        <v>211364</v>
      </c>
      <c r="L102" s="1699">
        <f>SUM(L84,L92,L100,L101)</f>
        <v>188803</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2791938</v>
      </c>
      <c r="D114" s="1692">
        <f t="shared" ref="D114:K114" si="13">SUM(D33,D74,D75,D102,D112,D113)</f>
        <v>526948</v>
      </c>
      <c r="E114" s="1692">
        <f t="shared" si="13"/>
        <v>485880</v>
      </c>
      <c r="F114" s="1692">
        <f t="shared" si="13"/>
        <v>242495</v>
      </c>
      <c r="G114" s="1692">
        <f t="shared" si="13"/>
        <v>19159</v>
      </c>
      <c r="H114" s="1692">
        <f>SUM(H33,H74,H75,H102,H112,H113)</f>
        <v>16181</v>
      </c>
      <c r="I114" s="1692">
        <f t="shared" si="13"/>
        <v>0</v>
      </c>
      <c r="J114" s="1692">
        <f t="shared" si="13"/>
        <v>0</v>
      </c>
      <c r="K114" s="1692">
        <f t="shared" si="13"/>
        <v>4082601</v>
      </c>
      <c r="L114" s="1692">
        <f>SUM(L33,L74,L75,L102,L112,L113)</f>
        <v>4013011</v>
      </c>
    </row>
    <row r="115" spans="1:14" ht="13.5" thickTop="1" x14ac:dyDescent="0.2">
      <c r="A115" s="2199" t="s">
        <v>1052</v>
      </c>
      <c r="B115" s="2200"/>
      <c r="C115" s="619"/>
      <c r="D115" s="619"/>
      <c r="E115" s="619"/>
      <c r="F115" s="619"/>
      <c r="G115" s="619"/>
      <c r="H115" s="619"/>
      <c r="I115" s="619"/>
      <c r="J115" s="619"/>
      <c r="K115" s="1706">
        <f>'Revenues 9-14'!C275-'Expenditures 15-22'!K114</f>
        <v>82642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313</v>
      </c>
      <c r="B117" s="217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73335+3348-1</f>
        <v>76682</v>
      </c>
      <c r="D124" s="466">
        <v>7908</v>
      </c>
      <c r="E124" s="466">
        <f>151439+5315+10821</f>
        <v>167575</v>
      </c>
      <c r="F124" s="466">
        <f>5920+5275+81721</f>
        <v>92916</v>
      </c>
      <c r="G124" s="466">
        <v>9287</v>
      </c>
      <c r="H124" s="466"/>
      <c r="I124" s="467"/>
      <c r="J124" s="467"/>
      <c r="K124" s="1692">
        <f>SUM(C124:J124)</f>
        <v>354368</v>
      </c>
      <c r="L124" s="466">
        <v>314600</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76682</v>
      </c>
      <c r="D127" s="1692">
        <f t="shared" ref="D127:L127" si="14">SUM(D122:D126)</f>
        <v>7908</v>
      </c>
      <c r="E127" s="1692">
        <f t="shared" si="14"/>
        <v>167575</v>
      </c>
      <c r="F127" s="1692">
        <f t="shared" si="14"/>
        <v>92916</v>
      </c>
      <c r="G127" s="1692">
        <f t="shared" si="14"/>
        <v>9287</v>
      </c>
      <c r="H127" s="1692">
        <f t="shared" si="14"/>
        <v>0</v>
      </c>
      <c r="I127" s="1692">
        <f t="shared" si="14"/>
        <v>0</v>
      </c>
      <c r="J127" s="1692">
        <f t="shared" si="14"/>
        <v>0</v>
      </c>
      <c r="K127" s="1692">
        <f t="shared" si="14"/>
        <v>354368</v>
      </c>
      <c r="L127" s="1692">
        <f t="shared" si="14"/>
        <v>314600</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76682</v>
      </c>
      <c r="D129" s="1699">
        <f t="shared" ref="D129:L129" si="15">SUM(D120,D127,D128)</f>
        <v>7908</v>
      </c>
      <c r="E129" s="1699">
        <f t="shared" si="15"/>
        <v>167575</v>
      </c>
      <c r="F129" s="1699">
        <f t="shared" si="15"/>
        <v>92916</v>
      </c>
      <c r="G129" s="1699">
        <f t="shared" si="15"/>
        <v>9287</v>
      </c>
      <c r="H129" s="1699">
        <f t="shared" si="15"/>
        <v>0</v>
      </c>
      <c r="I129" s="1699">
        <f t="shared" si="15"/>
        <v>0</v>
      </c>
      <c r="J129" s="1699">
        <f t="shared" si="15"/>
        <v>0</v>
      </c>
      <c r="K129" s="1699">
        <f t="shared" si="15"/>
        <v>354368</v>
      </c>
      <c r="L129" s="1699">
        <f t="shared" si="15"/>
        <v>314600</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1955</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9" t="s">
        <v>640</v>
      </c>
      <c r="B151" s="2171"/>
      <c r="C151" s="1692">
        <f>SUM(C129,C130,C139,C149,C150)</f>
        <v>76682</v>
      </c>
      <c r="D151" s="1692">
        <f t="shared" ref="D151:K151" si="16">SUM(D129,D130,D139,D149,D150)</f>
        <v>7908</v>
      </c>
      <c r="E151" s="1692">
        <f t="shared" si="16"/>
        <v>167575</v>
      </c>
      <c r="F151" s="1692">
        <f t="shared" si="16"/>
        <v>92916</v>
      </c>
      <c r="G151" s="1692">
        <f t="shared" si="16"/>
        <v>9287</v>
      </c>
      <c r="H151" s="1692">
        <f t="shared" si="16"/>
        <v>0</v>
      </c>
      <c r="I151" s="1692">
        <f t="shared" si="16"/>
        <v>0</v>
      </c>
      <c r="J151" s="1692">
        <f t="shared" si="16"/>
        <v>0</v>
      </c>
      <c r="K151" s="1692">
        <f t="shared" si="16"/>
        <v>354368</v>
      </c>
      <c r="L151" s="1692">
        <f>SUM(L129,L130,L139,L149,L150)</f>
        <v>314600</v>
      </c>
    </row>
    <row r="152" spans="1:14" ht="12.75" customHeight="1" thickTop="1" x14ac:dyDescent="0.2">
      <c r="A152" s="2192" t="s">
        <v>1239</v>
      </c>
      <c r="B152" s="2193"/>
      <c r="C152" s="619"/>
      <c r="D152" s="619"/>
      <c r="E152" s="619"/>
      <c r="F152" s="619"/>
      <c r="G152" s="619"/>
      <c r="H152" s="619"/>
      <c r="I152" s="619"/>
      <c r="J152" s="617"/>
      <c r="K152" s="1706">
        <f>'Revenues 9-14'!D275-'Expenditures 15-22'!K151</f>
        <v>-54844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641</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255250</v>
      </c>
      <c r="I169" s="617"/>
      <c r="J169" s="617"/>
      <c r="K169" s="1693">
        <f>SUM(C169:H169)</f>
        <v>255250</v>
      </c>
      <c r="L169" s="657">
        <v>176000</v>
      </c>
    </row>
    <row r="170" spans="1:14" ht="33.75" customHeight="1" x14ac:dyDescent="0.2">
      <c r="A170" s="670" t="s">
        <v>1768</v>
      </c>
      <c r="B170" s="672" t="s">
        <v>31</v>
      </c>
      <c r="C170" s="617"/>
      <c r="D170" s="617"/>
      <c r="E170" s="617"/>
      <c r="F170" s="617"/>
      <c r="G170" s="617"/>
      <c r="H170" s="569">
        <v>1057988</v>
      </c>
      <c r="I170" s="617"/>
      <c r="J170" s="617"/>
      <c r="K170" s="1693">
        <f>SUM(C170:J170)</f>
        <v>1057988</v>
      </c>
      <c r="L170" s="569">
        <v>285000</v>
      </c>
    </row>
    <row r="171" spans="1:14" ht="15.75" customHeight="1" x14ac:dyDescent="0.2">
      <c r="A171" s="622" t="s">
        <v>789</v>
      </c>
      <c r="B171" s="673" t="s">
        <v>86</v>
      </c>
      <c r="C171" s="617"/>
      <c r="D171" s="617"/>
      <c r="E171" s="466"/>
      <c r="F171" s="617"/>
      <c r="G171" s="617"/>
      <c r="H171" s="569">
        <v>2450</v>
      </c>
      <c r="I171" s="477"/>
      <c r="J171" s="617"/>
      <c r="K171" s="1693">
        <f>SUM(C171:J171)</f>
        <v>2450</v>
      </c>
      <c r="L171" s="569">
        <v>2600</v>
      </c>
    </row>
    <row r="172" spans="1:14" ht="12.75" customHeight="1" thickBot="1" x14ac:dyDescent="0.25">
      <c r="A172" s="1690" t="s">
        <v>658</v>
      </c>
      <c r="B172" s="1691" t="s">
        <v>512</v>
      </c>
      <c r="C172" s="617"/>
      <c r="D172" s="617"/>
      <c r="E172" s="1699">
        <f>SUM(E168,E169,E170,E171)</f>
        <v>0</v>
      </c>
      <c r="F172" s="617"/>
      <c r="G172" s="617"/>
      <c r="H172" s="1699">
        <f>SUM(H168,H169,H170,H171)</f>
        <v>1315688</v>
      </c>
      <c r="I172" s="639"/>
      <c r="J172" s="617"/>
      <c r="K172" s="1699">
        <f>SUM(K168,K169,K170,K171)</f>
        <v>1315688</v>
      </c>
      <c r="L172" s="1699">
        <f>SUM(L168,L169,L170,L171)</f>
        <v>463600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1315688</v>
      </c>
      <c r="I174" s="639"/>
      <c r="J174" s="617"/>
      <c r="K174" s="1699">
        <f>SUM(K160,K172,K173)</f>
        <v>1315688</v>
      </c>
      <c r="L174" s="1699">
        <f>SUM(L160,L172,L173)</f>
        <v>463600</v>
      </c>
    </row>
    <row r="175" spans="1:14" ht="13.5" thickTop="1" x14ac:dyDescent="0.2">
      <c r="A175" s="2199" t="s">
        <v>1052</v>
      </c>
      <c r="B175" s="2200"/>
      <c r="C175" s="617"/>
      <c r="D175" s="617"/>
      <c r="E175" s="617"/>
      <c r="F175" s="617"/>
      <c r="G175" s="617"/>
      <c r="H175" s="619"/>
      <c r="I175" s="617"/>
      <c r="J175" s="617"/>
      <c r="K175" s="1706">
        <f>'Revenues 9-14'!E275-'Expenditures 15-22'!K174</f>
        <v>-847829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6285</v>
      </c>
      <c r="D182" s="466"/>
      <c r="E182" s="466">
        <v>212285</v>
      </c>
      <c r="F182" s="466">
        <f>119+33491</f>
        <v>33610</v>
      </c>
      <c r="G182" s="466"/>
      <c r="H182" s="466"/>
      <c r="I182" s="467"/>
      <c r="J182" s="467"/>
      <c r="K182" s="1693">
        <f>SUM(C182:J182)</f>
        <v>252180</v>
      </c>
      <c r="L182" s="466">
        <v>260000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6285</v>
      </c>
      <c r="D184" s="1699">
        <f t="shared" ref="D184:J184" si="17">SUM(D180,D182,D183)</f>
        <v>0</v>
      </c>
      <c r="E184" s="1699">
        <f t="shared" si="17"/>
        <v>212285</v>
      </c>
      <c r="F184" s="1699">
        <f t="shared" si="17"/>
        <v>33610</v>
      </c>
      <c r="G184" s="1699">
        <f t="shared" si="17"/>
        <v>0</v>
      </c>
      <c r="H184" s="1699">
        <f t="shared" si="17"/>
        <v>0</v>
      </c>
      <c r="I184" s="1699">
        <f t="shared" si="17"/>
        <v>0</v>
      </c>
      <c r="J184" s="1699">
        <f t="shared" si="17"/>
        <v>0</v>
      </c>
      <c r="K184" s="1699">
        <f>SUM(K180,K182,K183)</f>
        <v>252180</v>
      </c>
      <c r="L184" s="1699">
        <f>SUM(L180, L182:L183)</f>
        <v>260000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6285</v>
      </c>
      <c r="D210" s="1692">
        <f>SUM(D184,D185)</f>
        <v>0</v>
      </c>
      <c r="E210" s="1692">
        <f>SUM(E184,E185,E196)</f>
        <v>212285</v>
      </c>
      <c r="F210" s="1692">
        <f>SUM(F184,F185)</f>
        <v>33610</v>
      </c>
      <c r="G210" s="1692">
        <f>SUM(G184,G185)</f>
        <v>0</v>
      </c>
      <c r="H210" s="1692">
        <f>SUM(H184,H185,H196,H208,H209)</f>
        <v>0</v>
      </c>
      <c r="I210" s="1692">
        <f>SUM(I184,I185)</f>
        <v>0</v>
      </c>
      <c r="J210" s="1692">
        <f>SUM(J184,J185)</f>
        <v>0</v>
      </c>
      <c r="K210" s="1693">
        <f>SUM(K184,K185,K196,K208,K209)</f>
        <v>252180</v>
      </c>
      <c r="L210" s="1692">
        <f>SUM(L184,L185,L196,L208,L209)</f>
        <v>260000</v>
      </c>
    </row>
    <row r="211" spans="1:14" ht="13.5" thickTop="1" x14ac:dyDescent="0.2">
      <c r="A211" s="2199" t="s">
        <v>1052</v>
      </c>
      <c r="B211" s="2200"/>
      <c r="C211" s="619"/>
      <c r="D211" s="619"/>
      <c r="E211" s="619"/>
      <c r="F211" s="619"/>
      <c r="G211" s="619"/>
      <c r="H211" s="619"/>
      <c r="I211" s="617"/>
      <c r="J211" s="617"/>
      <c r="K211" s="1706">
        <f>'Revenues 9-14'!F275-'Expenditures 15-22'!K210</f>
        <v>30729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1021</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f>15098+11697+58</f>
        <v>26853</v>
      </c>
      <c r="E215" s="617"/>
      <c r="F215" s="617"/>
      <c r="G215" s="617"/>
      <c r="H215" s="617"/>
      <c r="I215" s="617"/>
      <c r="J215" s="617"/>
      <c r="K215" s="1693">
        <f>D215</f>
        <v>26853</v>
      </c>
      <c r="L215" s="466">
        <v>18000</v>
      </c>
    </row>
    <row r="216" spans="1:14" x14ac:dyDescent="0.2">
      <c r="A216" s="1526" t="s">
        <v>165</v>
      </c>
      <c r="B216" s="615" t="s">
        <v>1023</v>
      </c>
      <c r="C216" s="617"/>
      <c r="D216" s="467"/>
      <c r="E216" s="617"/>
      <c r="F216" s="617"/>
      <c r="G216" s="617"/>
      <c r="H216" s="617"/>
      <c r="I216" s="617"/>
      <c r="J216" s="617"/>
      <c r="K216" s="1693">
        <f t="shared" ref="K216:K228" si="19">D216</f>
        <v>0</v>
      </c>
      <c r="L216" s="466">
        <v>19000</v>
      </c>
    </row>
    <row r="217" spans="1:14" x14ac:dyDescent="0.2">
      <c r="A217" s="1526" t="s">
        <v>166</v>
      </c>
      <c r="B217" s="615">
        <v>1200</v>
      </c>
      <c r="C217" s="617"/>
      <c r="D217" s="466">
        <v>26217</v>
      </c>
      <c r="E217" s="617"/>
      <c r="F217" s="617"/>
      <c r="G217" s="617"/>
      <c r="H217" s="617"/>
      <c r="I217" s="617"/>
      <c r="J217" s="617"/>
      <c r="K217" s="1693">
        <f t="shared" si="19"/>
        <v>26217</v>
      </c>
      <c r="L217" s="466">
        <v>33500</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4500</v>
      </c>
      <c r="E223" s="617"/>
      <c r="F223" s="617"/>
      <c r="G223" s="617"/>
      <c r="H223" s="617"/>
      <c r="I223" s="617"/>
      <c r="J223" s="617"/>
      <c r="K223" s="1693">
        <f t="shared" si="19"/>
        <v>4500</v>
      </c>
      <c r="L223" s="466">
        <v>5900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781</v>
      </c>
      <c r="E226" s="617"/>
      <c r="F226" s="617"/>
      <c r="G226" s="617"/>
      <c r="H226" s="617"/>
      <c r="I226" s="617"/>
      <c r="J226" s="617"/>
      <c r="K226" s="1693">
        <f t="shared" si="19"/>
        <v>781</v>
      </c>
      <c r="L226" s="466">
        <v>800</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58351</v>
      </c>
      <c r="E229" s="617"/>
      <c r="F229" s="617"/>
      <c r="G229" s="617"/>
      <c r="H229" s="617"/>
      <c r="I229" s="617"/>
      <c r="J229" s="617"/>
      <c r="K229" s="1692">
        <f>SUM(K215:K228)</f>
        <v>58351</v>
      </c>
      <c r="L229" s="1692">
        <f>SUM(L215:L228)</f>
        <v>77200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c r="E232" s="617"/>
      <c r="F232" s="617"/>
      <c r="G232" s="617"/>
      <c r="H232" s="617"/>
      <c r="I232" s="617"/>
      <c r="J232" s="617"/>
      <c r="K232" s="1693">
        <f t="shared" ref="K232:K237" si="20">D232</f>
        <v>0</v>
      </c>
      <c r="L232" s="466"/>
    </row>
    <row r="233" spans="1:12" x14ac:dyDescent="0.2">
      <c r="A233" s="1526" t="s">
        <v>1150</v>
      </c>
      <c r="B233" s="615">
        <v>2120</v>
      </c>
      <c r="C233" s="617"/>
      <c r="D233" s="466">
        <v>1087</v>
      </c>
      <c r="E233" s="617"/>
      <c r="F233" s="617"/>
      <c r="G233" s="617"/>
      <c r="H233" s="617"/>
      <c r="I233" s="617"/>
      <c r="J233" s="617"/>
      <c r="K233" s="1693">
        <f t="shared" si="20"/>
        <v>1087</v>
      </c>
      <c r="L233" s="466">
        <v>1100</v>
      </c>
    </row>
    <row r="234" spans="1:12" x14ac:dyDescent="0.2">
      <c r="A234" s="1526" t="s">
        <v>207</v>
      </c>
      <c r="B234" s="615">
        <v>2130</v>
      </c>
      <c r="C234" s="617"/>
      <c r="D234" s="466">
        <v>6062</v>
      </c>
      <c r="E234" s="617"/>
      <c r="F234" s="617"/>
      <c r="G234" s="617"/>
      <c r="H234" s="617"/>
      <c r="I234" s="617"/>
      <c r="J234" s="617"/>
      <c r="K234" s="1693">
        <f t="shared" si="20"/>
        <v>6062</v>
      </c>
      <c r="L234" s="466">
        <v>6900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3496</v>
      </c>
      <c r="E237" s="617"/>
      <c r="F237" s="617"/>
      <c r="G237" s="617"/>
      <c r="H237" s="617"/>
      <c r="I237" s="617"/>
      <c r="J237" s="617"/>
      <c r="K237" s="1693">
        <f t="shared" si="20"/>
        <v>3496</v>
      </c>
      <c r="L237" s="466"/>
    </row>
    <row r="238" spans="1:12" ht="12.75" customHeight="1" thickBot="1" x14ac:dyDescent="0.25">
      <c r="A238" s="1690" t="s">
        <v>580</v>
      </c>
      <c r="B238" s="1697" t="s">
        <v>739</v>
      </c>
      <c r="C238" s="617"/>
      <c r="D238" s="1692">
        <f>SUM(D232:D237)</f>
        <v>10645</v>
      </c>
      <c r="E238" s="617"/>
      <c r="F238" s="617"/>
      <c r="G238" s="617"/>
      <c r="H238" s="617"/>
      <c r="I238" s="617"/>
      <c r="J238" s="617"/>
      <c r="K238" s="1692">
        <f>SUM(K232:K237)</f>
        <v>10645</v>
      </c>
      <c r="L238" s="1692">
        <f>SUM(L232:L237)</f>
        <v>8000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4">
        <f>D240</f>
        <v>0</v>
      </c>
      <c r="L240" s="481"/>
    </row>
    <row r="241" spans="1:12" x14ac:dyDescent="0.2">
      <c r="A241" s="1526" t="s">
        <v>868</v>
      </c>
      <c r="B241" s="615">
        <v>2220</v>
      </c>
      <c r="C241" s="617"/>
      <c r="D241" s="466">
        <v>811</v>
      </c>
      <c r="E241" s="617"/>
      <c r="F241" s="617"/>
      <c r="G241" s="617"/>
      <c r="H241" s="617"/>
      <c r="I241" s="617"/>
      <c r="J241" s="617"/>
      <c r="K241" s="1694">
        <f>D241</f>
        <v>811</v>
      </c>
      <c r="L241" s="466">
        <v>770</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811</v>
      </c>
      <c r="E243" s="617"/>
      <c r="F243" s="617"/>
      <c r="G243" s="617"/>
      <c r="H243" s="617"/>
      <c r="I243" s="617"/>
      <c r="J243" s="617"/>
      <c r="K243" s="1692">
        <f>SUM(K240:K242)</f>
        <v>811</v>
      </c>
      <c r="L243" s="1692">
        <f>SUM(L240:L242)</f>
        <v>770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2202</v>
      </c>
      <c r="E246" s="617"/>
      <c r="F246" s="617"/>
      <c r="G246" s="617"/>
      <c r="H246" s="617"/>
      <c r="I246" s="617"/>
      <c r="J246" s="617"/>
      <c r="K246" s="1694">
        <f t="shared" ref="K246:K256" si="21">D246</f>
        <v>2202</v>
      </c>
      <c r="L246" s="466">
        <v>2000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2202</v>
      </c>
      <c r="E257" s="617"/>
      <c r="F257" s="617"/>
      <c r="G257" s="617"/>
      <c r="H257" s="617"/>
      <c r="I257" s="617"/>
      <c r="J257" s="617"/>
      <c r="K257" s="1692">
        <f>SUM(K245:K256)</f>
        <v>2202</v>
      </c>
      <c r="L257" s="1692">
        <f>SUM(L245:L256)</f>
        <v>2000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6608</v>
      </c>
      <c r="E259" s="617"/>
      <c r="F259" s="617"/>
      <c r="G259" s="617"/>
      <c r="H259" s="617"/>
      <c r="I259" s="617"/>
      <c r="J259" s="617"/>
      <c r="K259" s="1694">
        <f>D259</f>
        <v>6608</v>
      </c>
      <c r="L259" s="481">
        <v>10500</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6608</v>
      </c>
      <c r="E261" s="617"/>
      <c r="F261" s="617"/>
      <c r="G261" s="617"/>
      <c r="H261" s="617"/>
      <c r="I261" s="617"/>
      <c r="J261" s="617"/>
      <c r="K261" s="1692">
        <f>SUM(K259:K260)</f>
        <v>6608</v>
      </c>
      <c r="L261" s="1692">
        <f>SUM(L259:L260)</f>
        <v>10500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18649</v>
      </c>
      <c r="E264" s="617"/>
      <c r="F264" s="617"/>
      <c r="G264" s="617"/>
      <c r="H264" s="617"/>
      <c r="I264" s="617"/>
      <c r="J264" s="617"/>
      <c r="K264" s="1694">
        <f t="shared" ref="K264:K269" si="22">D264</f>
        <v>18649</v>
      </c>
      <c r="L264" s="466">
        <v>17800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19454</v>
      </c>
      <c r="E266" s="617"/>
      <c r="F266" s="617"/>
      <c r="G266" s="617"/>
      <c r="H266" s="617"/>
      <c r="I266" s="617"/>
      <c r="J266" s="617"/>
      <c r="K266" s="1694">
        <f t="shared" si="22"/>
        <v>19454</v>
      </c>
      <c r="L266" s="466">
        <v>19700</v>
      </c>
    </row>
    <row r="267" spans="1:14" x14ac:dyDescent="0.2">
      <c r="A267" s="1526" t="s">
        <v>1009</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13583</v>
      </c>
      <c r="E268" s="617"/>
      <c r="F268" s="617"/>
      <c r="G268" s="617"/>
      <c r="H268" s="617"/>
      <c r="I268" s="617"/>
      <c r="J268" s="617"/>
      <c r="K268" s="1694">
        <f t="shared" si="22"/>
        <v>13583</v>
      </c>
      <c r="L268" s="466">
        <v>15700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51686</v>
      </c>
      <c r="E270" s="617"/>
      <c r="F270" s="617"/>
      <c r="G270" s="617"/>
      <c r="H270" s="617"/>
      <c r="I270" s="617"/>
      <c r="J270" s="617"/>
      <c r="K270" s="1692">
        <f>SUM(K263:K269)</f>
        <v>51686</v>
      </c>
      <c r="L270" s="1692">
        <f>SUM(L263:L269)</f>
        <v>53200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71952</v>
      </c>
      <c r="E279" s="617"/>
      <c r="F279" s="617"/>
      <c r="G279" s="617"/>
      <c r="H279" s="617"/>
      <c r="I279" s="617"/>
      <c r="J279" s="617"/>
      <c r="K279" s="1699">
        <f>SUM(K238,K243,K257,K261,K270,K277,K278)</f>
        <v>71952</v>
      </c>
      <c r="L279" s="1699">
        <f>SUM(L238,L243,L257,L261,L270,L277,L278)</f>
        <v>74470</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1955</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0" t="s">
        <v>525</v>
      </c>
      <c r="B295" s="2191"/>
      <c r="C295" s="617"/>
      <c r="D295" s="1692">
        <f>SUM(D229,D279,D280,D285)</f>
        <v>130303</v>
      </c>
      <c r="E295" s="617"/>
      <c r="F295" s="617"/>
      <c r="G295" s="617"/>
      <c r="H295" s="1692">
        <f>H293</f>
        <v>0</v>
      </c>
      <c r="I295" s="617"/>
      <c r="J295" s="617"/>
      <c r="K295" s="1692">
        <f>SUM(K229,K279,K280,K285,K293,K294)</f>
        <v>130303</v>
      </c>
      <c r="L295" s="1692">
        <f>SUM(L229,L279,L280,L285,L293,L294)</f>
        <v>151670</v>
      </c>
    </row>
    <row r="296" spans="1:14" ht="13.5" thickTop="1" x14ac:dyDescent="0.2">
      <c r="A296" s="2199" t="s">
        <v>1052</v>
      </c>
      <c r="B296" s="2200"/>
      <c r="C296" s="617"/>
      <c r="D296" s="619"/>
      <c r="E296" s="617"/>
      <c r="F296" s="617"/>
      <c r="G296" s="617"/>
      <c r="H296" s="688"/>
      <c r="I296" s="617"/>
      <c r="J296" s="617"/>
      <c r="K296" s="1706">
        <f>'Revenues 9-14'!G275-'Expenditures 15-22'!K295</f>
        <v>31689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1708687</v>
      </c>
      <c r="H301" s="466"/>
      <c r="I301" s="467"/>
      <c r="J301" s="467"/>
      <c r="K301" s="1693">
        <f>SUM(C301:J301)</f>
        <v>1708687</v>
      </c>
      <c r="L301" s="467">
        <v>2137000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1708687</v>
      </c>
      <c r="H303" s="1699">
        <f t="shared" si="23"/>
        <v>0</v>
      </c>
      <c r="I303" s="1699">
        <f t="shared" si="23"/>
        <v>0</v>
      </c>
      <c r="J303" s="1699">
        <f t="shared" si="23"/>
        <v>0</v>
      </c>
      <c r="K303" s="1699">
        <f t="shared" si="23"/>
        <v>1708687</v>
      </c>
      <c r="L303" s="1699">
        <f t="shared" si="23"/>
        <v>2137000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7" t="s">
        <v>294</v>
      </c>
      <c r="B312" s="2188"/>
      <c r="C312" s="1692">
        <f>SUM(C303)</f>
        <v>0</v>
      </c>
      <c r="D312" s="1692">
        <f>SUM(D303)</f>
        <v>0</v>
      </c>
      <c r="E312" s="1692">
        <f>SUM(E303,E310)</f>
        <v>0</v>
      </c>
      <c r="F312" s="1692">
        <f>SUM(F303)</f>
        <v>0</v>
      </c>
      <c r="G312" s="1692">
        <f>SUM(G303)</f>
        <v>1708687</v>
      </c>
      <c r="H312" s="1692">
        <f>SUM(H303,H310)</f>
        <v>0</v>
      </c>
      <c r="I312" s="1692">
        <f>SUM(I303)</f>
        <v>0</v>
      </c>
      <c r="J312" s="1692">
        <f>SUM(J303)</f>
        <v>0</v>
      </c>
      <c r="K312" s="1692">
        <f>SUM(K303,K310,K311)</f>
        <v>1708687</v>
      </c>
      <c r="L312" s="1692">
        <f>SUM(L303,L310,L311)</f>
        <v>2137000</v>
      </c>
      <c r="M312" s="666"/>
      <c r="N312" s="666"/>
    </row>
    <row r="313" spans="1:14" ht="13.5" thickTop="1" x14ac:dyDescent="0.2">
      <c r="A313" s="2183" t="s">
        <v>1052</v>
      </c>
      <c r="B313" s="2184"/>
      <c r="C313" s="627"/>
      <c r="D313" s="627"/>
      <c r="E313" s="627"/>
      <c r="F313" s="627"/>
      <c r="G313" s="627"/>
      <c r="H313" s="627"/>
      <c r="I313" s="627"/>
      <c r="J313" s="627"/>
      <c r="K313" s="1707">
        <f>'Revenues 9-14'!H275-'Expenditures 15-22'!K312</f>
        <v>-1707275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953</v>
      </c>
      <c r="B317" s="219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v>29304</v>
      </c>
      <c r="F320" s="467"/>
      <c r="G320" s="467"/>
      <c r="H320" s="467"/>
      <c r="I320" s="467"/>
      <c r="J320" s="467"/>
      <c r="K320" s="1693">
        <f t="shared" ref="K320:K327" si="24">SUM(C320:J320)</f>
        <v>29304</v>
      </c>
      <c r="L320" s="467">
        <v>33000</v>
      </c>
      <c r="M320" s="666"/>
      <c r="N320" s="666"/>
    </row>
    <row r="321" spans="1:14" s="675" customFormat="1" x14ac:dyDescent="0.2">
      <c r="A321" s="1541" t="s">
        <v>317</v>
      </c>
      <c r="B321" s="698" t="s">
        <v>300</v>
      </c>
      <c r="C321" s="467"/>
      <c r="D321" s="467"/>
      <c r="E321" s="467">
        <v>8655</v>
      </c>
      <c r="F321" s="467"/>
      <c r="G321" s="467"/>
      <c r="H321" s="467"/>
      <c r="I321" s="467"/>
      <c r="J321" s="467"/>
      <c r="K321" s="1693">
        <f t="shared" si="24"/>
        <v>8655</v>
      </c>
      <c r="L321" s="467">
        <v>18000</v>
      </c>
      <c r="M321" s="666"/>
      <c r="N321" s="666"/>
    </row>
    <row r="322" spans="1:14" s="675" customFormat="1" x14ac:dyDescent="0.2">
      <c r="A322" s="1541" t="s">
        <v>256</v>
      </c>
      <c r="B322" s="698" t="s">
        <v>301</v>
      </c>
      <c r="C322" s="467"/>
      <c r="D322" s="467"/>
      <c r="E322" s="467">
        <v>44503</v>
      </c>
      <c r="F322" s="467"/>
      <c r="G322" s="467"/>
      <c r="H322" s="467"/>
      <c r="I322" s="467"/>
      <c r="J322" s="467"/>
      <c r="K322" s="1693">
        <f t="shared" si="24"/>
        <v>44503</v>
      </c>
      <c r="L322" s="467">
        <v>39000</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320080</v>
      </c>
      <c r="D325" s="467"/>
      <c r="E325" s="467"/>
      <c r="F325" s="467"/>
      <c r="G325" s="467"/>
      <c r="H325" s="467"/>
      <c r="I325" s="467"/>
      <c r="J325" s="467"/>
      <c r="K325" s="1693">
        <f t="shared" si="24"/>
        <v>320080</v>
      </c>
      <c r="L325" s="467">
        <v>306800</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3477</v>
      </c>
      <c r="F327" s="467"/>
      <c r="G327" s="467"/>
      <c r="H327" s="467"/>
      <c r="I327" s="467"/>
      <c r="J327" s="467"/>
      <c r="K327" s="1693">
        <f t="shared" si="24"/>
        <v>3477</v>
      </c>
      <c r="L327" s="467">
        <v>10000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320080</v>
      </c>
      <c r="D330" s="1692">
        <f t="shared" ref="D330:J330" si="25">SUM(D319:D329)</f>
        <v>0</v>
      </c>
      <c r="E330" s="1692">
        <f t="shared" si="25"/>
        <v>85939</v>
      </c>
      <c r="F330" s="1692">
        <f t="shared" si="25"/>
        <v>0</v>
      </c>
      <c r="G330" s="1692">
        <f t="shared" si="25"/>
        <v>0</v>
      </c>
      <c r="H330" s="1692">
        <f t="shared" si="25"/>
        <v>0</v>
      </c>
      <c r="I330" s="1692">
        <f t="shared" si="25"/>
        <v>0</v>
      </c>
      <c r="J330" s="1692">
        <f t="shared" si="25"/>
        <v>0</v>
      </c>
      <c r="K330" s="1692">
        <f>SUM(K319:K329)</f>
        <v>406019</v>
      </c>
      <c r="L330" s="1692">
        <f>SUM(L319:L329)</f>
        <v>406800</v>
      </c>
      <c r="M330" s="666"/>
      <c r="N330" s="666"/>
    </row>
    <row r="331" spans="1:14" s="675" customFormat="1" ht="12.75" customHeight="1" thickTop="1" x14ac:dyDescent="0.2">
      <c r="A331" s="1854" t="s">
        <v>1961</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320080</v>
      </c>
      <c r="D342" s="1692">
        <f>SUM(D330)</f>
        <v>0</v>
      </c>
      <c r="E342" s="1692">
        <f>SUM(E330)</f>
        <v>85939</v>
      </c>
      <c r="F342" s="1692">
        <f>SUM(F330)</f>
        <v>0</v>
      </c>
      <c r="G342" s="1692">
        <f>SUM(G330)</f>
        <v>0</v>
      </c>
      <c r="H342" s="1692">
        <f>SUM(H330,H334,H340)</f>
        <v>0</v>
      </c>
      <c r="I342" s="1692">
        <f>SUM(I330)</f>
        <v>0</v>
      </c>
      <c r="J342" s="1692">
        <f>SUM(J330)</f>
        <v>0</v>
      </c>
      <c r="K342" s="1692">
        <f>SUM(K330,K334,K340)</f>
        <v>406019</v>
      </c>
      <c r="L342" s="1699">
        <f>SUM(L330,L340,L341)</f>
        <v>406800</v>
      </c>
    </row>
    <row r="343" spans="1:14" ht="12.75" customHeight="1" thickTop="1" x14ac:dyDescent="0.2">
      <c r="A343" s="2185" t="s">
        <v>1052</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1022</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13844</v>
      </c>
      <c r="F349" s="466"/>
      <c r="G349" s="466">
        <v>24649</v>
      </c>
      <c r="H349" s="466"/>
      <c r="I349" s="467"/>
      <c r="J349" s="467"/>
      <c r="K349" s="1693">
        <f>SUM(C349:J349)</f>
        <v>38493</v>
      </c>
      <c r="L349" s="466">
        <v>25000</v>
      </c>
    </row>
    <row r="350" spans="1:14" ht="12.75" customHeight="1" thickBot="1" x14ac:dyDescent="0.25">
      <c r="A350" s="1690" t="s">
        <v>742</v>
      </c>
      <c r="B350" s="1691" t="s">
        <v>35</v>
      </c>
      <c r="C350" s="1692">
        <f>SUM(C348:C349)</f>
        <v>0</v>
      </c>
      <c r="D350" s="1692">
        <f t="shared" ref="D350:L350" si="26">SUM(D348:D349)</f>
        <v>0</v>
      </c>
      <c r="E350" s="1692">
        <f t="shared" si="26"/>
        <v>13844</v>
      </c>
      <c r="F350" s="1692">
        <f t="shared" si="26"/>
        <v>0</v>
      </c>
      <c r="G350" s="1692">
        <f t="shared" si="26"/>
        <v>24649</v>
      </c>
      <c r="H350" s="1692">
        <f t="shared" si="26"/>
        <v>0</v>
      </c>
      <c r="I350" s="1692">
        <f t="shared" si="26"/>
        <v>0</v>
      </c>
      <c r="J350" s="1692">
        <f t="shared" si="26"/>
        <v>0</v>
      </c>
      <c r="K350" s="1692">
        <f t="shared" si="26"/>
        <v>38493</v>
      </c>
      <c r="L350" s="1692">
        <f t="shared" si="26"/>
        <v>25000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13844</v>
      </c>
      <c r="F352" s="1692">
        <f t="shared" si="27"/>
        <v>0</v>
      </c>
      <c r="G352" s="1692">
        <f t="shared" si="27"/>
        <v>24649</v>
      </c>
      <c r="H352" s="1692">
        <f t="shared" si="27"/>
        <v>0</v>
      </c>
      <c r="I352" s="1692">
        <f t="shared" si="27"/>
        <v>0</v>
      </c>
      <c r="J352" s="1692">
        <f t="shared" si="27"/>
        <v>0</v>
      </c>
      <c r="K352" s="1692">
        <f t="shared" si="27"/>
        <v>38493</v>
      </c>
      <c r="L352" s="1692">
        <f t="shared" si="27"/>
        <v>25000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13844</v>
      </c>
      <c r="F367" s="1692">
        <f t="shared" si="28"/>
        <v>0</v>
      </c>
      <c r="G367" s="1692">
        <f t="shared" si="28"/>
        <v>24649</v>
      </c>
      <c r="H367" s="1692">
        <f t="shared" si="28"/>
        <v>0</v>
      </c>
      <c r="I367" s="1692">
        <f t="shared" si="28"/>
        <v>0</v>
      </c>
      <c r="J367" s="1692">
        <f t="shared" si="28"/>
        <v>0</v>
      </c>
      <c r="K367" s="1692">
        <f t="shared" si="28"/>
        <v>38493</v>
      </c>
      <c r="L367" s="1692">
        <f t="shared" si="28"/>
        <v>25000</v>
      </c>
    </row>
    <row r="368" spans="1:14" ht="13.5" thickTop="1" x14ac:dyDescent="0.2">
      <c r="A368" s="2199" t="s">
        <v>1052</v>
      </c>
      <c r="B368" s="2200"/>
      <c r="C368" s="655"/>
      <c r="D368" s="655"/>
      <c r="E368" s="627"/>
      <c r="F368" s="627"/>
      <c r="G368" s="627"/>
      <c r="H368" s="627"/>
      <c r="I368" s="627"/>
      <c r="J368" s="624"/>
      <c r="K368" s="1693">
        <f>'Revenues 9-14'!K275-'Expenditures 15-22'!K367</f>
        <v>-9110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schemas.microsoft.com/sharepoint/v3"/>
    <ds:schemaRef ds:uri="http://purl.org/dc/dcmitype/"/>
    <ds:schemaRef ds:uri="http://www.w3.org/XML/1998/namespace"/>
    <ds:schemaRef ds:uri="http://purl.org/dc/terms/"/>
    <ds:schemaRef ds:uri="6ce3111e-7420-4802-b50a-75d4e9a0b980"/>
    <ds:schemaRef ds:uri="d21dc803-237d-4c68-8692-8d731fd29118"/>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2018-12-04T23:39:57Z</cp:lastPrinted>
  <dcterms:created xsi:type="dcterms:W3CDTF">2003-10-29T19:06:34Z</dcterms:created>
  <dcterms:modified xsi:type="dcterms:W3CDTF">2018-12-17T14:24:49Z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