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SF&amp;QC Sec-1 37" sheetId="174" r:id="rId24"/>
    <sheet name="SF&amp;QC Sec-2 38" sheetId="175" r:id="rId25"/>
    <sheet name="SF&amp;QC Sec-2 39" sheetId="183" r:id="rId26"/>
    <sheet name="SF&amp;QC Sec-2 40" sheetId="184" r:id="rId27"/>
    <sheet name="SSPAF 41" sheetId="177" r:id="rId28"/>
    <sheet name="AUDITCHECK" sheetId="36" r:id="rId29"/>
    <sheet name="Single Audit Cover" sheetId="169" r:id="rId30"/>
    <sheet name="Single Audit Checklist" sheetId="170" r:id="rId31"/>
    <sheet name="SEFA Reconcile" sheetId="171" r:id="rId32"/>
    <sheet name="SEFA NOTES" sheetId="173" r:id="rId33"/>
    <sheet name=" SEFA" sheetId="179" r:id="rId34"/>
    <sheet name="SF&amp;QC Sec-3" sheetId="176" r:id="rId35"/>
  </sheets>
  <definedNames>
    <definedName name="_xlnm.Print_Area" localSheetId="33">' SEFA'!$B$1:$M$46</definedName>
    <definedName name="_xlnm.Print_Area" localSheetId="32">'SEFA NOTES'!$A$1:$F$52</definedName>
    <definedName name="_xlnm.Print_Area" localSheetId="31">'SEFA Reconcile'!$A$1:$E$49</definedName>
    <definedName name="_xlnm.Print_Area" localSheetId="23">'SF&amp;QC Sec-1 37'!$A$1:$J$63</definedName>
    <definedName name="_xlnm.Print_Area" localSheetId="34">'SF&amp;QC Sec-3'!$A$1:$K$52</definedName>
    <definedName name="_xlnm.Print_Area" localSheetId="30">'Single Audit Checklist'!$A$1:$D$124</definedName>
    <definedName name="_xlnm.Print_Area" localSheetId="29">'Single Audit Cover'!$A$1:$L$52</definedName>
    <definedName name="_xlnm.Print_Titles" localSheetId="6">'Acct Summary 7-8'!$A:$B,'Acct Summary 7-8'!$1:$2</definedName>
    <definedName name="_xlnm.Print_Titles" localSheetId="5">'Assets-Liab 5-6'!$A:$B,'Assets-Liab 5-6'!$1:$2</definedName>
    <definedName name="_xlnm.Print_Titles" localSheetId="28">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30">'Single Audit Checklist'!$1:$4</definedName>
    <definedName name="SCHADDRS" localSheetId="33">#REF!</definedName>
    <definedName name="SCHADDRS" localSheetId="17">#REF!</definedName>
    <definedName name="SCHADDRS" localSheetId="21">#REF!</definedName>
    <definedName name="SCHADDRS" localSheetId="4">#REF!</definedName>
    <definedName name="SCHADDRS" localSheetId="32">#REF!</definedName>
    <definedName name="SCHADDRS" localSheetId="31">#REF!</definedName>
    <definedName name="SCHADDRS" localSheetId="23">#REF!</definedName>
    <definedName name="SCHADDRS" localSheetId="24">#REF!</definedName>
    <definedName name="SCHADDRS" localSheetId="25">#REF!</definedName>
    <definedName name="SCHADDRS" localSheetId="26">#REF!</definedName>
    <definedName name="SCHADDRS" localSheetId="34">#REF!</definedName>
    <definedName name="SCHADDRS" localSheetId="30">#REF!</definedName>
    <definedName name="SCHADDRS" localSheetId="29">#REF!</definedName>
    <definedName name="SCHADDRS" localSheetId="27">#REF!</definedName>
    <definedName name="SCHADDRS">#REF!</definedName>
    <definedName name="SCHCTY" localSheetId="33">#REF!</definedName>
    <definedName name="SCHCTY" localSheetId="17">#REF!</definedName>
    <definedName name="SCHCTY" localSheetId="21">#REF!</definedName>
    <definedName name="SCHCTY" localSheetId="4">#REF!</definedName>
    <definedName name="SCHCTY" localSheetId="32">#REF!</definedName>
    <definedName name="SCHCTY" localSheetId="31">#REF!</definedName>
    <definedName name="SCHCTY" localSheetId="23">#REF!</definedName>
    <definedName name="SCHCTY" localSheetId="24">#REF!</definedName>
    <definedName name="SCHCTY" localSheetId="25">#REF!</definedName>
    <definedName name="SCHCTY" localSheetId="26">#REF!</definedName>
    <definedName name="SCHCTY" localSheetId="34">#REF!</definedName>
    <definedName name="SCHCTY" localSheetId="30">#REF!</definedName>
    <definedName name="SCHCTY" localSheetId="29">#REF!</definedName>
    <definedName name="SCHCTY" localSheetId="27">#REF!</definedName>
    <definedName name="SCHCTY">#REF!</definedName>
    <definedName name="SCHNMBR" localSheetId="33">#REF!</definedName>
    <definedName name="SCHNMBR" localSheetId="17">#REF!</definedName>
    <definedName name="SCHNMBR" localSheetId="21">#REF!</definedName>
    <definedName name="SCHNMBR" localSheetId="4">#REF!</definedName>
    <definedName name="SCHNMBR" localSheetId="32">#REF!</definedName>
    <definedName name="SCHNMBR" localSheetId="31">#REF!</definedName>
    <definedName name="SCHNMBR" localSheetId="23">#REF!</definedName>
    <definedName name="SCHNMBR" localSheetId="24">#REF!</definedName>
    <definedName name="SCHNMBR" localSheetId="25">#REF!</definedName>
    <definedName name="SCHNMBR" localSheetId="26">#REF!</definedName>
    <definedName name="SCHNMBR" localSheetId="34">#REF!</definedName>
    <definedName name="SCHNMBR" localSheetId="30">#REF!</definedName>
    <definedName name="SCHNMBR" localSheetId="29">#REF!</definedName>
    <definedName name="SCHNMBR" localSheetId="27">#REF!</definedName>
    <definedName name="SCHNMBR">#REF!</definedName>
    <definedName name="SCHNME" localSheetId="33">#REF!</definedName>
    <definedName name="SCHNME" localSheetId="17">#REF!</definedName>
    <definedName name="SCHNME" localSheetId="21">#REF!</definedName>
    <definedName name="SCHNME" localSheetId="4">#REF!</definedName>
    <definedName name="SCHNME" localSheetId="32">#REF!</definedName>
    <definedName name="SCHNME" localSheetId="31">#REF!</definedName>
    <definedName name="SCHNME" localSheetId="23">#REF!</definedName>
    <definedName name="SCHNME" localSheetId="24">#REF!</definedName>
    <definedName name="SCHNME" localSheetId="25">#REF!</definedName>
    <definedName name="SCHNME" localSheetId="26">#REF!</definedName>
    <definedName name="SCHNME" localSheetId="34">#REF!</definedName>
    <definedName name="SCHNME" localSheetId="30">#REF!</definedName>
    <definedName name="SCHNME" localSheetId="29">#REF!</definedName>
    <definedName name="SCHNME" localSheetId="27">#REF!</definedName>
    <definedName name="SCHNME">#REF!</definedName>
    <definedName name="SUPT" localSheetId="33">#REF!</definedName>
    <definedName name="SUPT" localSheetId="17">#REF!</definedName>
    <definedName name="SUPT" localSheetId="21">#REF!</definedName>
    <definedName name="SUPT" localSheetId="4">#REF!</definedName>
    <definedName name="SUPT" localSheetId="32">#REF!</definedName>
    <definedName name="SUPT" localSheetId="31">#REF!</definedName>
    <definedName name="SUPT" localSheetId="23">#REF!</definedName>
    <definedName name="SUPT" localSheetId="24">#REF!</definedName>
    <definedName name="SUPT" localSheetId="25">#REF!</definedName>
    <definedName name="SUPT" localSheetId="26">#REF!</definedName>
    <definedName name="SUPT" localSheetId="34">#REF!</definedName>
    <definedName name="SUPT" localSheetId="30">#REF!</definedName>
    <definedName name="SUPT" localSheetId="29">#REF!</definedName>
    <definedName name="SUPT" localSheetId="27">#REF!</definedName>
    <definedName name="SUPT">#REF!</definedName>
  </definedNames>
  <calcPr calcId="162913"/>
</workbook>
</file>

<file path=xl/calcChain.xml><?xml version="1.0" encoding="utf-8"?>
<calcChain xmlns="http://schemas.openxmlformats.org/spreadsheetml/2006/main">
  <c r="B4" i="184" l="1"/>
  <c r="B4" i="183"/>
  <c r="M19" i="3" l="1"/>
  <c r="M18" i="3"/>
  <c r="M17"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2" i="181"/>
  <c r="E22" i="181"/>
  <c r="G21" i="181"/>
  <c r="E21" i="181"/>
  <c r="F20" i="181"/>
  <c r="E20" i="181"/>
  <c r="F23" i="181"/>
  <c r="G23" i="181" s="1"/>
  <c r="E23" i="181"/>
  <c r="E19" i="181"/>
  <c r="E18" i="181"/>
  <c r="D24" i="181" l="1"/>
  <c r="D80" i="36" l="1"/>
  <c r="B7797" i="106"/>
  <c r="E24" i="181"/>
  <c r="E17" i="181"/>
  <c r="E16" i="181"/>
  <c r="F16" i="181" s="1"/>
  <c r="G16" i="181" s="1"/>
  <c r="G17" i="181" l="1"/>
  <c r="G24" i="181" s="1"/>
  <c r="G40" i="108" l="1"/>
  <c r="B7799" i="106"/>
  <c r="F2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1" i="183"/>
  <c r="B1" i="184"/>
  <c r="B2" i="179"/>
  <c r="B2" i="183"/>
  <c r="B2" i="18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B7734" i="106"/>
  <c r="D7734" i="106" s="1"/>
  <c r="B7726" i="106"/>
  <c r="D7726" i="106" s="1"/>
  <c r="D76" i="36"/>
  <c r="F162" i="34"/>
  <c r="B30" i="36"/>
  <c r="B33" i="36" s="1"/>
  <c r="B43" i="36" s="1"/>
  <c r="B56" i="36" s="1"/>
  <c r="B66" i="36" s="1"/>
  <c r="B70" i="36" s="1"/>
  <c r="B74" i="36" s="1"/>
  <c r="D73" i="36"/>
  <c r="C191" i="5"/>
  <c r="C201" i="5"/>
  <c r="C211" i="5"/>
  <c r="C216" i="5"/>
  <c r="B4411" i="106" s="1"/>
  <c r="D4411" i="106" s="1"/>
  <c r="C224" i="5"/>
  <c r="C228" i="5"/>
  <c r="C259" i="5"/>
  <c r="B6833" i="106" s="1"/>
  <c r="D6833" i="106" s="1"/>
  <c r="B7761" i="106"/>
  <c r="D7761" i="106" s="1"/>
  <c r="L127" i="29"/>
  <c r="L129" i="29" s="1"/>
  <c r="L139" i="29"/>
  <c r="L149" i="29"/>
  <c r="I7" i="145"/>
  <c r="I6" i="145"/>
  <c r="D78" i="36"/>
  <c r="K75" i="29"/>
  <c r="G39" i="108" s="1"/>
  <c r="K130" i="29"/>
  <c r="D14" i="4" s="1"/>
  <c r="B2570" i="106" s="1"/>
  <c r="D2570" i="106" s="1"/>
  <c r="K185" i="29"/>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c r="B6756" i="106"/>
  <c r="D6756" i="106" s="1"/>
  <c r="B6757" i="106"/>
  <c r="D6757" i="106" s="1"/>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c r="B6812" i="106"/>
  <c r="D6812" i="106" s="1"/>
  <c r="B6813" i="106"/>
  <c r="D6813" i="106" s="1"/>
  <c r="B6814" i="106"/>
  <c r="D6814" i="106" s="1"/>
  <c r="B6815" i="106"/>
  <c r="D6815" i="106" s="1"/>
  <c r="B6816" i="106"/>
  <c r="D6816" i="106" s="1"/>
  <c r="B6817" i="106"/>
  <c r="D6817" i="106" s="1"/>
  <c r="B6818" i="106"/>
  <c r="D6818" i="106" s="1"/>
  <c r="B6819" i="106"/>
  <c r="D6819" i="106"/>
  <c r="B6820" i="106"/>
  <c r="D6820" i="106" s="1"/>
  <c r="B6821" i="106"/>
  <c r="D6821" i="106" s="1"/>
  <c r="B6822" i="106"/>
  <c r="D6822" i="106" s="1"/>
  <c r="B6823" i="106"/>
  <c r="D6823" i="106" s="1"/>
  <c r="B6824" i="106"/>
  <c r="D6824" i="106" s="1"/>
  <c r="B6825" i="106"/>
  <c r="D6825" i="106" s="1"/>
  <c r="B6826" i="106"/>
  <c r="D6826" i="106" s="1"/>
  <c r="B6827" i="106"/>
  <c r="D6827" i="106"/>
  <c r="B6828" i="106"/>
  <c r="D6828" i="106" s="1"/>
  <c r="B6829" i="106"/>
  <c r="D6829" i="106" s="1"/>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D27" i="108"/>
  <c r="E27" i="108"/>
  <c r="F27" i="108"/>
  <c r="G27" i="108"/>
  <c r="F31" i="108"/>
  <c r="F36" i="108"/>
  <c r="G28" i="108"/>
  <c r="E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F41" i="34"/>
  <c r="C42" i="34"/>
  <c r="D42" i="34"/>
  <c r="C43" i="34"/>
  <c r="D43" i="34"/>
  <c r="C44" i="34"/>
  <c r="D44" i="34"/>
  <c r="C45" i="34"/>
  <c r="D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F14" i="4"/>
  <c r="B2597" i="106" s="1"/>
  <c r="D2597" i="106" s="1"/>
  <c r="B2633" i="106"/>
  <c r="D2633" i="106" s="1"/>
  <c r="D7" i="118"/>
  <c r="D8" i="118"/>
  <c r="D9" i="118"/>
  <c r="H14" i="118"/>
  <c r="H19" i="118"/>
  <c r="H24" i="118"/>
  <c r="H29" i="118"/>
  <c r="L22" i="37"/>
  <c r="D24" i="37"/>
  <c r="B4270" i="106" s="1"/>
  <c r="D4270" i="106" s="1"/>
  <c r="D4" i="7"/>
  <c r="B1760" i="106" s="1"/>
  <c r="D1760" i="106" s="1"/>
  <c r="B5847" i="106"/>
  <c r="D5847" i="106" s="1"/>
  <c r="B1746" i="106"/>
  <c r="D1746" i="106" s="1"/>
  <c r="D12" i="7"/>
  <c r="B1769" i="106" s="1"/>
  <c r="D1769" i="106" s="1"/>
  <c r="L342" i="29" l="1"/>
  <c r="L312" i="29"/>
  <c r="J352" i="29"/>
  <c r="J367" i="29" s="1"/>
  <c r="B7245" i="106" s="1"/>
  <c r="D7245" i="106" s="1"/>
  <c r="F77" i="4"/>
  <c r="B3255" i="106" s="1"/>
  <c r="D3255" i="106" s="1"/>
  <c r="L367" i="29"/>
  <c r="F71" i="34"/>
  <c r="I342" i="29"/>
  <c r="B7222" i="106" s="1"/>
  <c r="D7222" i="106" s="1"/>
  <c r="F45" i="34"/>
  <c r="F35" i="34"/>
  <c r="D6103" i="106"/>
  <c r="L13" i="11"/>
  <c r="B2060" i="106" s="1"/>
  <c r="D2060" i="106" s="1"/>
  <c r="L15" i="11"/>
  <c r="B3459" i="106" s="1"/>
  <c r="D3459" i="106" s="1"/>
  <c r="L5" i="11"/>
  <c r="B2056" i="106" s="1"/>
  <c r="D2056" i="106" s="1"/>
  <c r="K24" i="12"/>
  <c r="B7727" i="106"/>
  <c r="D7727" i="106" s="1"/>
  <c r="I26" i="12"/>
  <c r="B7741" i="106" s="1"/>
  <c r="D7741" i="106" s="1"/>
  <c r="D69" i="36"/>
  <c r="D68" i="36"/>
  <c r="N22" i="3"/>
  <c r="B283" i="106" s="1"/>
  <c r="D283" i="106" s="1"/>
  <c r="J22" i="37"/>
  <c r="F21" i="8"/>
  <c r="H28" i="118"/>
  <c r="K28" i="118" s="1"/>
  <c r="O27" i="118" s="1"/>
  <c r="O29" i="118" s="1"/>
  <c r="B1870" i="106"/>
  <c r="D1870" i="106" s="1"/>
  <c r="B2733" i="106"/>
  <c r="D2733" i="106" s="1"/>
  <c r="B3619" i="106"/>
  <c r="D3619" i="106" s="1"/>
  <c r="B7235" i="106"/>
  <c r="D7235" i="106" s="1"/>
  <c r="B3649" i="106"/>
  <c r="D3649" i="106" s="1"/>
  <c r="G367" i="29"/>
  <c r="B3650" i="106" s="1"/>
  <c r="D3650" i="106" s="1"/>
  <c r="B3647" i="106"/>
  <c r="D3647" i="106" s="1"/>
  <c r="B3621" i="106"/>
  <c r="D3621" i="106" s="1"/>
  <c r="C367" i="29"/>
  <c r="K350" i="29"/>
  <c r="C342" i="29"/>
  <c r="B7216" i="106" s="1"/>
  <c r="D7216" i="106" s="1"/>
  <c r="K285" i="29"/>
  <c r="G14" i="4"/>
  <c r="B2609" i="106" s="1"/>
  <c r="D2609" i="106" s="1"/>
  <c r="F70" i="34"/>
  <c r="B7076" i="106"/>
  <c r="D7076" i="106" s="1"/>
  <c r="B1410" i="106"/>
  <c r="D1410" i="106" s="1"/>
  <c r="K184" i="29"/>
  <c r="F13" i="4" s="1"/>
  <c r="B2596" i="106" s="1"/>
  <c r="D2596" i="106" s="1"/>
  <c r="I210" i="29"/>
  <c r="J210" i="29"/>
  <c r="B7072" i="106" s="1"/>
  <c r="D7072" i="106" s="1"/>
  <c r="G210" i="29"/>
  <c r="B4087" i="106"/>
  <c r="D4087" i="106" s="1"/>
  <c r="B1329" i="106"/>
  <c r="D1329" i="106" s="1"/>
  <c r="F61" i="34"/>
  <c r="G38" i="108"/>
  <c r="E38" i="108"/>
  <c r="E29" i="108"/>
  <c r="J129" i="29"/>
  <c r="B7038" i="106" s="1"/>
  <c r="D7038" i="106" s="1"/>
  <c r="C129" i="29"/>
  <c r="C151" i="29" s="1"/>
  <c r="B1226" i="106" s="1"/>
  <c r="D1226" i="106" s="1"/>
  <c r="B1274" i="106"/>
  <c r="D1274" i="106" s="1"/>
  <c r="E26" i="108"/>
  <c r="G26" i="108"/>
  <c r="G15" i="145"/>
  <c r="H112" i="29"/>
  <c r="B7018" i="106" s="1"/>
  <c r="D7018" i="106" s="1"/>
  <c r="C14" i="4"/>
  <c r="B2558" i="106" s="1"/>
  <c r="D2558" i="106" s="1"/>
  <c r="F52" i="34"/>
  <c r="D37" i="108"/>
  <c r="F37" i="108"/>
  <c r="G34" i="108"/>
  <c r="G35" i="108"/>
  <c r="D36" i="108"/>
  <c r="E35" i="108"/>
  <c r="G33" i="108"/>
  <c r="G30" i="108"/>
  <c r="G29" i="108"/>
  <c r="F28" i="108"/>
  <c r="E28" i="108"/>
  <c r="B1124" i="106"/>
  <c r="D1124" i="106" s="1"/>
  <c r="B2724" i="106"/>
  <c r="D2724" i="106" s="1"/>
  <c r="F50" i="34"/>
  <c r="F44" i="34"/>
  <c r="F42" i="34"/>
  <c r="F38" i="34"/>
  <c r="F34" i="34"/>
  <c r="F19" i="7"/>
  <c r="B1807" i="106" s="1"/>
  <c r="D1807" i="106" s="1"/>
  <c r="D11" i="7"/>
  <c r="B1768" i="106" s="1"/>
  <c r="D1768" i="106" s="1"/>
  <c r="H109" i="5"/>
  <c r="B6025" i="106" s="1"/>
  <c r="D6025" i="106" s="1"/>
  <c r="G109" i="5"/>
  <c r="F172" i="5"/>
  <c r="B5644" i="106" s="1"/>
  <c r="D5644" i="106" s="1"/>
  <c r="G172" i="5"/>
  <c r="G173" i="5" s="1"/>
  <c r="B5778" i="106" s="1"/>
  <c r="D5778" i="106" s="1"/>
  <c r="B4357" i="106"/>
  <c r="D4357" i="106" s="1"/>
  <c r="K173" i="5"/>
  <c r="K6" i="4" s="1"/>
  <c r="B3570" i="106" s="1"/>
  <c r="D3570" i="106" s="1"/>
  <c r="I173" i="5"/>
  <c r="B4216" i="106" s="1"/>
  <c r="D4216" i="106" s="1"/>
  <c r="H173" i="5"/>
  <c r="I274" i="5"/>
  <c r="I7" i="4" s="1"/>
  <c r="B4444" i="106" s="1"/>
  <c r="D4444" i="106" s="1"/>
  <c r="J274" i="5"/>
  <c r="B7054" i="106" s="1"/>
  <c r="D7054" i="106" s="1"/>
  <c r="F127" i="34"/>
  <c r="B7041" i="106"/>
  <c r="D7041" i="106" s="1"/>
  <c r="K274" i="5"/>
  <c r="K7" i="4" s="1"/>
  <c r="B3718" i="106" s="1"/>
  <c r="D3718" i="106" s="1"/>
  <c r="E109" i="5"/>
  <c r="E4" i="4" s="1"/>
  <c r="B2630" i="106" s="1"/>
  <c r="D2630" i="106" s="1"/>
  <c r="D15" i="7"/>
  <c r="B1772" i="106" s="1"/>
  <c r="D1772" i="106" s="1"/>
  <c r="F136" i="34"/>
  <c r="F130" i="34"/>
  <c r="F128" i="34"/>
  <c r="B5425" i="106"/>
  <c r="D5425" i="106" s="1"/>
  <c r="F111" i="34"/>
  <c r="D5" i="4"/>
  <c r="B3406" i="106" s="1"/>
  <c r="D3406" i="106" s="1"/>
  <c r="D109" i="5"/>
  <c r="B5356" i="106" s="1"/>
  <c r="D5356" i="106" s="1"/>
  <c r="D13" i="7"/>
  <c r="B3726" i="106" s="1"/>
  <c r="D3726" i="106" s="1"/>
  <c r="F131" i="34"/>
  <c r="F106" i="34"/>
  <c r="C172" i="5"/>
  <c r="B5096" i="106"/>
  <c r="D5096" i="106" s="1"/>
  <c r="C109" i="5"/>
  <c r="B5121" i="106" s="1"/>
  <c r="D5121" i="106" s="1"/>
  <c r="J77" i="4"/>
  <c r="B6262" i="106" s="1"/>
  <c r="D6262" i="106" s="1"/>
  <c r="B6289" i="106"/>
  <c r="D6289" i="106" s="1"/>
  <c r="B6238" i="106"/>
  <c r="D6238" i="106" s="1"/>
  <c r="D54" i="36"/>
  <c r="J41" i="3"/>
  <c r="D51" i="36" s="1"/>
  <c r="K41" i="3"/>
  <c r="H33" i="118"/>
  <c r="D11" i="37"/>
  <c r="D9" i="7"/>
  <c r="B1767" i="106" s="1"/>
  <c r="D1767" i="106" s="1"/>
  <c r="D17" i="7"/>
  <c r="B4104" i="106" s="1"/>
  <c r="D4104" i="106" s="1"/>
  <c r="D7" i="7"/>
  <c r="B1763" i="106" s="1"/>
  <c r="D1763" i="106" s="1"/>
  <c r="D5" i="7"/>
  <c r="B1761" i="106" s="1"/>
  <c r="D176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L114" i="29" l="1"/>
  <c r="L16" i="11"/>
  <c r="B2061" i="106" s="1"/>
  <c r="D2061" i="106" s="1"/>
  <c r="B7733" i="106"/>
  <c r="D7733" i="106" s="1"/>
  <c r="K26" i="12"/>
  <c r="B7743" i="106" s="1"/>
  <c r="D7743" i="106" s="1"/>
  <c r="B1879" i="106"/>
  <c r="D1879" i="106" s="1"/>
  <c r="H22" i="37"/>
  <c r="H367" i="29"/>
  <c r="B3660" i="106" s="1"/>
  <c r="D3660" i="106" s="1"/>
  <c r="B3628" i="106"/>
  <c r="D3628" i="106" s="1"/>
  <c r="B3670" i="106"/>
  <c r="D3670" i="106" s="1"/>
  <c r="K352" i="29"/>
  <c r="K367" i="29" s="1"/>
  <c r="B7215" i="106"/>
  <c r="D7215" i="106" s="1"/>
  <c r="K342" i="29"/>
  <c r="F13" i="34" s="1"/>
  <c r="F73" i="34"/>
  <c r="G15" i="4"/>
  <c r="B6032" i="106" s="1"/>
  <c r="D6032" i="106" s="1"/>
  <c r="B1381" i="106"/>
  <c r="D1381" i="106" s="1"/>
  <c r="B7071" i="106"/>
  <c r="D7071" i="106" s="1"/>
  <c r="F66" i="34"/>
  <c r="B1365" i="106"/>
  <c r="D1365" i="106" s="1"/>
  <c r="F65" i="34"/>
  <c r="B1328" i="106"/>
  <c r="D1328" i="106" s="1"/>
  <c r="J151" i="29"/>
  <c r="B7052" i="106" s="1"/>
  <c r="D7052" i="106" s="1"/>
  <c r="B1225" i="106"/>
  <c r="D1225" i="106" s="1"/>
  <c r="F41" i="108"/>
  <c r="G43" i="108" s="1"/>
  <c r="D41" i="108"/>
  <c r="E43" i="108" s="1"/>
  <c r="C114" i="29"/>
  <c r="B757" i="106" s="1"/>
  <c r="D757" i="106" s="1"/>
  <c r="H4" i="4"/>
  <c r="B2655" i="106" s="1"/>
  <c r="D2655" i="106" s="1"/>
  <c r="B6024" i="106"/>
  <c r="D6024" i="106" s="1"/>
  <c r="G4" i="4"/>
  <c r="B2603" i="106" s="1"/>
  <c r="D2603" i="106" s="1"/>
  <c r="F173" i="5"/>
  <c r="F6" i="4" s="1"/>
  <c r="B2593" i="106" s="1"/>
  <c r="D2593" i="106" s="1"/>
  <c r="B5770" i="106"/>
  <c r="D5770" i="106" s="1"/>
  <c r="G6" i="4"/>
  <c r="B2604" i="106" s="1"/>
  <c r="D2604" i="106" s="1"/>
  <c r="I6" i="4"/>
  <c r="B5011" i="106" s="1"/>
  <c r="D5011" i="106" s="1"/>
  <c r="B6014" i="106"/>
  <c r="D6014" i="106" s="1"/>
  <c r="B5906" i="106"/>
  <c r="D5906" i="106" s="1"/>
  <c r="H6" i="4"/>
  <c r="B2656" i="106" s="1"/>
  <c r="D2656" i="106" s="1"/>
  <c r="J7" i="4"/>
  <c r="B6222" i="106" s="1"/>
  <c r="D6222" i="106" s="1"/>
  <c r="B6022" i="106"/>
  <c r="D6022" i="106" s="1"/>
  <c r="F274" i="5"/>
  <c r="H275" i="5"/>
  <c r="B5915" i="106" s="1"/>
  <c r="D5915" i="106" s="1"/>
  <c r="B5914" i="106"/>
  <c r="D5914" i="106" s="1"/>
  <c r="B2657" i="106"/>
  <c r="D2657" i="106" s="1"/>
  <c r="B5527" i="106"/>
  <c r="D5527" i="106" s="1"/>
  <c r="D274" i="5"/>
  <c r="B5507" i="106" s="1"/>
  <c r="D5507" i="106" s="1"/>
  <c r="D4" i="4"/>
  <c r="B2564" i="106" s="1"/>
  <c r="D2564" i="106" s="1"/>
  <c r="D19" i="7"/>
  <c r="B1775" i="106" s="1"/>
  <c r="D1775" i="106" s="1"/>
  <c r="B5214" i="106"/>
  <c r="D5214" i="106" s="1"/>
  <c r="C173" i="5"/>
  <c r="C4" i="4"/>
  <c r="B2551" i="106" s="1"/>
  <c r="D2551" i="106" s="1"/>
  <c r="D44" i="36"/>
  <c r="B6216" i="106"/>
  <c r="D6216"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13" i="4"/>
  <c r="B3572" i="106" s="1"/>
  <c r="D3572" i="106" s="1"/>
  <c r="B3672" i="106"/>
  <c r="D3672" i="106" s="1"/>
  <c r="B7224" i="106"/>
  <c r="D7224" i="106" s="1"/>
  <c r="B1145" i="106"/>
  <c r="D1145" i="106" s="1"/>
  <c r="G41" i="108"/>
  <c r="G44" i="108" s="1"/>
  <c r="G45" i="108" s="1"/>
  <c r="F275" i="5"/>
  <c r="B5720" i="106" s="1"/>
  <c r="D5720" i="106" s="1"/>
  <c r="B5653" i="106"/>
  <c r="D5653" i="106" s="1"/>
  <c r="H8" i="4"/>
  <c r="B5719" i="106"/>
  <c r="D5719" i="106" s="1"/>
  <c r="F7" i="4"/>
  <c r="B2594" i="106" s="1"/>
  <c r="D2594" i="106" s="1"/>
  <c r="D7" i="4"/>
  <c r="B2567" i="106" s="1"/>
  <c r="D2567" i="106" s="1"/>
  <c r="D275" i="5"/>
  <c r="B5508" i="106" s="1"/>
  <c r="D5508" i="106" s="1"/>
  <c r="B5223" i="106"/>
  <c r="D5223" i="106" s="1"/>
  <c r="C6" i="4"/>
  <c r="B2553" i="106" s="1"/>
  <c r="D2553" i="106" s="1"/>
  <c r="J8" i="4"/>
  <c r="J10" i="4" s="1"/>
  <c r="B6225" i="106" s="1"/>
  <c r="D62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17" i="4" l="1"/>
  <c r="K20" i="4" s="1"/>
  <c r="B6227" i="106"/>
  <c r="D6227" i="106" s="1"/>
  <c r="H10" i="4"/>
  <c r="B4127" i="106" s="1"/>
  <c r="D4127" i="106" s="1"/>
  <c r="B2658" i="106"/>
  <c r="D2658" i="106" s="1"/>
  <c r="J20" i="4"/>
  <c r="B6230" i="106" s="1"/>
  <c r="D6230" i="106" s="1"/>
  <c r="B6223" i="106"/>
  <c r="D6223" i="106" s="1"/>
  <c r="F8" i="4"/>
  <c r="F10" i="4" s="1"/>
  <c r="B4125" i="106" s="1"/>
  <c r="D4125" i="106" s="1"/>
  <c r="D8" i="4"/>
  <c r="B2568" i="106" s="1"/>
  <c r="D2568"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C8" i="146"/>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F179" i="34" l="1"/>
  <c r="F79" i="34"/>
  <c r="D10" i="146"/>
  <c r="J81" i="4"/>
  <c r="J82" i="4" s="1"/>
  <c r="F8" i="146"/>
  <c r="B2574" i="106"/>
  <c r="D2574" i="106" s="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81" i="4"/>
  <c r="B3239" i="106"/>
  <c r="D3239" i="106" s="1"/>
  <c r="B6266" i="106" l="1"/>
  <c r="D6266" i="106" s="1"/>
  <c r="D64" i="36"/>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<sst xmlns="http://schemas.openxmlformats.org/spreadsheetml/2006/main" count="5158" uniqueCount="2159">
  <si>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</si>
  <si>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</si>
  <si>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</si>
  <si>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</si>
  <si>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</si>
  <si>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</si>
  <si>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</si>
  <si>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</si>
  <si>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</si>
  <si>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</si>
  <si>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</si>
  <si>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</si>
  <si>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</si>
  <si>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</si>
  <si>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</si>
  <si>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</si>
  <si>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</si>
  <si>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</si>
  <si>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</si>
  <si>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</si>
  <si>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</si>
  <si>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</si>
  <si>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</si>
  <si>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</si>
  <si>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</si>
  <si>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</si>
  <si>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</si>
  <si>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</si>
  <si>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</si>
  <si>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</si>
  <si>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</si>
  <si>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</si>
  <si>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</si>
  <si>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</si>
  <si>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</si>
  <si>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</si>
  <si>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</si>
  <si>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</si>
  <si>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</si>
  <si>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</si>
  <si>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</si>
  <si>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</si>
  <si>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</si>
  <si>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</si>
  <si>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</si>
  <si>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</si>
  <si>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</si>
  <si>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</si>
  <si>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</si>
  <si>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</si>
  <si>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</si>
  <si>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</si>
  <si>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</si>
  <si>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</si>
  <si>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</si>
  <si>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</si>
  <si>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</si>
  <si>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</si>
  <si>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</si>
  <si>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</si>
  <si>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</si>
  <si>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</si>
  <si>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</si>
  <si>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</si>
  <si>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</si>
  <si>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</si>
  <si>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</si>
  <si>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</si>
  <si>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</si>
  <si>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</si>
  <si>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</si>
  <si>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</si>
  <si>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</si>
  <si>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</si>
  <si>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</si>
  <si>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</si>
  <si>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</si>
  <si>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</si>
  <si>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</si>
  <si>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</si>
  <si>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</si>
  <si>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</si>
  <si>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</si>
  <si>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</si>
  <si>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</si>
  <si>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</si>
  <si>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</si>
  <si>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</si>
  <si>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</si>
  <si>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</si>
  <si>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</si>
  <si>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</si>
  <si>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</si>
  <si>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</si>
  <si>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</si>
  <si>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</si>
  <si>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</si>
  <si>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</si>
  <si>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</si>
  <si>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</si>
  <si>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</si>
  <si>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</si>
  <si>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</si>
  <si>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</si>
  <si>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</si>
  <si>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</si>
  <si>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</si>
  <si>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</si>
  <si>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</si>
  <si>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</si>
  <si>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</si>
  <si>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</si>
  <si>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</si>
  <si>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</si>
  <si>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</si>
  <si>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</si>
  <si>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</si>
  <si>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</si>
  <si>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</si>
  <si>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</si>
  <si>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</si>
  <si>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</si>
  <si>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</si>
  <si>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</si>
  <si>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</si>
  <si>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</si>
  <si>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</si>
  <si>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</si>
  <si>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</si>
  <si>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</si>
  <si>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</si>
  <si>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</si>
  <si>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</si>
  <si>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</si>
  <si>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</si>
  <si>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</si>
  <si>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</si>
  <si>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</si>
  <si>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</si>
  <si>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</si>
  <si>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</si>
  <si>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</si>
  <si>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</si>
  <si>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</si>
  <si>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</si>
  <si>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</si>
  <si>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</si>
  <si>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</si>
  <si>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</si>
  <si>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</si>
  <si>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</si>
  <si>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</si>
  <si>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</si>
  <si>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</si>
  <si>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</si>
  <si>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</si>
  <si>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</si>
  <si>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</si>
  <si>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</si>
  <si>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</si>
  <si>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</si>
  <si>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</si>
  <si>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</si>
  <si>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</si>
  <si>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</si>
  <si>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</si>
  <si>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</si>
  <si>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</si>
  <si>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</si>
  <si>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</si>
  <si>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</si>
  <si>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</si>
  <si>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</si>
  <si>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</si>
  <si>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</si>
  <si>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</si>
  <si>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</si>
  <si>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</si>
  <si>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</si>
  <si>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</si>
  <si>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</si>
  <si>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</si>
  <si>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</si>
  <si>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</si>
  <si>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</si>
  <si>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</si>
  <si>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</si>
  <si>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</si>
  <si>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</si>
  <si>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</si>
  <si>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</si>
  <si>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</si>
  <si>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</si>
  <si>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</si>
  <si>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</si>
  <si>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</si>
  <si>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</si>
  <si>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</si>
  <si>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</si>
  <si>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</si>
  <si>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</si>
  <si>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</si>
  <si>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</si>
  <si>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</si>
  <si>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</si>
  <si>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</si>
  <si>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</si>
  <si>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</si>
  <si>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</si>
  <si>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</si>
  <si>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</si>
  <si>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</si>
  <si>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</si>
  <si>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</si>
  <si>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</si>
  <si>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</si>
  <si>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</si>
  <si>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</si>
  <si>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</si>
  <si>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</si>
  <si>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</si>
  <si>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</si>
  <si>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</si>
  <si>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</si>
  <si>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</si>
  <si>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</si>
  <si>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</si>
  <si>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</si>
  <si>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</si>
  <si>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</si>
  <si>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</si>
  <si>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</si>
  <si>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</si>
  <si>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</si>
  <si>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</si>
  <si>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</si>
  <si>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</si>
  <si>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</si>
  <si>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</si>
  <si>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</si>
  <si>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</si>
  <si>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</si>
  <si>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</si>
  <si>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</si>
  <si>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</si>
  <si>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</si>
  <si>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</si>
  <si>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</si>
  <si>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</si>
  <si>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</si>
  <si>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</si>
  <si>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</si>
  <si>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</si>
  <si>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</si>
  <si>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</si>
  <si>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</si>
  <si>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</si>
  <si>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</si>
  <si>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</si>
  <si>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</si>
  <si>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</si>
  <si>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</si>
  <si>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</si>
  <si>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</si>
  <si>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</si>
  <si>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</si>
  <si>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</si>
  <si>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</si>
  <si>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</si>
  <si>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</si>
  <si>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</si>
  <si>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</si>
  <si>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</si>
  <si>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</si>
  <si>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</si>
  <si>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</si>
  <si>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</si>
  <si>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</si>
  <si>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</si>
  <si>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</si>
  <si>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</si>
  <si>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</si>
  <si>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</si>
  <si>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</si>
  <si>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</si>
  <si>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</si>
  <si>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</si>
  <si>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</si>
  <si>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</si>
  <si>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</si>
  <si>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</si>
  <si>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</si>
  <si>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</si>
  <si>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</si>
  <si>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</si>
  <si>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</si>
  <si>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</si>
  <si>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</si>
  <si>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</si>
  <si>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</si>
  <si>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</si>
  <si>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</si>
  <si>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</si>
  <si>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</si>
  <si>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</si>
  <si>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</si>
  <si>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</si>
  <si>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</si>
  <si>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</si>
  <si>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</si>
  <si>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</si>
  <si>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</si>
  <si>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</si>
  <si>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</si>
  <si>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</si>
  <si>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</si>
  <si>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</si>
  <si>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</si>
  <si>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</si>
  <si>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</si>
  <si>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</si>
  <si>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</si>
  <si>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</si>
  <si>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</si>
  <si>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</si>
  <si>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</si>
  <si>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</si>
  <si>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</si>
  <si>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</si>
  <si>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</si>
  <si>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</si>
  <si>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</si>
  <si>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</si>
  <si>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</si>
  <si>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</si>
  <si>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</si>
  <si>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</si>
  <si>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</si>
  <si>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</si>
  <si>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</si>
  <si>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</si>
  <si>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</si>
  <si>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</si>
  <si>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</si>
  <si>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</si>
  <si>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</si>
  <si>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</si>
  <si>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</si>
  <si>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</si>
  <si>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</si>
  <si>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</si>
  <si>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</si>
  <si>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</si>
  <si>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</si>
  <si>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</si>
  <si>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</si>
  <si>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</si>
  <si>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</si>
  <si>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</si>
  <si>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</si>
  <si>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</si>
  <si>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</si>
  <si>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</si>
  <si>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</si>
  <si>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</si>
  <si>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</si>
  <si>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</si>
  <si>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</si>
  <si>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</si>
  <si>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</si>
  <si>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</si>
  <si>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</si>
  <si>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</si>
  <si>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</si>
  <si>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</si>
  <si>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</si>
  <si>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</si>
  <si>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</si>
  <si>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</si>
  <si>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</si>
  <si>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</si>
  <si>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</si>
  <si>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</si>
  <si>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</si>
  <si>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</si>
  <si>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</si>
  <si>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</si>
  <si>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</si>
  <si>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</si>
  <si>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</si>
  <si>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</si>
  <si>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</si>
  <si>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</si>
  <si>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</si>
  <si>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</si>
  <si>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</si>
  <si>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</si>
  <si>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</si>
  <si>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</si>
  <si>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</si>
  <si>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</si>
  <si>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</si>
  <si>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</si>
  <si>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</si>
  <si>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</si>
  <si>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</si>
  <si>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</si>
  <si>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</si>
  <si>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</si>
  <si>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</si>
  <si>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</si>
  <si>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</si>
  <si>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</si>
  <si>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</si>
  <si>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</si>
  <si>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</si>
  <si>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</si>
  <si>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</si>
  <si>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</si>
  <si>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</si>
  <si>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</si>
  <si>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</si>
  <si>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</si>
  <si>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</si>
  <si>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</si>
  <si>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</si>
  <si>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</si>
  <si>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</si>
  <si>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</si>
  <si>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</si>
  <si>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</si>
  <si>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</si>
  <si>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</si>
  <si>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</si>
  <si>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</si>
  <si>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</si>
  <si>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</si>
  <si>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</si>
  <si>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</si>
  <si>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</si>
  <si>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</si>
  <si>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</si>
  <si>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</si>
  <si>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</si>
  <si>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</si>
  <si>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</si>
  <si>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</si>
  <si>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</si>
  <si>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</si>
  <si>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</si>
  <si>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</si>
  <si>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</si>
  <si>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</si>
  <si>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</si>
  <si>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</si>
  <si>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</si>
  <si>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</si>
  <si>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</si>
  <si>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</si>
  <si>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</si>
  <si>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</si>
  <si>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</si>
  <si>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</si>
  <si>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</si>
  <si>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</si>
  <si>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</si>
  <si>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</si>
  <si>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</si>
  <si>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</si>
  <si>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</si>
  <si>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</si>
  <si>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</si>
  <si>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</si>
  <si>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</si>
  <si>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</si>
  <si>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</si>
  <si>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</si>
  <si>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</si>
  <si>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</si>
  <si>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</si>
  <si>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</si>
  <si>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</si>
  <si>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</si>
  <si>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</si>
  <si>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</si>
  <si>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</si>
  <si>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</si>
  <si>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</si>
  <si>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</si>
  <si>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</si>
  <si>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</si>
  <si>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</si>
  <si>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</si>
  <si>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</si>
  <si>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</si>
  <si>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</si>
  <si>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</si>
  <si>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</si>
  <si>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</si>
  <si>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</si>
  <si>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</si>
  <si>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</si>
  <si>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</si>
  <si>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</si>
  <si>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</si>
  <si>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</si>
  <si>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</si>
  <si>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</si>
  <si>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</si>
  <si>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</si>
  <si>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</si>
  <si>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</si>
  <si>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</si>
  <si>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</si>
  <si>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</si>
  <si>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</si>
  <si>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</si>
  <si>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</si>
  <si>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</si>
  <si>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</si>
  <si>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</si>
  <si>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</si>
  <si>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</si>
  <si>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</si>
  <si>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</si>
  <si>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</si>
  <si>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</si>
  <si>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</si>
  <si>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</si>
  <si>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</si>
  <si>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</si>
  <si>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</si>
  <si>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</si>
  <si>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</si>
  <si>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</si>
  <si>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</si>
  <si>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</si>
  <si>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</si>
  <si>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</si>
  <si>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</si>
  <si>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</si>
  <si>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</si>
  <si>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</si>
  <si>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</si>
  <si>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</si>
  <si>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</si>
  <si>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</si>
  <si>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</si>
  <si>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</si>
  <si>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</si>
  <si>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</si>
  <si>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</si>
  <si>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</si>
  <si>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</si>
  <si>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</si>
  <si>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</si>
  <si>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</si>
  <si>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</si>
  <si>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</si>
  <si>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</si>
  <si>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</si>
  <si>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</si>
  <si>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</si>
  <si>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</si>
  <si>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</si>
  <si>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</si>
  <si>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</si>
  <si>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</si>
  <si>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</si>
  <si>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</si>
  <si>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</si>
  <si>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</si>
  <si>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</si>
  <si>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</si>
  <si>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</si>
  <si>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</si>
  <si>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</si>
  <si>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</si>
  <si>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</si>
  <si>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</si>
  <si>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</si>
  <si>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</si>
  <si>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</si>
  <si>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</si>
  <si>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</si>
  <si>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</si>
  <si>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</si>
  <si>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</si>
  <si>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</si>
  <si>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</si>
  <si>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</si>
  <si>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</si>
  <si>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</si>
  <si>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</si>
  <si>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</si>
  <si>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</si>
  <si>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</si>
  <si>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</si>
  <si>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</si>
  <si>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</si>
  <si>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</si>
  <si>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</si>
  <si>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</si>
  <si>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</si>
  <si>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</si>
  <si>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</si>
  <si>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</si>
  <si>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</si>
  <si>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</si>
  <si>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</si>
  <si>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</si>
  <si>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</si>
  <si>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</si>
  <si>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</si>
  <si>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</si>
  <si>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</si>
  <si>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</si>
  <si>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</si>
  <si>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</si>
  <si>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</si>
  <si>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</si>
  <si>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</si>
  <si>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</si>
  <si>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</si>
  <si>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</si>
  <si>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</si>
  <si>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</si>
  <si>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</si>
  <si>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</si>
  <si>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</si>
  <si>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</si>
  <si>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</si>
  <si>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</si>
  <si>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</si>
  <si>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</si>
  <si>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</si>
  <si>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</si>
  <si>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</si>
  <si>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</si>
  <si>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</si>
  <si>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</si>
  <si>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</si>
  <si>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</si>
  <si>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</si>
  <si>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</si>
  <si>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</si>
  <si>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</si>
  <si>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</si>
  <si>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</si>
  <si>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</si>
  <si>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</si>
  <si>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</si>
  <si>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</si>
  <si>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</si>
  <si>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</si>
  <si>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</si>
  <si>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</si>
  <si>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</si>
  <si>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</si>
  <si>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</si>
  <si>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</si>
  <si>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</si>
  <si>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</si>
  <si>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</si>
  <si>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</si>
  <si>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</si>
  <si>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</si>
  <si>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</si>
  <si>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</si>
  <si>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</si>
  <si>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</si>
  <si>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</si>
  <si>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</si>
  <si>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</si>
  <si>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</si>
  <si>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</si>
  <si>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</si>
  <si>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</si>
  <si>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</si>
  <si>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</si>
  <si>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</si>
  <si>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</si>
  <si>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</si>
  <si>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</si>
  <si>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</si>
  <si>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</si>
  <si>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</si>
  <si>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</si>
  <si>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</si>
  <si>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</si>
  <si>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</si>
  <si>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</si>
  <si>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</si>
  <si>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</si>
  <si>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</si>
  <si>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</si>
  <si>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</si>
  <si>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</si>
  <si>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</si>
  <si>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</si>
  <si>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</si>
  <si>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</si>
  <si>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</si>
  <si>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</si>
  <si>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</si>
  <si>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</si>
  <si>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</si>
  <si>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</si>
  <si>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</si>
  <si>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</si>
  <si>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</si>
  <si>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</si>
  <si>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</si>
  <si>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</si>
  <si>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</si>
  <si>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</si>
  <si>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</si>
  <si>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</si>
  <si>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</si>
  <si>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</si>
  <si>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</si>
  <si>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</si>
  <si>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</si>
  <si>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</si>
  <si>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</si>
  <si>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</si>
  <si>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</si>
  <si>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</si>
  <si>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</si>
  <si>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</si>
  <si>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</si>
  <si>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</si>
  <si>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</si>
  <si>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</si>
  <si>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</si>
  <si>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</si>
  <si>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</si>
  <si>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</si>
  <si>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</si>
  <si>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</si>
  <si>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</si>
  <si>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</si>
  <si>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</si>
  <si>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</si>
  <si>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</si>
  <si>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</si>
  <si>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</si>
  <si>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</si>
  <si>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</si>
  <si>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</si>
  <si>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</si>
  <si>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</si>
  <si>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</si>
  <si>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</si>
  <si>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</si>
  <si>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</si>
  <si>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</si>
  <si>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</si>
  <si>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</si>
  <si>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</si>
  <si>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</si>
  <si>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</si>
  <si>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</si>
  <si>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</si>
  <si>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</si>
  <si>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</si>
  <si>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</si>
  <si>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</si>
  <si>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</si>
  <si>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</si>
  <si>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</si>
  <si>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</si>
  <si>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</si>
  <si>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</si>
  <si>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</si>
  <si>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</si>
  <si>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</si>
  <si>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</si>
  <si>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</si>
  <si>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</si>
  <si>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</si>
  <si>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</si>
  <si>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</si>
  <si>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</si>
  <si>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</si>
  <si>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</si>
  <si>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</si>
  <si>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</si>
  <si>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</si>
  <si>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</si>
  <si>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</si>
  <si>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</si>
  <si>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</si>
  <si>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</si>
  <si>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</si>
  <si>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</si>
  <si>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</si>
  <si>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</si>
  <si>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</si>
  <si>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</si>
  <si>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</si>
  <si>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</si>
  <si>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</si>
  <si>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</si>
  <si>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</si>
  <si>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</si>
  <si>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</si>
  <si>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</si>
  <si>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</si>
  <si>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</si>
  <si>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</si>
  <si>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</si>
  <si>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</si>
  <si>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</si>
  <si>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</si>
  <si>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</si>
  <si>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</si>
  <si>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</si>
  <si>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</si>
  <si>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</si>
  <si>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</si>
  <si>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</si>
  <si>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</si>
  <si>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</si>
  <si>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</si>
  <si>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</si>
  <si>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</si>
  <si>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</si>
  <si>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</si>
  <si>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</si>
  <si>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</si>
  <si>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</si>
  <si>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</si>
  <si>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</si>
  <si>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</si>
  <si>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</si>
  <si>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</si>
  <si>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</si>
  <si>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</si>
  <si>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</si>
  <si>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</si>
  <si>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</si>
  <si>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</si>
  <si>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</si>
  <si>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</si>
  <si>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</si>
  <si>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</si>
  <si>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</si>
  <si>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</si>
  <si>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</si>
  <si>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</si>
  <si>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</si>
  <si>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</si>
  <si>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</si>
  <si>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</si>
  <si>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</si>
  <si>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</si>
  <si>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</si>
  <si>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</si>
  <si>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</si>
  <si>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</si>
  <si>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</si>
  <si>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</si>
  <si>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</si>
  <si>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</si>
  <si>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</si>
  <si>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</si>
  <si>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</si>
  <si>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</si>
  <si>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</si>
  <si>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</si>
  <si>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</si>
  <si>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</si>
  <si>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</si>
  <si>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</si>
  <si>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</si>
  <si>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</si>
  <si>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</si>
  <si>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</si>
  <si>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</si>
  <si>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</si>
  <si>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</si>
  <si>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</si>
  <si>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</si>
  <si>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</si>
  <si>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</si>
  <si>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</si>
  <si>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</si>
  <si>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</si>
  <si>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</si>
  <si>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</si>
  <si>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</si>
  <si>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</si>
  <si>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</si>
  <si>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</si>
  <si>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</si>
  <si>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</si>
  <si>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</si>
  <si>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</si>
  <si>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</si>
  <si>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</si>
  <si>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</si>
  <si>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</si>
  <si>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</si>
  <si>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</si>
  <si>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</si>
  <si>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</si>
  <si>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</si>
  <si>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</si>
  <si>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</si>
  <si>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</si>
  <si>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</si>
  <si>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</si>
  <si>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</si>
  <si>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</si>
  <si>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</si>
  <si>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</si>
  <si>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</si>
  <si>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</si>
  <si>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</si>
  <si>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</si>
  <si>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</si>
  <si>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</si>
  <si>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</si>
  <si>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</si>
  <si>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</si>
  <si>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</si>
  <si>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</si>
  <si>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</si>
  <si>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</si>
  <si>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</si>
  <si>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</si>
  <si>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</si>
  <si>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</si>
  <si>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</si>
  <si>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</si>
  <si>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</si>
  <si>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</si>
  <si>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</si>
  <si>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</si>
  <si>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</si>
  <si>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</si>
  <si>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</si>
  <si>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</si>
  <si>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</si>
  <si>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</si>
  <si>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</si>
  <si>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</si>
  <si>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</si>
  <si>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</si>
  <si>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</si>
  <si>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</si>
  <si>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</si>
  <si>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</si>
  <si>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</si>
  <si>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</si>
  <si>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</si>
  <si>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</si>
  <si>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</si>
  <si>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</si>
  <si>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</si>
  <si>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</si>
  <si>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</si>
  <si>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</si>
  <si>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</si>
  <si>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</si>
  <si>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</si>
  <si>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</si>
  <si>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</si>
  <si>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</si>
  <si>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</si>
  <si>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</si>
  <si>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</si>
  <si>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</si>
  <si>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</si>
  <si>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</si>
  <si>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</si>
  <si>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</si>
  <si>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</si>
  <si>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</si>
  <si>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</si>
  <si>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</si>
  <si>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</si>
  <si>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</si>
  <si>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</si>
  <si>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</si>
  <si>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</si>
  <si>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</si>
  <si>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</si>
  <si>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</si>
  <si>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</si>
  <si>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</si>
  <si>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</si>
  <si>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</si>
  <si>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</si>
  <si>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</si>
  <si>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</si>
  <si>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</si>
  <si>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</si>
  <si>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</si>
  <si>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</si>
  <si>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</si>
  <si>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</si>
  <si>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</si>
  <si>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</si>
  <si>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</si>
  <si>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</si>
  <si>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</si>
  <si>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</si>
  <si>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</si>
  <si>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</si>
  <si>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</si>
  <si>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</si>
  <si>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</si>
  <si>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</si>
  <si>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</si>
  <si>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</si>
  <si>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</si>
  <si>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</si>
  <si>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</si>
  <si>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</si>
  <si>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</si>
  <si>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</si>
  <si>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</si>
  <si>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</si>
  <si>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</si>
  <si>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</si>
  <si>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</si>
  <si>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</si>
  <si>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</si>
  <si>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</si>
  <si>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</si>
  <si>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</si>
  <si>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</si>
  <si>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</si>
  <si>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</si>
  <si>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</si>
  <si>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</si>
  <si>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</si>
  <si>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</si>
  <si>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</si>
  <si>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</si>
  <si>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</si>
  <si>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</si>
  <si>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</si>
  <si>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</si>
  <si>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</si>
  <si>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</si>
  <si>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</si>
  <si>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</si>
  <si>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</si>
  <si>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</si>
  <si>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</si>
  <si>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</si>
  <si>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</si>
  <si>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</si>
  <si>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</si>
  <si>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</si>
  <si>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</si>
  <si>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</si>
  <si>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</si>
  <si>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</si>
  <si>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</si>
  <si>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</si>
  <si>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</si>
  <si>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</si>
  <si>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</si>
  <si>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</si>
  <si>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</si>
  <si>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</si>
  <si>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</si>
  <si>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</si>
  <si>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</si>
  <si>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</si>
  <si>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</si>
  <si>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</si>
  <si>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</si>
  <si>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</si>
  <si>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</si>
  <si>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</si>
  <si>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</si>
  <si>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</si>
  <si>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</si>
  <si>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</si>
  <si>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</si>
  <si>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</si>
  <si>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</si>
  <si>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</si>
  <si>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</si>
  <si>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</si>
  <si>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</si>
  <si>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</si>
  <si>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</si>
  <si>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</si>
  <si>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</si>
  <si>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</si>
  <si>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</si>
  <si>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</si>
  <si>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</si>
  <si>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</si>
  <si>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</si>
  <si>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</si>
  <si>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</si>
  <si>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</si>
  <si>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</si>
  <si>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</si>
  <si>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</si>
  <si>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</si>
  <si>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</si>
  <si>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</si>
  <si>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</si>
  <si>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</si>
  <si>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</si>
  <si>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</si>
  <si>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</si>
  <si>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</si>
  <si>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</si>
  <si>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</si>
  <si>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</si>
  <si>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</si>
  <si>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</si>
  <si>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</si>
  <si>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</si>
  <si>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</si>
  <si>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</si>
  <si>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</si>
  <si>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</si>
  <si>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</si>
  <si>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</si>
  <si>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</si>
  <si>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</si>
  <si>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</si>
  <si>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</si>
  <si>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</si>
  <si>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</si>
  <si>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</si>
  <si>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</si>
  <si>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</si>
  <si>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</si>
  <si>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</si>
  <si>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</si>
  <si>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</si>
  <si>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</si>
  <si>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</si>
  <si>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</si>
  <si>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</si>
  <si>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</si>
  <si>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</si>
  <si>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</si>
  <si>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</si>
  <si>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</si>
  <si>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</si>
  <si>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</si>
  <si>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</si>
  <si>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</si>
  <si>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</si>
  <si>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</si>
  <si>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</si>
  <si>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</si>
  <si>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</si>
  <si>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</si>
  <si>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</si>
  <si>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</si>
  <si>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</si>
  <si>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</si>
  <si>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</si>
  <si>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</si>
  <si>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</si>
  <si>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</si>
  <si>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</si>
  <si>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</si>
  <si>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</si>
  <si>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</si>
  <si>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</si>
  <si>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</si>
  <si>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</si>
  <si>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</si>
  <si>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</si>
  <si>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</si>
  <si>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</si>
  <si>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</si>
  <si>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</si>
  <si>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</si>
  <si>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</si>
  <si>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</si>
  <si>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</si>
  <si>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</si>
  <si>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</si>
  <si>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</si>
  <si>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</si>
  <si>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</si>
  <si>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</si>
  <si>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</si>
  <si>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</si>
  <si>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</si>
  <si>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</si>
  <si>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</si>
  <si>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</si>
  <si>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</si>
  <si>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</si>
  <si>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</si>
  <si>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</si>
  <si>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</si>
  <si>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</si>
  <si>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</si>
  <si>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</si>
  <si>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</si>
  <si>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</si>
  <si>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</si>
  <si>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</si>
  <si>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</si>
  <si>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</si>
  <si>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</si>
  <si>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</si>
  <si>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</si>
  <si>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</si>
  <si>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</si>
  <si>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</si>
  <si>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</si>
  <si>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</si>
  <si>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</si>
  <si>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</si>
  <si>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</si>
  <si>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</si>
  <si>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</si>
  <si>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</si>
  <si>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</si>
  <si>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</si>
  <si>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</si>
  <si>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</si>
  <si>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</si>
  <si>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</si>
  <si>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</si>
  <si>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</si>
  <si>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</si>
  <si>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</si>
  <si>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</si>
  <si>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</si>
  <si>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</si>
  <si>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</si>
  <si>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</si>
  <si>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</si>
  <si>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</si>
  <si>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</si>
  <si>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</si>
  <si>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</si>
  <si>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</si>
  <si>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</si>
  <si>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</si>
  <si>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</si>
  <si>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</si>
  <si>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</si>
  <si>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</si>
  <si>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</si>
  <si>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</si>
  <si>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</si>
  <si>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</si>
  <si>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</si>
  <si>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</si>
  <si>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</si>
  <si>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</si>
  <si>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</si>
  <si>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</si>
  <si>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</si>
  <si>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</si>
  <si>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</si>
  <si>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</si>
  <si>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</si>
  <si>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</si>
  <si>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</si>
  <si>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</si>
  <si>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</si>
  <si>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</si>
  <si>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</si>
  <si>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</si>
  <si>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</si>
  <si>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</si>
  <si>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</si>
  <si>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</si>
  <si>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</si>
  <si>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</si>
  <si>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</si>
  <si>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</si>
  <si>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</si>
  <si>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</si>
  <si>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</si>
  <si>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</si>
  <si>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</si>
  <si>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</si>
  <si>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</si>
  <si>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</si>
  <si>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</si>
  <si>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</si>
  <si>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</si>
  <si>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</si>
  <si>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</si>
  <si>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</si>
  <si>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</si>
  <si>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</si>
  <si>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</si>
  <si>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</si>
  <si>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</si>
  <si>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</si>
  <si>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</si>
  <si>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</si>
  <si>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</si>
  <si>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</si>
  <si>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</si>
  <si>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</si>
  <si>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</si>
  <si>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</si>
  <si>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</si>
  <si>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</si>
  <si>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</si>
  <si>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</si>
  <si>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</si>
  <si>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</si>
  <si>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</si>
  <si>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</si>
  <si>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</si>
  <si>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</si>
  <si>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</si>
  <si>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</si>
  <si>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</si>
  <si>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</si>
  <si>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</si>
  <si>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</si>
  <si>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</si>
  <si>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</si>
  <si>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</si>
  <si>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</si>
  <si>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</si>
  <si>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</si>
  <si>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</si>
  <si>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</si>
  <si>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</si>
  <si>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</si>
  <si>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</si>
  <si>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</si>
  <si>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</si>
  <si>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</si>
  <si>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</si>
  <si>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</si>
  <si>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</si>
  <si>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</si>
  <si>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</si>
  <si>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</si>
  <si>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</si>
  <si>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</si>
  <si>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</si>
  <si>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</si>
  <si>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</si>
  <si>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</si>
  <si>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</si>
  <si>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</si>
  <si>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</si>
  <si>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</si>
  <si>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</si>
  <si>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</si>
  <si>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</si>
  <si>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</si>
  <si>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</si>
  <si>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</si>
  <si>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</si>
  <si>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</si>
  <si>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</si>
  <si>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</si>
  <si>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</si>
  <si>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</si>
  <si>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</si>
  <si>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</si>
  <si>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</si>
  <si>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</si>
  <si>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</si>
  <si>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</si>
  <si>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</si>
  <si>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</si>
  <si>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</si>
  <si>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</si>
  <si>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</si>
  <si>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</si>
  <si>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</si>
  <si>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</si>
  <si>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</si>
  <si>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</si>
  <si>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</si>
  <si>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</si>
  <si>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</si>
  <si>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</si>
  <si>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</si>
  <si>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</si>
  <si>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</si>
  <si>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</si>
  <si>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</si>
  <si>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</si>
  <si>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</si>
  <si>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</si>
  <si>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</si>
  <si>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</si>
  <si>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</si>
  <si>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</si>
  <si>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</si>
  <si>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</si>
  <si>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</si>
  <si>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</si>
  <si>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</si>
  <si>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</si>
  <si>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</si>
  <si>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</si>
  <si>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</si>
  <si>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</si>
  <si>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</si>
  <si>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</si>
  <si>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</si>
  <si>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</si>
  <si>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</si>
  <si>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</si>
  <si>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</si>
  <si>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</si>
  <si>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</si>
  <si>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</si>
  <si>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</si>
  <si>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</si>
  <si>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</si>
  <si>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</si>
  <si>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</si>
  <si>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</si>
  <si>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</si>
  <si>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</si>
  <si>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</si>
  <si>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</si>
  <si>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</si>
  <si>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</si>
  <si>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</si>
  <si>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</si>
  <si>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</si>
  <si>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</si>
  <si>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</si>
  <si>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</si>
  <si>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</si>
  <si>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</si>
  <si>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</si>
  <si>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</si>
  <si>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</si>
  <si>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</si>
  <si>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</si>
  <si>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</si>
  <si>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</si>
  <si>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</si>
  <si>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</si>
  <si>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</si>
  <si>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</si>
  <si>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</si>
  <si>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</si>
  <si>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</si>
  <si>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</si>
  <si>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</si>
  <si>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</si>
  <si>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</si>
  <si>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</si>
  <si>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</si>
  <si>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</si>
  <si>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</si>
  <si>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</si>
  <si>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</si>
  <si>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</si>
  <si>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</si>
  <si>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</si>
  <si>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</si>
  <si>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</si>
  <si>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</si>
  <si>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</si>
  <si>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</si>
  <si>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</si>
  <si>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</si>
  <si>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</si>
  <si>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</si>
  <si>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</si>
  <si>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</si>
  <si>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</si>
  <si>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</si>
  <si>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</si>
  <si>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</si>
  <si>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</si>
  <si>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</si>
  <si>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</si>
  <si>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</si>
  <si>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</si>
  <si>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</si>
  <si>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</si>
  <si>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</si>
  <si>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</si>
  <si>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</si>
  <si>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</si>
  <si>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</si>
  <si>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</si>
  <si>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</si>
  <si>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</si>
  <si>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</si>
  <si>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</si>
  <si>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</si>
  <si>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</si>
  <si>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</si>
  <si>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</si>
  <si>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</si>
  <si>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</si>
  <si>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</si>
  <si>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</si>
  <si>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</si>
  <si>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</si>
  <si>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</si>
  <si>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</si>
  <si>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</si>
  <si>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</si>
  <si>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</si>
  <si>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</si>
  <si>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</si>
  <si>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</si>
  <si>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</si>
  <si>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</si>
  <si>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</si>
  <si>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</si>
  <si>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</si>
  <si>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</si>
  <si>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</si>
  <si>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</si>
  <si>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</si>
  <si>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</si>
  <si>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</si>
  <si>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</si>
  <si>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</si>
  <si>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</si>
  <si>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</si>
  <si>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</si>
  <si>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</si>
  <si>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</si>
  <si>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</si>
  <si>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</si>
  <si>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</si>
  <si>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</si>
  <si>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</si>
  <si>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</si>
  <si>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</si>
  <si>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</si>
  <si>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</si>
  <si>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</si>
  <si>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</si>
  <si>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</si>
  <si>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</si>
  <si>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</si>
  <si>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</si>
  <si>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</si>
  <si>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</si>
  <si>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</si>
  <si>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</si>
  <si>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</si>
  <si>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</si>
  <si>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</si>
  <si>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</si>
  <si>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</si>
  <si>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</si>
  <si>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</si>
  <si>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</si>
  <si>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</si>
  <si>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</si>
  <si>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</si>
  <si>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</si>
  <si>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</si>
  <si>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</si>
  <si>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</si>
  <si>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</si>
  <si>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</si>
  <si>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</si>
  <si>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</si>
  <si>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</si>
  <si>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</si>
  <si>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</si>
  <si>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</si>
  <si>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</si>
  <si>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</si>
  <si>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</si>
  <si>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</si>
  <si>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</si>
  <si>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</si>
  <si>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</si>
  <si>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</si>
  <si>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</si>
  <si>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</si>
  <si>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</si>
  <si>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</si>
  <si>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</si>
  <si>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</si>
  <si>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</si>
  <si>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</si>
  <si>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</si>
  <si>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</si>
  <si>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</si>
  <si>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</si>
  <si>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</si>
  <si>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</si>
  <si>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</si>
  <si>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</si>
  <si>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</si>
  <si>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</si>
  <si>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</si>
  <si>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</si>
  <si>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</si>
  <si>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</si>
  <si>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</si>
  <si>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</si>
  <si>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</si>
  <si>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</si>
  <si>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</si>
  <si>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</si>
  <si>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</si>
  <si>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</si>
  <si>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</si>
  <si>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</si>
  <si>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</si>
  <si>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</si>
  <si>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</si>
  <si>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</si>
  <si>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</si>
  <si>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</si>
  <si>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</si>
  <si>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</si>
  <si>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</si>
  <si>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</si>
  <si>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</si>
  <si>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</si>
  <si>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</si>
  <si>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</si>
  <si>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</si>
  <si>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</si>
  <si>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</si>
  <si>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</si>
  <si>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</si>
  <si>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</si>
  <si>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</si>
  <si>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</si>
  <si>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</si>
  <si>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</si>
  <si>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</si>
  <si>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</si>
  <si>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</si>
  <si>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</si>
  <si>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</si>
  <si>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</si>
  <si>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</si>
  <si>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</si>
  <si>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</si>
  <si>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</si>
  <si>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</si>
  <si>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</si>
  <si>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</si>
  <si>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</si>
  <si>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</si>
  <si>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</si>
  <si>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</si>
  <si>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</si>
  <si>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</si>
  <si>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</si>
  <si>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</si>
  <si>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</si>
  <si>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</si>
  <si>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</si>
  <si>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</si>
  <si>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</si>
  <si>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</si>
  <si>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</si>
  <si>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</si>
  <si>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</si>
  <si>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</si>
  <si>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</si>
  <si>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</si>
  <si>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</si>
  <si>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</si>
  <si>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</si>
  <si>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</si>
  <si>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</si>
  <si>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</si>
  <si>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</si>
  <si>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</si>
  <si>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</si>
  <si>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</si>
  <si>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</si>
  <si>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</si>
  <si>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</si>
  <si>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</si>
  <si>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</si>
  <si>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</si>
  <si>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</si>
  <si>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</si>
  <si>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</si>
  <si>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</si>
  <si>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</si>
  <si>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</si>
  <si>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</si>
  <si>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</si>
  <si>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</si>
  <si>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</si>
  <si>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</si>
  <si>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</si>
  <si>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</si>
  <si>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</si>
  <si>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</si>
  <si>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</si>
  <si>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</si>
  <si>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</si>
  <si>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</si>
  <si>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</si>
  <si>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</si>
  <si>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</si>
  <si>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</si>
  <si>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</si>
  <si>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</si>
  <si>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</si>
  <si>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</si>
  <si>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</si>
  <si>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</si>
  <si>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</si>
  <si>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</si>
  <si>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</si>
  <si>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</si>
  <si>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</si>
  <si>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</si>
  <si>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</si>
  <si>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</si>
  <si>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</si>
  <si>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</si>
  <si>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</si>
  <si>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</si>
  <si>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</si>
  <si>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</si>
  <si>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</si>
  <si>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</si>
  <si>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</si>
  <si>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</si>
  <si>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</si>
  <si>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</si>
  <si>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</si>
  <si>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</si>
  <si>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</si>
  <si>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</si>
  <si>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</si>
  <si>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</si>
  <si>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</si>
  <si>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</si>
  <si>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</si>
  <si>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</si>
  <si>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</si>
  <si>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</si>
  <si>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</si>
  <si>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</si>
  <si>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</si>
  <si>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</si>
  <si>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</si>
  <si>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</si>
  <si>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</si>
  <si>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</si>
  <si>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</si>
  <si>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</si>
  <si>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</si>
  <si>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</si>
  <si>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</si>
  <si>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</si>
  <si>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</si>
  <si>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</si>
  <si>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</si>
  <si>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</si>
  <si>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</si>
  <si>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</si>
  <si>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</si>
  <si>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</si>
  <si>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</si>
  <si>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</si>
  <si>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</si>
  <si>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</si>
  <si>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</si>
  <si>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</si>
  <si>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</si>
  <si>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</si>
  <si>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</si>
  <si>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</si>
  <si>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</si>
  <si>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</si>
  <si>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</si>
  <si>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</si>
  <si>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</si>
  <si>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</si>
  <si>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</si>
  <si>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</si>
  <si>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</si>
  <si>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</si>
  <si>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</si>
  <si>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</si>
  <si>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</si>
  <si>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</si>
  <si>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</si>
  <si>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</si>
  <si>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</si>
  <si>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</si>
  <si>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</si>
  <si>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</si>
  <si>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</si>
  <si>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</si>
  <si>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</si>
  <si>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</si>
  <si>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</si>
  <si>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</si>
  <si>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</si>
  <si>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</si>
  <si>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</si>
  <si>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</si>
  <si>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</si>
  <si>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</si>
  <si>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</si>
  <si>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</si>
  <si>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</si>
  <si>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</si>
  <si>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</si>
  <si>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</si>
  <si>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</si>
  <si>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</si>
  <si>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</si>
  <si>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</si>
  <si>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</si>
  <si>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</si>
  <si>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</si>
  <si>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</si>
  <si>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</si>
  <si>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</si>
  <si>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</si>
  <si>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</si>
  <si>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</si>
  <si>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</si>
  <si>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</si>
  <si>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</si>
  <si>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</si>
  <si>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</si>
  <si>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</si>
  <si>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</si>
  <si>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</si>
  <si>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</si>
  <si>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</si>
  <si>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</si>
  <si>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</si>
  <si>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</si>
  <si>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</si>
  <si>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</si>
  <si>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</si>
  <si>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</si>
  <si>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</si>
  <si>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</si>
  <si>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</si>
  <si>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</si>
  <si>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</si>
  <si>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</si>
  <si>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</si>
  <si>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</si>
  <si>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</si>
  <si>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</si>
  <si>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</si>
  <si>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</si>
  <si>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</si>
  <si>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</si>
  <si>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</si>
  <si>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</si>
  <si>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</si>
  <si>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</si>
  <si>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</si>
  <si>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</si>
  <si>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</si>
  <si>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</si>
  <si>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</si>
  <si>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</si>
  <si>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</si>
  <si>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</si>
  <si>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</si>
  <si>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</si>
  <si>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</si>
  <si>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</si>
  <si>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</si>
  <si>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</si>
  <si>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</si>
  <si>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</si>
  <si>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</si>
  <si>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</si>
  <si>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</si>
  <si>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</si>
  <si>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</si>
  <si>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</si>
  <si>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</si>
  <si>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</si>
  <si>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</si>
  <si>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</si>
  <si>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</si>
  <si>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</si>
  <si>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</si>
  <si>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</si>
  <si>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</si>
  <si>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</si>
  <si>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</si>
  <si>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</si>
  <si>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</si>
  <si>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</si>
  <si>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</si>
  <si>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</si>
  <si>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</si>
  <si>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</si>
  <si>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</si>
  <si>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</si>
  <si>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</si>
  <si>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</si>
  <si>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</si>
  <si>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</si>
  <si>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</si>
  <si>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</si>
  <si>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</si>
  <si>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</si>
  <si>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</si>
  <si>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</si>
  <si>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</si>
  <si>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</si>
  <si>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</si>
  <si>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</si>
  <si>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</si>
  <si>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</si>
  <si>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</si>
  <si>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</si>
  <si>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</si>
  <si>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</si>
  <si>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</si>
  <si>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</si>
  <si>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</si>
  <si>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</si>
  <si>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</si>
  <si>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</si>
  <si>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</si>
  <si>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</si>
  <si>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</si>
  <si>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</si>
  <si>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</si>
  <si>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</si>
  <si>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</si>
  <si>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</si>
  <si>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</si>
  <si>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</si>
  <si>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</si>
  <si>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</si>
  <si>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</si>
  <si>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</si>
  <si>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</si>
  <si>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</si>
  <si>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</si>
  <si>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</si>
  <si>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</si>
  <si>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</si>
  <si>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</si>
  <si>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</si>
  <si>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</si>
  <si>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</si>
  <si>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</si>
  <si>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</si>
  <si>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</si>
  <si>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</si>
  <si>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</si>
  <si>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</si>
  <si>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</si>
  <si>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</si>
  <si>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</si>
  <si>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</si>
  <si>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</si>
  <si>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</si>
  <si>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</si>
  <si>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</si>
  <si>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</si>
  <si>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</si>
  <si>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</si>
  <si>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</si>
  <si>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</si>
  <si>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</si>
  <si>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</si>
  <si>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</si>
  <si>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</si>
  <si>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</si>
  <si>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</si>
  <si>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</si>
  <si>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</si>
  <si>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</si>
  <si>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</si>
  <si>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</si>
  <si>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</si>
  <si>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</si>
  <si>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</si>
  <si>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</si>
  <si>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</si>
  <si>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</si>
  <si>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</si>
  <si>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</si>
  <si>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</si>
  <si>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</si>
  <si>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</si>
  <si>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</si>
  <si>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</si>
  <si>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</si>
  <si>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</si>
  <si>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</si>
  <si>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</si>
  <si>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</si>
  <si>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</si>
  <si>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</si>
  <si>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</si>
  <si>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</si>
  <si>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</si>
  <si>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</si>
  <si>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</si>
  <si>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</si>
  <si>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</si>
  <si>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</si>
  <si>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</si>
  <si>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</si>
  <si>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</si>
  <si>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</si>
  <si>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</si>
  <si>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</si>
  <si>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</si>
  <si>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</si>
  <si>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</si>
  <si>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</si>
  <si>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</si>
  <si>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</si>
  <si>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</si>
  <si>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</si>
  <si>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</si>
  <si>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</si>
  <si>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</si>
  <si>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</si>
  <si>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</si>
  <si>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</si>
  <si>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</si>
  <si>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</si>
  <si>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</si>
  <si>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</si>
  <si>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</si>
  <si>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</si>
  <si>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</si>
  <si>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</si>
  <si>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</si>
  <si>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</si>
  <si>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</si>
  <si>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</si>
  <si>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</si>
  <si>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</si>
  <si>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</si>
  <si>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</si>
  <si>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</si>
  <si>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</si>
  <si>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</si>
  <si>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</si>
  <si>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</si>
  <si>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</si>
  <si>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</si>
  <si>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</si>
  <si>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</si>
  <si>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</si>
  <si>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</si>
  <si>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</si>
  <si>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</si>
  <si>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</si>
  <si>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</si>
  <si>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</si>
  <si>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</si>
  <si>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</si>
  <si>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</si>
  <si>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</si>
  <si>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</si>
  <si>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Franklin</t>
  </si>
  <si>
    <t>Thompsonville Community Unit School District #174</t>
  </si>
  <si>
    <t>21191 Shawneetown Rd</t>
  </si>
  <si>
    <t>Thompsonville</t>
  </si>
  <si>
    <t>618-627-2301</t>
  </si>
  <si>
    <t>618-627-2302</t>
  </si>
  <si>
    <t>Emling &amp; Hoffman, P.C.</t>
  </si>
  <si>
    <t>Donald L. Hoffman</t>
  </si>
  <si>
    <t>105 East Main Street</t>
  </si>
  <si>
    <t>Du Quoin</t>
  </si>
  <si>
    <t>IL</t>
  </si>
  <si>
    <t>618-542-4747</t>
  </si>
  <si>
    <t>618-542-6141</t>
  </si>
  <si>
    <t>055-012078</t>
  </si>
  <si>
    <t>donhoffman@emlingcpa.com</t>
  </si>
  <si>
    <t>Lorie LeQuatte</t>
  </si>
  <si>
    <t>llequatte@roe21.org</t>
  </si>
  <si>
    <t>618-244-8040</t>
  </si>
  <si>
    <t>618-241-7868</t>
  </si>
  <si>
    <t>Brock Harris</t>
  </si>
  <si>
    <t>bharris@tvilleschools.org</t>
  </si>
  <si>
    <t>Series 2013A UMB Bank</t>
  </si>
  <si>
    <t>Series 2013B UMB Bank</t>
  </si>
  <si>
    <t>Series 2015 Southern Illinois Bank</t>
  </si>
  <si>
    <t>Series 2015 Bank of Edwardsville</t>
  </si>
  <si>
    <t>Series 2017 SIB/South Porte Bank</t>
  </si>
  <si>
    <t>Quality Network Solutions</t>
  </si>
  <si>
    <t>Franklin-Jefferson Special Education District</t>
  </si>
  <si>
    <t>Robbins, Schwartz, Nicholas, Lifton &amp; Taylor</t>
  </si>
  <si>
    <t>Prairie State Insurance Cooperative</t>
  </si>
  <si>
    <t>Aramark</t>
  </si>
  <si>
    <t>618-618-627-2301</t>
  </si>
  <si>
    <t>Segregation of duties.</t>
  </si>
  <si>
    <t>There are limited segregation of duties over cash receipts and disbursements, receiving and purchasing, recording of transactions and reconciliation of bank accounts.  The School District employs too few individuals to perform all of the before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</si>
  <si>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</si>
  <si>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</si>
  <si>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</si>
  <si>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for an adequate segregation of duties, it is important that the personnel and management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</si>
  <si>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</si>
  <si>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 which is a basis of accounting other than accounting principles generally accepted in the United States of America.</t>
  </si>
  <si>
    <t>Personnel of the School District do not currently possess the skills necessary to draft the financial statements and footnotes in accordance with the regulatory basis of accounting.</t>
  </si>
  <si>
    <t>The School District does not possess the skills necessary to draft their financial statements or footnotes.</t>
  </si>
  <si>
    <t>The School District's management may not be able to detect errors or omissions in the application of the regulatory basis of accounting with respect to the School District's financial statements or footnotes.</t>
  </si>
  <si>
    <t>Lack of formal training.</t>
  </si>
  <si>
    <t>Current Governmental Auditing Standards allow the School District to continue to request the auditor to prepare the financial statements and footnote disclosures.  However, the School District is still responsible for having a qualified person capable of understanding the complete drafting of the financial statements and footnote disclosures , as well making sure that all adjusting entries, having a material effect on the financial statements, are properly posted prior to the audit being performed.  The School District should consider providing additional training for its personnel.</t>
  </si>
  <si>
    <t>Management agrees with the finding.  However, the Illinois State Board of Education requires the School District's auditor to prepare the Annual Financial Report.</t>
  </si>
  <si>
    <t>#20 - See Findings 2018-001, 2018-002, and 2018-003.</t>
  </si>
  <si>
    <t>Detailed property records are not presently maintained, preventing the auditor's from expressing an opinion on the General Fixed Assets Account Group.</t>
  </si>
  <si>
    <t>Better creation and retention of records of cash receipts for concession sales at school events.</t>
  </si>
  <si>
    <t>The School District should create and retain all cash receipt vouchers and backup documents anytime cash is received.</t>
  </si>
  <si>
    <t>The School District did not have cash receipt documentation for concession cash sales.</t>
  </si>
  <si>
    <t>Lack of cash receipt records can be an indication of potential fraud or other abuse.</t>
  </si>
  <si>
    <t>A significant effort should be taken to ensure that all cash receipt vouchers and backup documentation is created and retained for all cash receipt transactions.  A system of internal controls should be established for concession cash receipts, including procedures and forms that must be followed at every school event.</t>
  </si>
  <si>
    <t>Management is aware of this condition.  They will discuss the matter with the personnel in charge and make the recommended changes.</t>
  </si>
  <si>
    <t>The School District is aware of this condition.  However, due to budget restraints, the School District cannot hire more personnel.  The School District will continue to review their staffing arrangements, assingment of duties, and employee bonding.</t>
  </si>
  <si>
    <t>The Illinois State Board of Education requires the School District's auditor to prepare the Annual Financial Report.  The School District will continue to employ a member of management with adequate skills, knowledge, and experience to accept responsibility over the reports and footnote disclosures.</t>
  </si>
  <si>
    <t>Other Paymnets in Lieu of Taxes - TVA Funds.</t>
  </si>
  <si>
    <t>Other Local Revenues - Miscellaneous receipts.</t>
  </si>
  <si>
    <t>Other Restricted Revenue from State Sources - Library Per Capita Grant.</t>
  </si>
  <si>
    <t>CTE Other - Perkins.</t>
  </si>
  <si>
    <t>Other Support Services - Pupils - Crossing Guard.</t>
  </si>
  <si>
    <t>Debt Services - Other - Bond Fees.</t>
  </si>
  <si>
    <t>Page 25 - Other Disbursements - Bond Fees.</t>
  </si>
  <si>
    <t>2017-001</t>
  </si>
  <si>
    <t>2017-002</t>
  </si>
  <si>
    <t>Ed-Instruction-Purchased Services</t>
  </si>
  <si>
    <t>10-1100-300</t>
  </si>
  <si>
    <t>Quality Network Services</t>
  </si>
  <si>
    <t>Ed-Instruction-Supplies &amp; Materials</t>
  </si>
  <si>
    <t>10-1100-400</t>
  </si>
  <si>
    <t>Ed-Instruction-Other Objects</t>
  </si>
  <si>
    <t>10-1100-600</t>
  </si>
  <si>
    <t>Ed-CTE Programs-Supplies &amp; Materials</t>
  </si>
  <si>
    <t>10-1400-400</t>
  </si>
  <si>
    <t>Aramark Corporation</t>
  </si>
  <si>
    <t>10-2560-300</t>
  </si>
  <si>
    <t>Transportation-Pupil Transportation Services-Other Objects</t>
  </si>
  <si>
    <t>40-2550-600</t>
  </si>
  <si>
    <t>Santander Leasing LLC</t>
  </si>
  <si>
    <t>Ed-Food Service-Purchased Services</t>
  </si>
  <si>
    <t>The School District abated the taxes levied for the tax year 2017 to pay debt service on General Obligation School Bonds Series 2015 and General Obligation Bonds (Alternate Revenue Source) Series 2013B.  The School District collects school facility occupational tax from the counties to repay principal and interest on these bonds.  Oustanding principal of $893,100 should not be included in the calculation of legal debt margin.  See Note L in the Notes to Financial Statements for complete legal debt margin calculation.</t>
  </si>
  <si>
    <t>There were no internal controls established requiring cash receipt documentation be kept for concession cash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</si>
</sst>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3" applyFont="1" applyAlignment="1" applyProtection="1">
      <alignment horizontal="justify"/>
      <protection locked="0"/>
    </xf>
    <xf numFmtId="0" fontId="55" fillId="0" borderId="0" xfId="3" applyFont="1" applyBorder="1" applyAlignment="1" applyProtection="1">
      <alignment horizontal="justify"/>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justify" vertical="top" wrapText="1"/>
      <protection locked="0"/>
    </xf>
    <xf numFmtId="0" fontId="55" fillId="0" borderId="0" xfId="3" applyFont="1" applyAlignment="1" applyProtection="1">
      <alignment horizontal="justify"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justify" vertical="top" wrapText="1"/>
      <protection locked="0"/>
    </xf>
    <xf numFmtId="0" fontId="55" fillId="0" borderId="0" xfId="3" applyFont="1" applyAlignment="1" applyProtection="1">
      <alignment horizontal="justify" vertical="top"/>
      <protection locked="0"/>
    </xf>
    <xf numFmtId="0" fontId="55" fillId="0" borderId="0" xfId="3" applyFont="1" applyBorder="1" applyAlignment="1" applyProtection="1">
      <alignment horizontal="justify" vertical="top"/>
      <protection locked="0"/>
    </xf>
    <xf numFmtId="0" fontId="52" fillId="0" borderId="0" xfId="3" applyNumberFormat="1" applyFont="1" applyAlignment="1" applyProtection="1">
      <alignment horizontal="center" vertical="center" wrapText="1"/>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xdr:row>
          <xdr:rowOff>66675</xdr:rowOff>
        </xdr:from>
        <xdr:to>
          <xdr:col>1</xdr:col>
          <xdr:colOff>857250</xdr:colOff>
          <xdr:row>10</xdr:row>
          <xdr:rowOff>104775</xdr:rowOff>
        </xdr:to>
        <xdr:sp macro="" textlink="">
          <xdr:nvSpPr>
            <xdr:cNvPr id="37889" name="Object 1" descr="Notes to Basic Financial Statements"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6</xdr:row>
          <xdr:rowOff>47625</xdr:rowOff>
        </xdr:from>
        <xdr:to>
          <xdr:col>1</xdr:col>
          <xdr:colOff>1905000</xdr:colOff>
          <xdr:row>10</xdr:row>
          <xdr:rowOff>85725</xdr:rowOff>
        </xdr:to>
        <xdr:sp macro="" textlink="">
          <xdr:nvSpPr>
            <xdr:cNvPr id="37890" name="Object 2" descr="Corrective Action Plan"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6</xdr:row>
          <xdr:rowOff>38100</xdr:rowOff>
        </xdr:from>
        <xdr:to>
          <xdr:col>1</xdr:col>
          <xdr:colOff>3000375</xdr:colOff>
          <xdr:row>10</xdr:row>
          <xdr:rowOff>76200</xdr:rowOff>
        </xdr:to>
        <xdr:sp macro="" textlink="">
          <xdr:nvSpPr>
            <xdr:cNvPr id="37891" name="Object 3" descr="Signed Page 2"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1</xdr:row>
          <xdr:rowOff>47625</xdr:rowOff>
        </xdr:from>
        <xdr:to>
          <xdr:col>1</xdr:col>
          <xdr:colOff>1914525</xdr:colOff>
          <xdr:row>5</xdr:row>
          <xdr:rowOff>85725</xdr:rowOff>
        </xdr:to>
        <xdr:sp macro="" textlink="">
          <xdr:nvSpPr>
            <xdr:cNvPr id="37893" name="Object 5" descr="SAS Letter"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1</xdr:row>
          <xdr:rowOff>47625</xdr:rowOff>
        </xdr:from>
        <xdr:to>
          <xdr:col>1</xdr:col>
          <xdr:colOff>2971800</xdr:colOff>
          <xdr:row>5</xdr:row>
          <xdr:rowOff>85725</xdr:rowOff>
        </xdr:to>
        <xdr:sp macro="" textlink="">
          <xdr:nvSpPr>
            <xdr:cNvPr id="37894" name="Object 6" descr="Peer Review Letter"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xdr:row>
          <xdr:rowOff>57150</xdr:rowOff>
        </xdr:from>
        <xdr:to>
          <xdr:col>1</xdr:col>
          <xdr:colOff>885825</xdr:colOff>
          <xdr:row>5</xdr:row>
          <xdr:rowOff>95250</xdr:rowOff>
        </xdr:to>
        <xdr:sp macro="" textlink="">
          <xdr:nvSpPr>
            <xdr:cNvPr id="37895" name="Object 7" descr="Signed Management Rep Letter" hidden="1">
              <a:extLst>
                <a:ext uri="{63B3BB69-23CF-44E3-9099-C40C66FF867C}">
                  <a14:compatExt spid="_x0000_s37895"/>
                </a:ext>
                <a:ext uri="{FF2B5EF4-FFF2-40B4-BE49-F238E27FC236}">
                  <a16:creationId xmlns:a16="http://schemas.microsoft.com/office/drawing/2014/main" id="{76181C92-F7D5-4DCD-AF35-5794DFBB29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809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809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352675" y="1809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3819525" y="18097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28575</xdr:rowOff>
    </xdr:to>
    <xdr:sp macro="" textlink="">
      <xdr:nvSpPr>
        <xdr:cNvPr id="2" name="Text 1">
          <a:extLst>
            <a:ext uri="{FF2B5EF4-FFF2-40B4-BE49-F238E27FC236}">
              <a16:creationId xmlns:a16="http://schemas.microsoft.com/office/drawing/2014/main" id="{00000000-0008-0000-1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1.bin"/><Relationship Id="rId4" Type="http://schemas.openxmlformats.org/officeDocument/2006/relationships/hyperlink" Target="https://www.isbe.net/Pages/School-Nutrition-Programs-Food-Distribution.aspx"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2076</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21028174026</v>
      </c>
      <c r="B13" s="2033"/>
      <c r="C13" s="2033"/>
      <c r="D13" s="2033"/>
      <c r="E13" s="2033"/>
      <c r="F13" s="2033"/>
      <c r="G13" s="2033"/>
      <c r="H13" s="2034"/>
      <c r="I13" s="31"/>
      <c r="J13" s="30"/>
      <c r="K13" s="28"/>
      <c r="L13" s="30"/>
      <c r="M13" s="30"/>
      <c r="N13" s="30"/>
      <c r="O13" s="30"/>
      <c r="P13" s="30"/>
      <c r="Q13" s="30"/>
      <c r="R13" s="30"/>
      <c r="S13" s="30"/>
      <c r="T13" s="2037" t="s">
        <v>2083</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2077</v>
      </c>
      <c r="B15" s="2035"/>
      <c r="C15" s="2035"/>
      <c r="D15" s="2035"/>
      <c r="E15" s="2035"/>
      <c r="F15" s="2035"/>
      <c r="G15" s="2035"/>
      <c r="H15" s="2036"/>
      <c r="T15" s="2041" t="s">
        <v>2084</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2078</v>
      </c>
      <c r="B17" s="1992"/>
      <c r="C17" s="1992"/>
      <c r="D17" s="1992"/>
      <c r="E17" s="1992"/>
      <c r="F17" s="1992"/>
      <c r="G17" s="1992"/>
      <c r="H17" s="2017"/>
      <c r="T17" s="2048" t="s">
        <v>2085</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2079</v>
      </c>
      <c r="B19" s="1977"/>
      <c r="C19" s="1977"/>
      <c r="D19" s="1977"/>
      <c r="E19" s="1977"/>
      <c r="F19" s="1977"/>
      <c r="G19" s="1977"/>
      <c r="H19" s="1957"/>
      <c r="I19" s="30"/>
      <c r="J19" s="99"/>
      <c r="K19" s="40"/>
      <c r="L19" s="38"/>
      <c r="M19" s="112" t="s">
        <v>333</v>
      </c>
      <c r="P19" s="27"/>
      <c r="Q19" s="27"/>
      <c r="R19" s="27"/>
      <c r="S19" s="31"/>
      <c r="T19" s="2031" t="s">
        <v>2086</v>
      </c>
      <c r="U19" s="1956"/>
      <c r="V19" s="1956"/>
      <c r="W19" s="1957"/>
      <c r="X19" s="2046" t="s">
        <v>2087</v>
      </c>
      <c r="Y19" s="2047"/>
      <c r="Z19" s="2044">
        <v>62832</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2080</v>
      </c>
      <c r="B21" s="1956"/>
      <c r="C21" s="1956"/>
      <c r="D21" s="1956"/>
      <c r="E21" s="1956"/>
      <c r="F21" s="1956"/>
      <c r="G21" s="1956"/>
      <c r="H21" s="1957"/>
      <c r="I21" s="2011" t="s">
        <v>699</v>
      </c>
      <c r="J21" s="2006"/>
      <c r="K21" s="2006"/>
      <c r="L21" s="2006"/>
      <c r="M21" s="2006"/>
      <c r="N21" s="2006"/>
      <c r="O21" s="2006"/>
      <c r="P21" s="2006"/>
      <c r="Q21" s="2006"/>
      <c r="R21" s="2006"/>
      <c r="S21" s="2012"/>
      <c r="T21" s="2055" t="s">
        <v>2088</v>
      </c>
      <c r="U21" s="2056"/>
      <c r="V21" s="2056"/>
      <c r="W21" s="2056"/>
      <c r="X21" s="2061" t="s">
        <v>2089</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2097</v>
      </c>
      <c r="B23" s="2009"/>
      <c r="C23" s="2009"/>
      <c r="D23" s="2009"/>
      <c r="E23" s="2009"/>
      <c r="F23" s="2009"/>
      <c r="G23" s="2009"/>
      <c r="H23" s="2010"/>
      <c r="T23" s="1991" t="s">
        <v>2090</v>
      </c>
      <c r="U23" s="2054"/>
      <c r="V23" s="2054"/>
      <c r="W23" s="2054"/>
      <c r="X23" s="2058">
        <v>43373</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62890</v>
      </c>
      <c r="B25" s="1956"/>
      <c r="C25" s="1956"/>
      <c r="D25" s="1956"/>
      <c r="E25" s="1956"/>
      <c r="F25" s="1956"/>
      <c r="G25" s="1956"/>
      <c r="H25" s="1957"/>
      <c r="I25" s="113"/>
      <c r="J25" s="1980"/>
      <c r="K25" s="1980"/>
      <c r="L25" s="1980"/>
      <c r="M25" s="1980"/>
      <c r="N25" s="1980"/>
      <c r="O25" s="1980"/>
      <c r="P25" s="1980"/>
      <c r="Q25" s="1980"/>
      <c r="R25" s="1980"/>
      <c r="S25" s="1981"/>
      <c r="T25" s="2051" t="s">
        <v>2091</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2076</v>
      </c>
      <c r="C34" s="32" t="s">
        <v>563</v>
      </c>
      <c r="D34" s="31"/>
      <c r="E34" s="31"/>
      <c r="F34" s="31"/>
      <c r="G34" s="31"/>
      <c r="H34" s="31"/>
      <c r="I34" s="54"/>
      <c r="J34" s="83"/>
      <c r="L34" s="101"/>
      <c r="M34" s="93" t="s">
        <v>731</v>
      </c>
      <c r="N34" s="30"/>
      <c r="O34" s="30"/>
      <c r="P34" s="30"/>
      <c r="Q34" s="30"/>
      <c r="R34" s="30"/>
      <c r="S34" s="55"/>
      <c r="T34" s="30"/>
      <c r="U34" s="102"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2096</v>
      </c>
      <c r="B38" s="1992"/>
      <c r="C38" s="1992"/>
      <c r="D38" s="1992"/>
      <c r="E38" s="1992"/>
      <c r="F38" s="1956"/>
      <c r="G38" s="1956"/>
      <c r="H38" s="1957"/>
      <c r="I38" s="1984"/>
      <c r="J38" s="1985"/>
      <c r="K38" s="1985"/>
      <c r="L38" s="1985"/>
      <c r="M38" s="1985"/>
      <c r="N38" s="1985"/>
      <c r="O38" s="1985"/>
      <c r="P38" s="1986"/>
      <c r="Q38" s="1986"/>
      <c r="R38" s="1986"/>
      <c r="S38" s="1987"/>
      <c r="T38" s="2041" t="s">
        <v>2092</v>
      </c>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2097</v>
      </c>
      <c r="B40" s="1970"/>
      <c r="C40" s="1971"/>
      <c r="D40" s="1971"/>
      <c r="E40" s="1971"/>
      <c r="F40" s="1972"/>
      <c r="G40" s="1972"/>
      <c r="H40" s="1973"/>
      <c r="I40" s="1994"/>
      <c r="J40" s="1995"/>
      <c r="K40" s="1995"/>
      <c r="L40" s="1995"/>
      <c r="M40" s="1995"/>
      <c r="N40" s="1995"/>
      <c r="O40" s="1995"/>
      <c r="P40" s="1995"/>
      <c r="Q40" s="1995"/>
      <c r="R40" s="1995"/>
      <c r="S40" s="1996"/>
      <c r="T40" s="1994" t="s">
        <v>2093</v>
      </c>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2081</v>
      </c>
      <c r="B42" s="1975"/>
      <c r="C42" s="1976"/>
      <c r="D42" s="1974" t="s">
        <v>2082</v>
      </c>
      <c r="E42" s="1975"/>
      <c r="F42" s="1975"/>
      <c r="G42" s="1975"/>
      <c r="H42" s="1976"/>
      <c r="I42" s="1958"/>
      <c r="J42" s="1959"/>
      <c r="K42" s="1959"/>
      <c r="L42" s="1959"/>
      <c r="M42" s="1959"/>
      <c r="N42" s="1959"/>
      <c r="O42" s="1960"/>
      <c r="P42" s="1993"/>
      <c r="Q42" s="1959"/>
      <c r="R42" s="1959"/>
      <c r="S42" s="1960"/>
      <c r="T42" s="1958" t="s">
        <v>2094</v>
      </c>
      <c r="U42" s="1959"/>
      <c r="V42" s="1959"/>
      <c r="W42" s="1960"/>
      <c r="X42" s="1993" t="s">
        <v>2095</v>
      </c>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197" t="s">
        <v>1904</v>
      </c>
      <c r="B2" s="1548" t="s">
        <v>2036</v>
      </c>
      <c r="C2" s="715" t="s">
        <v>1909</v>
      </c>
      <c r="D2" s="715" t="s">
        <v>1910</v>
      </c>
      <c r="E2" s="715" t="s">
        <v>1911</v>
      </c>
      <c r="F2" s="715" t="s">
        <v>1912</v>
      </c>
    </row>
    <row r="3" spans="1:6" ht="12" customHeight="1" x14ac:dyDescent="0.2">
      <c r="A3" s="2198"/>
      <c r="B3" s="1545"/>
      <c r="C3" s="1546"/>
      <c r="D3" s="1547" t="s">
        <v>274</v>
      </c>
      <c r="E3" s="1546"/>
      <c r="F3" s="1547" t="s">
        <v>275</v>
      </c>
    </row>
    <row r="4" spans="1:6" ht="13.7" customHeight="1" x14ac:dyDescent="0.2">
      <c r="A4" s="716" t="s">
        <v>1217</v>
      </c>
      <c r="B4" s="1766">
        <f>'Revenues 9-14'!C5</f>
        <v>389551</v>
      </c>
      <c r="C4" s="1544">
        <v>0</v>
      </c>
      <c r="D4" s="1769">
        <f>B4-C4</f>
        <v>389551</v>
      </c>
      <c r="E4" s="1544">
        <v>409150</v>
      </c>
      <c r="F4" s="1769">
        <f>E4-C4</f>
        <v>409150</v>
      </c>
    </row>
    <row r="5" spans="1:6" ht="13.7" customHeight="1" x14ac:dyDescent="0.2">
      <c r="A5" s="716" t="s">
        <v>925</v>
      </c>
      <c r="B5" s="1767">
        <f>'Revenues 9-14'!D5</f>
        <v>97394</v>
      </c>
      <c r="C5" s="585">
        <v>0</v>
      </c>
      <c r="D5" s="1770">
        <f t="shared" ref="D5:D18" si="0">B5-C5</f>
        <v>97394</v>
      </c>
      <c r="E5" s="585">
        <v>102282</v>
      </c>
      <c r="F5" s="1770">
        <f>E5-C5</f>
        <v>102282</v>
      </c>
    </row>
    <row r="6" spans="1:6" ht="13.7" customHeight="1" x14ac:dyDescent="0.2">
      <c r="A6" s="716" t="s">
        <v>431</v>
      </c>
      <c r="B6" s="1767">
        <f>'Revenues 9-14'!E5</f>
        <v>119680</v>
      </c>
      <c r="C6" s="585">
        <v>0</v>
      </c>
      <c r="D6" s="1770">
        <f t="shared" si="0"/>
        <v>119680</v>
      </c>
      <c r="E6" s="585">
        <v>120097</v>
      </c>
      <c r="F6" s="1770">
        <f t="shared" ref="F6:F18" si="1">E6-C6</f>
        <v>120097</v>
      </c>
    </row>
    <row r="7" spans="1:6" ht="13.7" customHeight="1" x14ac:dyDescent="0.2">
      <c r="A7" s="716" t="s">
        <v>157</v>
      </c>
      <c r="B7" s="1767">
        <f>'Revenues 9-14'!F5</f>
        <v>46749</v>
      </c>
      <c r="C7" s="585">
        <v>0</v>
      </c>
      <c r="D7" s="1770">
        <f t="shared" si="0"/>
        <v>46749</v>
      </c>
      <c r="E7" s="585">
        <v>49088</v>
      </c>
      <c r="F7" s="1770">
        <f t="shared" si="1"/>
        <v>49088</v>
      </c>
    </row>
    <row r="8" spans="1:6" ht="13.7" customHeight="1" x14ac:dyDescent="0.2">
      <c r="A8" s="716" t="s">
        <v>1241</v>
      </c>
      <c r="B8" s="1767">
        <f>'Revenues 9-14'!G5</f>
        <v>54845</v>
      </c>
      <c r="C8" s="585">
        <v>0</v>
      </c>
      <c r="D8" s="1770">
        <f t="shared" si="0"/>
        <v>54845</v>
      </c>
      <c r="E8" s="585">
        <v>59996</v>
      </c>
      <c r="F8" s="1770">
        <f t="shared" si="1"/>
        <v>59996</v>
      </c>
    </row>
    <row r="9" spans="1:6" ht="13.7" customHeight="1" x14ac:dyDescent="0.2">
      <c r="A9" s="716" t="s">
        <v>428</v>
      </c>
      <c r="B9" s="1767">
        <f>'Revenues 9-14'!H5</f>
        <v>0</v>
      </c>
      <c r="C9" s="585">
        <v>0</v>
      </c>
      <c r="D9" s="1770">
        <f t="shared" si="0"/>
        <v>0</v>
      </c>
      <c r="E9" s="585">
        <v>0</v>
      </c>
      <c r="F9" s="1770">
        <f t="shared" si="1"/>
        <v>0</v>
      </c>
    </row>
    <row r="10" spans="1:6" ht="13.7" customHeight="1" x14ac:dyDescent="0.2">
      <c r="A10" s="716" t="s">
        <v>427</v>
      </c>
      <c r="B10" s="1767">
        <f>'Revenues 9-14'!I5</f>
        <v>9739</v>
      </c>
      <c r="C10" s="585">
        <v>0</v>
      </c>
      <c r="D10" s="1770">
        <f t="shared" si="0"/>
        <v>9739</v>
      </c>
      <c r="E10" s="585">
        <v>10224</v>
      </c>
      <c r="F10" s="1770">
        <f t="shared" si="1"/>
        <v>10224</v>
      </c>
    </row>
    <row r="11" spans="1:6" x14ac:dyDescent="0.2">
      <c r="A11" s="716" t="s">
        <v>429</v>
      </c>
      <c r="B11" s="1767">
        <f>'Revenues 9-14'!J5</f>
        <v>79774</v>
      </c>
      <c r="C11" s="585">
        <v>0</v>
      </c>
      <c r="D11" s="1770">
        <f t="shared" si="0"/>
        <v>79774</v>
      </c>
      <c r="E11" s="585">
        <v>69992</v>
      </c>
      <c r="F11" s="1770">
        <f t="shared" si="1"/>
        <v>69992</v>
      </c>
    </row>
    <row r="12" spans="1:6" ht="13.7" customHeight="1" x14ac:dyDescent="0.2">
      <c r="A12" s="716" t="s">
        <v>159</v>
      </c>
      <c r="B12" s="1767">
        <f>'Revenues 9-14'!K5</f>
        <v>9740</v>
      </c>
      <c r="C12" s="585">
        <v>0</v>
      </c>
      <c r="D12" s="1770">
        <f t="shared" si="0"/>
        <v>9740</v>
      </c>
      <c r="E12" s="585">
        <v>10224</v>
      </c>
      <c r="F12" s="1770">
        <f t="shared" si="1"/>
        <v>10224</v>
      </c>
    </row>
    <row r="13" spans="1:6" ht="13.7" customHeight="1" x14ac:dyDescent="0.2">
      <c r="A13" s="716" t="s">
        <v>993</v>
      </c>
      <c r="B13" s="1767">
        <f>SUM('Revenues 9-14'!C6:D6)</f>
        <v>9894</v>
      </c>
      <c r="C13" s="585">
        <v>0</v>
      </c>
      <c r="D13" s="1770">
        <f t="shared" si="0"/>
        <v>9894</v>
      </c>
      <c r="E13" s="585">
        <v>10224</v>
      </c>
      <c r="F13" s="1770">
        <f t="shared" si="1"/>
        <v>10224</v>
      </c>
    </row>
    <row r="14" spans="1:6" ht="13.7" customHeight="1" x14ac:dyDescent="0.2">
      <c r="A14" s="716" t="s">
        <v>430</v>
      </c>
      <c r="B14" s="1767">
        <f>SUM('Revenues 9-14'!C7:D7,'Revenues 9-14'!F7:H7)</f>
        <v>7791</v>
      </c>
      <c r="C14" s="585">
        <v>0</v>
      </c>
      <c r="D14" s="1770">
        <f t="shared" si="0"/>
        <v>7791</v>
      </c>
      <c r="E14" s="585">
        <v>8192</v>
      </c>
      <c r="F14" s="1770">
        <f t="shared" si="1"/>
        <v>8192</v>
      </c>
    </row>
    <row r="15" spans="1:6" ht="13.7" customHeight="1" x14ac:dyDescent="0.2">
      <c r="A15" s="716" t="s">
        <v>1220</v>
      </c>
      <c r="B15" s="1767">
        <f>'Revenues 9-14'!E9</f>
        <v>0</v>
      </c>
      <c r="C15" s="585">
        <v>0</v>
      </c>
      <c r="D15" s="1770">
        <f t="shared" si="0"/>
        <v>0</v>
      </c>
      <c r="E15" s="585">
        <v>0</v>
      </c>
      <c r="F15" s="1770">
        <f t="shared" si="1"/>
        <v>0</v>
      </c>
    </row>
    <row r="16" spans="1:6" ht="13.7" customHeight="1" x14ac:dyDescent="0.2">
      <c r="A16" s="716" t="s">
        <v>1221</v>
      </c>
      <c r="B16" s="1767">
        <f>'Revenues 9-14'!G8</f>
        <v>41874</v>
      </c>
      <c r="C16" s="585">
        <v>0</v>
      </c>
      <c r="D16" s="1770">
        <f t="shared" si="0"/>
        <v>41874</v>
      </c>
      <c r="E16" s="585">
        <v>48010</v>
      </c>
      <c r="F16" s="1770">
        <f t="shared" si="1"/>
        <v>48010</v>
      </c>
    </row>
    <row r="17" spans="1:6" ht="13.7" customHeight="1" x14ac:dyDescent="0.2">
      <c r="A17" s="716" t="s">
        <v>1222</v>
      </c>
      <c r="B17" s="1767">
        <f>'Revenues 9-14'!C10</f>
        <v>0</v>
      </c>
      <c r="C17" s="585">
        <v>0</v>
      </c>
      <c r="D17" s="1770">
        <f t="shared" si="0"/>
        <v>0</v>
      </c>
      <c r="E17" s="585">
        <v>0</v>
      </c>
      <c r="F17" s="1770">
        <f t="shared" si="1"/>
        <v>0</v>
      </c>
    </row>
    <row r="18" spans="1:6" ht="13.7" customHeight="1" x14ac:dyDescent="0.2">
      <c r="A18" s="716" t="s">
        <v>786</v>
      </c>
      <c r="B18" s="1767">
        <f>SUM('Revenues 9-14'!C11:K11)</f>
        <v>0</v>
      </c>
      <c r="C18" s="585">
        <v>0</v>
      </c>
      <c r="D18" s="1770">
        <f t="shared" si="0"/>
        <v>0</v>
      </c>
      <c r="E18" s="585">
        <v>0</v>
      </c>
      <c r="F18" s="1770">
        <f t="shared" si="1"/>
        <v>0</v>
      </c>
    </row>
    <row r="19" spans="1:6" ht="13.7" customHeight="1" thickBot="1" x14ac:dyDescent="0.25">
      <c r="A19" s="1771" t="s">
        <v>1223</v>
      </c>
      <c r="B19" s="1768">
        <f>SUM(B4:B18)</f>
        <v>867031</v>
      </c>
      <c r="C19" s="1768">
        <f>SUM(C4:C18)</f>
        <v>0</v>
      </c>
      <c r="D19" s="1768">
        <f>SUM(D4:D18)</f>
        <v>867031</v>
      </c>
      <c r="E19" s="1768">
        <f>SUM(E4:E18)</f>
        <v>897479</v>
      </c>
      <c r="F19" s="1768">
        <f>SUM(F4:F18)</f>
        <v>897479</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H56" sqref="H5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2"/>
    </row>
    <row r="2" spans="1:7" ht="33.75" x14ac:dyDescent="0.2">
      <c r="A2" s="2224" t="s">
        <v>1904</v>
      </c>
      <c r="B2" s="2225"/>
      <c r="C2" s="1901" t="s">
        <v>2037</v>
      </c>
      <c r="D2" s="724" t="s">
        <v>2044</v>
      </c>
      <c r="E2" s="724" t="s">
        <v>2045</v>
      </c>
      <c r="F2" s="1901" t="s">
        <v>2038</v>
      </c>
    </row>
    <row r="3" spans="1:7" ht="15.75" customHeight="1" x14ac:dyDescent="0.2">
      <c r="A3" s="2226" t="s">
        <v>1176</v>
      </c>
      <c r="B3" s="2227"/>
      <c r="C3" s="2220"/>
      <c r="D3" s="2221"/>
      <c r="E3" s="2221"/>
      <c r="F3" s="2222"/>
    </row>
    <row r="4" spans="1:7" ht="12.75" customHeight="1" thickBot="1" x14ac:dyDescent="0.25">
      <c r="A4" s="2214" t="s">
        <v>651</v>
      </c>
      <c r="B4" s="2215"/>
      <c r="C4" s="581">
        <v>0</v>
      </c>
      <c r="D4" s="581">
        <v>0</v>
      </c>
      <c r="E4" s="581">
        <v>0</v>
      </c>
      <c r="F4" s="1772">
        <f>SUM(C4+D4)-E4</f>
        <v>0</v>
      </c>
    </row>
    <row r="5" spans="1:7" ht="15.75" customHeight="1" thickTop="1" x14ac:dyDescent="0.2">
      <c r="A5" s="2218" t="s">
        <v>1172</v>
      </c>
      <c r="B5" s="2213"/>
      <c r="C5" s="2207"/>
      <c r="D5" s="2208"/>
      <c r="E5" s="2208"/>
      <c r="F5" s="2209"/>
    </row>
    <row r="6" spans="1:7" ht="12.75" customHeight="1" thickBot="1" x14ac:dyDescent="0.25">
      <c r="A6" s="725" t="s">
        <v>66</v>
      </c>
      <c r="B6" s="726"/>
      <c r="C6" s="727">
        <v>0</v>
      </c>
      <c r="D6" s="585">
        <v>0</v>
      </c>
      <c r="E6" s="727">
        <v>0</v>
      </c>
      <c r="F6" s="1772">
        <f t="shared" ref="F6:F14" si="0">SUM(C6+D6)-E6</f>
        <v>0</v>
      </c>
    </row>
    <row r="7" spans="1:7" ht="12.75" customHeight="1" thickTop="1" thickBot="1" x14ac:dyDescent="0.25">
      <c r="A7" s="725" t="s">
        <v>6</v>
      </c>
      <c r="B7" s="726"/>
      <c r="C7" s="727">
        <v>0</v>
      </c>
      <c r="D7" s="585">
        <v>0</v>
      </c>
      <c r="E7" s="727">
        <v>0</v>
      </c>
      <c r="F7" s="1772">
        <f t="shared" si="0"/>
        <v>0</v>
      </c>
    </row>
    <row r="8" spans="1:7" ht="12.75" customHeight="1" thickTop="1" thickBot="1" x14ac:dyDescent="0.25">
      <c r="A8" s="725" t="s">
        <v>529</v>
      </c>
      <c r="B8" s="726"/>
      <c r="C8" s="727">
        <v>0</v>
      </c>
      <c r="D8" s="585">
        <v>0</v>
      </c>
      <c r="E8" s="727">
        <v>0</v>
      </c>
      <c r="F8" s="1772">
        <f t="shared" si="0"/>
        <v>0</v>
      </c>
    </row>
    <row r="9" spans="1:7" ht="12.75" customHeight="1" thickTop="1" thickBot="1" x14ac:dyDescent="0.25">
      <c r="A9" s="725" t="s">
        <v>530</v>
      </c>
      <c r="B9" s="726"/>
      <c r="C9" s="727">
        <v>0</v>
      </c>
      <c r="D9" s="585">
        <v>0</v>
      </c>
      <c r="E9" s="727">
        <v>0</v>
      </c>
      <c r="F9" s="1772">
        <f t="shared" si="0"/>
        <v>0</v>
      </c>
    </row>
    <row r="10" spans="1:7" ht="12.75" customHeight="1" thickTop="1" thickBot="1" x14ac:dyDescent="0.25">
      <c r="A10" s="725" t="s">
        <v>531</v>
      </c>
      <c r="B10" s="726"/>
      <c r="C10" s="727">
        <v>0</v>
      </c>
      <c r="D10" s="585">
        <v>0</v>
      </c>
      <c r="E10" s="727">
        <v>0</v>
      </c>
      <c r="F10" s="1772">
        <f t="shared" si="0"/>
        <v>0</v>
      </c>
    </row>
    <row r="11" spans="1:7" ht="12.75" customHeight="1" thickTop="1" thickBot="1" x14ac:dyDescent="0.25">
      <c r="A11" s="725" t="s">
        <v>359</v>
      </c>
      <c r="B11" s="726"/>
      <c r="C11" s="727">
        <v>0</v>
      </c>
      <c r="D11" s="585">
        <v>0</v>
      </c>
      <c r="E11" s="727">
        <v>0</v>
      </c>
      <c r="F11" s="1772">
        <f t="shared" si="0"/>
        <v>0</v>
      </c>
    </row>
    <row r="12" spans="1:7" ht="12.75" customHeight="1" thickTop="1" thickBot="1" x14ac:dyDescent="0.25">
      <c r="A12" s="725" t="s">
        <v>1219</v>
      </c>
      <c r="B12" s="726"/>
      <c r="C12" s="727">
        <v>0</v>
      </c>
      <c r="D12" s="585">
        <v>0</v>
      </c>
      <c r="E12" s="727">
        <v>0</v>
      </c>
      <c r="F12" s="1772">
        <f t="shared" si="0"/>
        <v>0</v>
      </c>
    </row>
    <row r="13" spans="1:7" ht="12.75" customHeight="1" thickTop="1" thickBot="1" x14ac:dyDescent="0.25">
      <c r="A13" s="725" t="s">
        <v>406</v>
      </c>
      <c r="B13" s="726"/>
      <c r="C13" s="727">
        <v>0</v>
      </c>
      <c r="D13" s="585">
        <v>0</v>
      </c>
      <c r="E13" s="727">
        <v>0</v>
      </c>
      <c r="F13" s="1772">
        <f t="shared" si="0"/>
        <v>0</v>
      </c>
    </row>
    <row r="14" spans="1:7" ht="12.75" customHeight="1" thickTop="1" thickBot="1" x14ac:dyDescent="0.25">
      <c r="A14" s="725" t="s">
        <v>468</v>
      </c>
      <c r="B14" s="726"/>
      <c r="C14" s="727">
        <v>0</v>
      </c>
      <c r="D14" s="585">
        <v>0</v>
      </c>
      <c r="E14" s="727">
        <v>0</v>
      </c>
      <c r="F14" s="1772">
        <f t="shared" si="0"/>
        <v>0</v>
      </c>
    </row>
    <row r="15" spans="1:7" ht="14.25" thickTop="1" thickBot="1" x14ac:dyDescent="0.25">
      <c r="A15" s="2210" t="s">
        <v>652</v>
      </c>
      <c r="B15" s="2211"/>
      <c r="C15" s="1772">
        <f>SUM(C6:C14)</f>
        <v>0</v>
      </c>
      <c r="D15" s="1772">
        <f>SUM(D6:D14)</f>
        <v>0</v>
      </c>
      <c r="E15" s="1772">
        <f>SUM(E6:E14)</f>
        <v>0</v>
      </c>
      <c r="F15" s="1772">
        <f>SUM(F6:F14)</f>
        <v>0</v>
      </c>
      <c r="G15" s="552"/>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7">
        <v>0</v>
      </c>
      <c r="D17" s="585">
        <v>0</v>
      </c>
      <c r="E17" s="727">
        <v>0</v>
      </c>
      <c r="F17" s="1772">
        <f>SUM(C17+D17)-E17</f>
        <v>0</v>
      </c>
    </row>
    <row r="18" spans="1:11" ht="12.75" customHeight="1" thickTop="1" thickBot="1" x14ac:dyDescent="0.25">
      <c r="A18" s="2205" t="s">
        <v>6</v>
      </c>
      <c r="B18" s="2206"/>
      <c r="C18" s="727">
        <v>0</v>
      </c>
      <c r="D18" s="585">
        <v>0</v>
      </c>
      <c r="E18" s="727">
        <v>0</v>
      </c>
      <c r="F18" s="1772">
        <f>SUM(C18+D18)-E18</f>
        <v>0</v>
      </c>
    </row>
    <row r="19" spans="1:11" ht="12.75" customHeight="1" thickTop="1" thickBot="1" x14ac:dyDescent="0.25">
      <c r="A19" s="2205" t="s">
        <v>406</v>
      </c>
      <c r="B19" s="2206"/>
      <c r="C19" s="727">
        <v>0</v>
      </c>
      <c r="D19" s="585">
        <v>0</v>
      </c>
      <c r="E19" s="727">
        <v>0</v>
      </c>
      <c r="F19" s="1772">
        <f>SUM(C19+D19)-E19</f>
        <v>0</v>
      </c>
    </row>
    <row r="20" spans="1:11" ht="12.75" customHeight="1" thickTop="1" thickBot="1" x14ac:dyDescent="0.25">
      <c r="A20" s="2205" t="s">
        <v>468</v>
      </c>
      <c r="B20" s="2206"/>
      <c r="C20" s="727">
        <v>0</v>
      </c>
      <c r="D20" s="585">
        <v>0</v>
      </c>
      <c r="E20" s="727">
        <v>0</v>
      </c>
      <c r="F20" s="1772">
        <f>SUM(C20+D20)-E20</f>
        <v>0</v>
      </c>
    </row>
    <row r="21" spans="1:11" ht="14.25" thickTop="1" thickBot="1" x14ac:dyDescent="0.25">
      <c r="A21" s="2210" t="s">
        <v>653</v>
      </c>
      <c r="B21" s="2211"/>
      <c r="C21" s="1772">
        <f>SUM(C17:C20)</f>
        <v>0</v>
      </c>
      <c r="D21" s="1772">
        <f>SUM(D17:D20)</f>
        <v>0</v>
      </c>
      <c r="E21" s="1772">
        <f>SUM(E17:E20)</f>
        <v>0</v>
      </c>
      <c r="F21" s="1772">
        <f>SUM(F17:F20)</f>
        <v>0</v>
      </c>
      <c r="G21" s="552"/>
    </row>
    <row r="22" spans="1:11" ht="15.75" customHeight="1" thickTop="1" x14ac:dyDescent="0.2">
      <c r="A22" s="2212" t="s">
        <v>1174</v>
      </c>
      <c r="B22" s="2213"/>
      <c r="C22" s="2207"/>
      <c r="D22" s="2208"/>
      <c r="E22" s="2208"/>
      <c r="F22" s="2209"/>
    </row>
    <row r="23" spans="1:11" ht="13.5" thickBot="1" x14ac:dyDescent="0.25">
      <c r="A23" s="2214" t="s">
        <v>654</v>
      </c>
      <c r="B23" s="2215"/>
      <c r="C23" s="581">
        <v>0</v>
      </c>
      <c r="D23" s="581">
        <v>0</v>
      </c>
      <c r="E23" s="581">
        <v>0</v>
      </c>
      <c r="F23" s="1772">
        <f>SUM(C23+D23)-E23</f>
        <v>0</v>
      </c>
      <c r="G23" s="552"/>
    </row>
    <row r="24" spans="1:11" ht="15.75" customHeight="1" thickTop="1" x14ac:dyDescent="0.2">
      <c r="A24" s="2212" t="s">
        <v>1175</v>
      </c>
      <c r="B24" s="2213"/>
      <c r="C24" s="2207"/>
      <c r="D24" s="2208"/>
      <c r="E24" s="2208"/>
      <c r="F24" s="2209"/>
    </row>
    <row r="25" spans="1:11" ht="13.5" thickBot="1" x14ac:dyDescent="0.25">
      <c r="A25" s="2214" t="s">
        <v>655</v>
      </c>
      <c r="B25" s="2215"/>
      <c r="C25" s="581">
        <v>0</v>
      </c>
      <c r="D25" s="581">
        <v>0</v>
      </c>
      <c r="E25" s="581">
        <v>0</v>
      </c>
      <c r="F25" s="1772">
        <f>SUM(C25+D25)-E25</f>
        <v>0</v>
      </c>
      <c r="G25" s="552"/>
    </row>
    <row r="26" spans="1:11" ht="15.75" customHeight="1" thickTop="1" x14ac:dyDescent="0.2">
      <c r="A26" s="2218" t="s">
        <v>678</v>
      </c>
      <c r="B26" s="2213"/>
      <c r="C26" s="728"/>
      <c r="D26" s="728"/>
      <c r="E26" s="728"/>
      <c r="F26" s="729"/>
    </row>
    <row r="27" spans="1:11" ht="13.5" thickBot="1" x14ac:dyDescent="0.25">
      <c r="A27" s="2210" t="s">
        <v>1130</v>
      </c>
      <c r="B27" s="2211"/>
      <c r="C27" s="585">
        <v>0</v>
      </c>
      <c r="D27" s="585">
        <v>0</v>
      </c>
      <c r="E27" s="585">
        <v>0</v>
      </c>
      <c r="F27" s="1772">
        <f>SUM(C27+D27)-E27</f>
        <v>0</v>
      </c>
      <c r="G27" s="552"/>
    </row>
    <row r="28" spans="1:11" ht="7.5" customHeight="1" thickTop="1" x14ac:dyDescent="0.2">
      <c r="A28" s="594"/>
    </row>
    <row r="29" spans="1:11" ht="23.25" customHeight="1" x14ac:dyDescent="0.2">
      <c r="A29" s="2216" t="s">
        <v>603</v>
      </c>
      <c r="B29" s="2217"/>
      <c r="C29" s="730"/>
      <c r="D29" s="730"/>
      <c r="E29" s="730"/>
      <c r="F29" s="730"/>
      <c r="G29" s="730"/>
      <c r="H29" s="730"/>
      <c r="I29" s="730"/>
      <c r="J29" s="730"/>
    </row>
    <row r="30" spans="1:11" ht="33.75" x14ac:dyDescent="0.2">
      <c r="A30" s="1549" t="s">
        <v>1131</v>
      </c>
      <c r="B30" s="731" t="s">
        <v>1186</v>
      </c>
      <c r="C30" s="1902" t="s">
        <v>604</v>
      </c>
      <c r="D30" s="1902" t="s">
        <v>1772</v>
      </c>
      <c r="E30" s="1902" t="s">
        <v>2039</v>
      </c>
      <c r="F30" s="1902" t="s">
        <v>2040</v>
      </c>
      <c r="G30" s="1902" t="s">
        <v>2043</v>
      </c>
      <c r="H30" s="1902" t="s">
        <v>2041</v>
      </c>
      <c r="I30" s="1902" t="s">
        <v>2042</v>
      </c>
      <c r="J30" s="1903" t="s">
        <v>2</v>
      </c>
      <c r="K30" s="732"/>
    </row>
    <row r="31" spans="1:11" ht="12" customHeight="1" x14ac:dyDescent="0.2">
      <c r="A31" s="733" t="s">
        <v>2098</v>
      </c>
      <c r="B31" s="734">
        <v>41394</v>
      </c>
      <c r="C31" s="735">
        <v>285200</v>
      </c>
      <c r="D31" s="736">
        <v>1</v>
      </c>
      <c r="E31" s="735">
        <v>123000</v>
      </c>
      <c r="F31" s="735">
        <v>0</v>
      </c>
      <c r="G31" s="735">
        <v>0</v>
      </c>
      <c r="H31" s="735">
        <v>60600</v>
      </c>
      <c r="I31" s="1773">
        <f t="shared" ref="I31:I36" si="1">((E31+F31)-H31)+G31</f>
        <v>62400</v>
      </c>
      <c r="J31" s="735">
        <v>46145</v>
      </c>
      <c r="K31" s="737"/>
    </row>
    <row r="32" spans="1:11" ht="12" customHeight="1" x14ac:dyDescent="0.2">
      <c r="A32" s="733" t="s">
        <v>2099</v>
      </c>
      <c r="B32" s="734">
        <v>41394</v>
      </c>
      <c r="C32" s="735">
        <v>750000</v>
      </c>
      <c r="D32" s="736">
        <v>2</v>
      </c>
      <c r="E32" s="735">
        <v>728700</v>
      </c>
      <c r="F32" s="735">
        <v>0</v>
      </c>
      <c r="G32" s="735">
        <v>0</v>
      </c>
      <c r="H32" s="735">
        <v>10500</v>
      </c>
      <c r="I32" s="1773">
        <f t="shared" si="1"/>
        <v>718200</v>
      </c>
      <c r="J32" s="735">
        <v>718200</v>
      </c>
      <c r="K32" s="737"/>
    </row>
    <row r="33" spans="1:11" ht="12" customHeight="1" x14ac:dyDescent="0.2">
      <c r="A33" s="733" t="s">
        <v>2101</v>
      </c>
      <c r="B33" s="734">
        <v>42356</v>
      </c>
      <c r="C33" s="735">
        <v>86200</v>
      </c>
      <c r="D33" s="736">
        <v>3</v>
      </c>
      <c r="E33" s="735">
        <v>86200</v>
      </c>
      <c r="F33" s="735">
        <v>0</v>
      </c>
      <c r="G33" s="735">
        <v>0</v>
      </c>
      <c r="H33" s="735"/>
      <c r="I33" s="1773">
        <f t="shared" si="1"/>
        <v>86200</v>
      </c>
      <c r="J33" s="735">
        <v>86200</v>
      </c>
      <c r="K33" s="737"/>
    </row>
    <row r="34" spans="1:11" ht="12" customHeight="1" x14ac:dyDescent="0.2">
      <c r="A34" s="733" t="s">
        <v>2100</v>
      </c>
      <c r="B34" s="734">
        <v>42356</v>
      </c>
      <c r="C34" s="735">
        <v>178000</v>
      </c>
      <c r="D34" s="736">
        <v>3</v>
      </c>
      <c r="E34" s="735">
        <v>140200</v>
      </c>
      <c r="F34" s="735">
        <v>0</v>
      </c>
      <c r="G34" s="735">
        <v>0</v>
      </c>
      <c r="H34" s="735">
        <v>51500</v>
      </c>
      <c r="I34" s="1773">
        <f t="shared" si="1"/>
        <v>88700</v>
      </c>
      <c r="J34" s="735">
        <v>88700</v>
      </c>
      <c r="K34" s="738"/>
    </row>
    <row r="35" spans="1:11" ht="12" customHeight="1" x14ac:dyDescent="0.2">
      <c r="A35" s="733" t="s">
        <v>2102</v>
      </c>
      <c r="B35" s="734">
        <v>42767</v>
      </c>
      <c r="C35" s="739">
        <v>490900</v>
      </c>
      <c r="D35" s="736">
        <v>4</v>
      </c>
      <c r="E35" s="739">
        <v>490900</v>
      </c>
      <c r="F35" s="739">
        <v>0</v>
      </c>
      <c r="G35" s="739">
        <v>0</v>
      </c>
      <c r="H35" s="739">
        <v>32800</v>
      </c>
      <c r="I35" s="1773">
        <f t="shared" si="1"/>
        <v>458100</v>
      </c>
      <c r="J35" s="739">
        <v>458100</v>
      </c>
      <c r="K35" s="738"/>
    </row>
    <row r="36" spans="1:11" ht="12" customHeight="1" x14ac:dyDescent="0.2">
      <c r="A36" s="733"/>
      <c r="B36" s="734"/>
      <c r="C36" s="735"/>
      <c r="D36" s="736"/>
      <c r="E36" s="735"/>
      <c r="F36" s="735"/>
      <c r="G36" s="735"/>
      <c r="H36" s="735"/>
      <c r="I36" s="1773">
        <f t="shared" si="1"/>
        <v>0</v>
      </c>
      <c r="J36" s="735"/>
      <c r="K36" s="740"/>
    </row>
    <row r="37" spans="1:11" ht="12" customHeight="1" x14ac:dyDescent="0.2">
      <c r="A37" s="733"/>
      <c r="B37" s="734"/>
      <c r="C37" s="467"/>
      <c r="D37" s="741"/>
      <c r="E37" s="467"/>
      <c r="F37" s="467"/>
      <c r="G37" s="467"/>
      <c r="H37" s="467"/>
      <c r="I37" s="1773">
        <f t="shared" ref="I37:I48" si="2">((E37+F37)-H37)+G37</f>
        <v>0</v>
      </c>
      <c r="J37" s="467"/>
      <c r="K37" s="738"/>
    </row>
    <row r="38" spans="1:11" ht="12" customHeight="1" x14ac:dyDescent="0.2">
      <c r="A38" s="733"/>
      <c r="B38" s="734"/>
      <c r="C38" s="735"/>
      <c r="D38" s="742"/>
      <c r="E38" s="743"/>
      <c r="F38" s="743"/>
      <c r="G38" s="743"/>
      <c r="H38" s="743"/>
      <c r="I38" s="1773">
        <f t="shared" si="2"/>
        <v>0</v>
      </c>
      <c r="J38" s="744" t="s">
        <v>282</v>
      </c>
      <c r="K38" s="745"/>
    </row>
    <row r="39" spans="1:11" ht="12" customHeight="1" x14ac:dyDescent="0.2">
      <c r="A39" s="733"/>
      <c r="B39" s="734"/>
      <c r="C39" s="735"/>
      <c r="D39" s="742"/>
      <c r="E39" s="743"/>
      <c r="F39" s="743"/>
      <c r="G39" s="743"/>
      <c r="H39" s="743"/>
      <c r="I39" s="1773">
        <f t="shared" si="2"/>
        <v>0</v>
      </c>
      <c r="J39" s="744"/>
      <c r="K39" s="745"/>
    </row>
    <row r="40" spans="1:11" ht="12" customHeight="1" x14ac:dyDescent="0.2">
      <c r="A40" s="733"/>
      <c r="B40" s="734"/>
      <c r="C40" s="735"/>
      <c r="D40" s="742"/>
      <c r="E40" s="743"/>
      <c r="F40" s="743"/>
      <c r="G40" s="743"/>
      <c r="H40" s="743"/>
      <c r="I40" s="1773">
        <f t="shared" si="2"/>
        <v>0</v>
      </c>
      <c r="J40" s="744"/>
      <c r="K40" s="745"/>
    </row>
    <row r="41" spans="1:11" ht="12" customHeight="1" x14ac:dyDescent="0.2">
      <c r="A41" s="733"/>
      <c r="B41" s="734"/>
      <c r="C41" s="735"/>
      <c r="D41" s="742"/>
      <c r="E41" s="743"/>
      <c r="F41" s="743"/>
      <c r="G41" s="743"/>
      <c r="H41" s="743"/>
      <c r="I41" s="1773">
        <f t="shared" si="2"/>
        <v>0</v>
      </c>
      <c r="J41" s="744"/>
      <c r="K41" s="745"/>
    </row>
    <row r="42" spans="1:11" ht="12" customHeight="1" x14ac:dyDescent="0.2">
      <c r="A42" s="733"/>
      <c r="B42" s="734"/>
      <c r="C42" s="735"/>
      <c r="D42" s="742"/>
      <c r="E42" s="743"/>
      <c r="F42" s="743"/>
      <c r="G42" s="743"/>
      <c r="H42" s="743"/>
      <c r="I42" s="1773">
        <f t="shared" si="2"/>
        <v>0</v>
      </c>
      <c r="J42" s="744"/>
      <c r="K42" s="745"/>
    </row>
    <row r="43" spans="1:11" ht="12" customHeight="1" x14ac:dyDescent="0.2">
      <c r="A43" s="733"/>
      <c r="B43" s="734"/>
      <c r="C43" s="735"/>
      <c r="D43" s="742"/>
      <c r="E43" s="743"/>
      <c r="F43" s="743"/>
      <c r="G43" s="743"/>
      <c r="H43" s="743"/>
      <c r="I43" s="1773">
        <f t="shared" si="2"/>
        <v>0</v>
      </c>
      <c r="J43" s="744"/>
      <c r="K43" s="745"/>
    </row>
    <row r="44" spans="1:11" ht="12" customHeight="1" x14ac:dyDescent="0.2">
      <c r="A44" s="733"/>
      <c r="B44" s="734"/>
      <c r="C44" s="735"/>
      <c r="D44" s="736"/>
      <c r="E44" s="735"/>
      <c r="F44" s="735"/>
      <c r="G44" s="735"/>
      <c r="H44" s="735"/>
      <c r="I44" s="1773">
        <f t="shared" si="2"/>
        <v>0</v>
      </c>
      <c r="J44" s="735"/>
      <c r="K44" s="738"/>
    </row>
    <row r="45" spans="1:11" ht="12" customHeight="1" x14ac:dyDescent="0.2">
      <c r="A45" s="733"/>
      <c r="B45" s="734"/>
      <c r="C45" s="735"/>
      <c r="D45" s="736"/>
      <c r="E45" s="735"/>
      <c r="F45" s="735"/>
      <c r="G45" s="735"/>
      <c r="H45" s="735"/>
      <c r="I45" s="1773">
        <f t="shared" si="2"/>
        <v>0</v>
      </c>
      <c r="J45" s="735"/>
      <c r="K45" s="738"/>
    </row>
    <row r="46" spans="1:11" ht="12" customHeight="1" x14ac:dyDescent="0.2">
      <c r="A46" s="733"/>
      <c r="B46" s="734"/>
      <c r="C46" s="735"/>
      <c r="D46" s="736"/>
      <c r="E46" s="735"/>
      <c r="F46" s="735"/>
      <c r="G46" s="735"/>
      <c r="H46" s="735"/>
      <c r="I46" s="1773">
        <f t="shared" si="2"/>
        <v>0</v>
      </c>
      <c r="J46" s="735"/>
      <c r="K46" s="738"/>
    </row>
    <row r="47" spans="1:11" ht="12" customHeight="1" x14ac:dyDescent="0.2">
      <c r="A47" s="733"/>
      <c r="B47" s="734"/>
      <c r="C47" s="739"/>
      <c r="D47" s="736"/>
      <c r="E47" s="739"/>
      <c r="F47" s="739"/>
      <c r="G47" s="739"/>
      <c r="H47" s="739"/>
      <c r="I47" s="1773">
        <f t="shared" si="2"/>
        <v>0</v>
      </c>
      <c r="J47" s="739"/>
      <c r="K47" s="738"/>
    </row>
    <row r="48" spans="1:11" ht="12" customHeight="1" x14ac:dyDescent="0.2">
      <c r="A48" s="733"/>
      <c r="B48" s="734"/>
      <c r="C48" s="735"/>
      <c r="D48" s="736"/>
      <c r="E48" s="735"/>
      <c r="F48" s="735"/>
      <c r="G48" s="735"/>
      <c r="H48" s="735"/>
      <c r="I48" s="1773">
        <f t="shared" si="2"/>
        <v>0</v>
      </c>
      <c r="J48" s="735"/>
      <c r="K48" s="738"/>
    </row>
    <row r="49" spans="1:11" ht="12" customHeight="1" x14ac:dyDescent="0.2">
      <c r="A49" s="733"/>
      <c r="B49" s="734"/>
      <c r="C49" s="1773">
        <f>SUM(C31:C48)</f>
        <v>1790300</v>
      </c>
      <c r="D49" s="746"/>
      <c r="E49" s="1773">
        <f>SUM(E31:E48)</f>
        <v>1569000</v>
      </c>
      <c r="F49" s="1773">
        <f t="shared" ref="F49:J49" si="3">SUM(F31:F48)</f>
        <v>0</v>
      </c>
      <c r="G49" s="1773">
        <f t="shared" si="3"/>
        <v>0</v>
      </c>
      <c r="H49" s="1773">
        <f t="shared" si="3"/>
        <v>155400</v>
      </c>
      <c r="I49" s="1773">
        <f t="shared" si="3"/>
        <v>1413600</v>
      </c>
      <c r="J49" s="1773">
        <f t="shared" si="3"/>
        <v>1397345</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199" t="s">
        <v>605</v>
      </c>
      <c r="C52" s="2200"/>
      <c r="D52" s="2200"/>
      <c r="E52" s="750" t="s">
        <v>900</v>
      </c>
      <c r="F52" s="2201"/>
      <c r="G52" s="2202"/>
      <c r="H52" s="737"/>
      <c r="I52" s="737"/>
      <c r="J52" s="747"/>
    </row>
    <row r="53" spans="1:11" ht="11.25" customHeight="1" x14ac:dyDescent="0.2">
      <c r="A53" s="751" t="s">
        <v>969</v>
      </c>
      <c r="B53" s="752" t="s">
        <v>1008</v>
      </c>
      <c r="C53" s="747"/>
      <c r="D53" s="738"/>
      <c r="E53" s="750" t="s">
        <v>518</v>
      </c>
      <c r="F53" s="2203"/>
      <c r="G53" s="2204"/>
      <c r="H53" s="737"/>
      <c r="I53" s="737"/>
      <c r="J53" s="747"/>
    </row>
    <row r="54" spans="1:11" ht="11.25" customHeight="1" x14ac:dyDescent="0.2">
      <c r="A54" s="753" t="s">
        <v>970</v>
      </c>
      <c r="B54" s="748" t="s">
        <v>1009</v>
      </c>
      <c r="C54" s="747"/>
      <c r="D54" s="738"/>
      <c r="E54" s="750" t="s">
        <v>519</v>
      </c>
      <c r="F54" s="2203"/>
      <c r="G54" s="220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2" sqref="J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0"/>
      <c r="I1" s="761"/>
      <c r="J1" s="433"/>
    </row>
    <row r="2" spans="1:11" ht="26.25" x14ac:dyDescent="0.2">
      <c r="A2" s="2247" t="s">
        <v>1776</v>
      </c>
      <c r="B2" s="2248"/>
      <c r="C2" s="2248"/>
      <c r="D2" s="2248"/>
      <c r="E2" s="2249"/>
      <c r="F2" s="762" t="s">
        <v>960</v>
      </c>
      <c r="G2" s="763" t="s">
        <v>1773</v>
      </c>
      <c r="H2" s="763" t="s">
        <v>430</v>
      </c>
      <c r="I2" s="763" t="s">
        <v>1220</v>
      </c>
      <c r="J2" s="763" t="s">
        <v>1918</v>
      </c>
      <c r="K2" s="763" t="s">
        <v>140</v>
      </c>
    </row>
    <row r="3" spans="1:11" x14ac:dyDescent="0.2">
      <c r="A3" s="2250" t="s">
        <v>1698</v>
      </c>
      <c r="B3" s="2251"/>
      <c r="C3" s="2251"/>
      <c r="D3" s="2251"/>
      <c r="E3" s="2252"/>
      <c r="F3" s="764"/>
      <c r="G3" s="765">
        <v>0</v>
      </c>
      <c r="H3" s="765">
        <v>0</v>
      </c>
      <c r="I3" s="765">
        <v>0</v>
      </c>
      <c r="J3" s="766">
        <v>0</v>
      </c>
      <c r="K3" s="766">
        <v>0</v>
      </c>
    </row>
    <row r="4" spans="1:11" x14ac:dyDescent="0.2">
      <c r="A4" s="2253" t="s">
        <v>387</v>
      </c>
      <c r="B4" s="2254"/>
      <c r="C4" s="2254"/>
      <c r="D4" s="2254"/>
      <c r="E4" s="2200"/>
      <c r="F4" s="767"/>
      <c r="G4" s="768"/>
      <c r="H4" s="769"/>
      <c r="I4" s="768"/>
      <c r="J4" s="770"/>
      <c r="K4" s="770"/>
    </row>
    <row r="5" spans="1:11" x14ac:dyDescent="0.2">
      <c r="A5" s="2231" t="s">
        <v>1129</v>
      </c>
      <c r="B5" s="2232"/>
      <c r="C5" s="2232"/>
      <c r="D5" s="2232"/>
      <c r="E5" s="2233"/>
      <c r="F5" s="771" t="s">
        <v>903</v>
      </c>
      <c r="G5" s="772"/>
      <c r="H5" s="765">
        <v>7791</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900</v>
      </c>
    </row>
    <row r="8" spans="1:11" x14ac:dyDescent="0.2">
      <c r="A8" s="779" t="s">
        <v>363</v>
      </c>
      <c r="B8" s="780"/>
      <c r="C8" s="780"/>
      <c r="D8" s="780"/>
      <c r="E8" s="781"/>
      <c r="F8" s="771" t="s">
        <v>906</v>
      </c>
      <c r="G8" s="783"/>
      <c r="H8" s="783"/>
      <c r="I8" s="783"/>
      <c r="J8" s="766">
        <v>120677</v>
      </c>
      <c r="K8" s="770"/>
    </row>
    <row r="9" spans="1:11" x14ac:dyDescent="0.2">
      <c r="A9" s="779" t="s">
        <v>140</v>
      </c>
      <c r="B9" s="780"/>
      <c r="C9" s="780"/>
      <c r="D9" s="780"/>
      <c r="E9" s="781"/>
      <c r="F9" s="778" t="s">
        <v>908</v>
      </c>
      <c r="G9" s="783"/>
      <c r="H9" s="772"/>
      <c r="I9" s="772"/>
      <c r="J9" s="782"/>
      <c r="K9" s="766">
        <v>7317</v>
      </c>
    </row>
    <row r="10" spans="1:11" x14ac:dyDescent="0.2">
      <c r="A10" s="2231" t="s">
        <v>1919</v>
      </c>
      <c r="B10" s="2232"/>
      <c r="C10" s="2232"/>
      <c r="D10" s="2232"/>
      <c r="E10" s="2234"/>
      <c r="F10" s="784" t="s">
        <v>917</v>
      </c>
      <c r="G10" s="783"/>
      <c r="H10" s="785">
        <v>0</v>
      </c>
      <c r="I10" s="765">
        <v>0</v>
      </c>
      <c r="J10" s="766">
        <v>0</v>
      </c>
      <c r="K10" s="766">
        <v>0</v>
      </c>
    </row>
    <row r="11" spans="1:11" x14ac:dyDescent="0.2">
      <c r="A11" s="2231" t="s">
        <v>162</v>
      </c>
      <c r="B11" s="2232"/>
      <c r="C11" s="2232"/>
      <c r="D11" s="2232"/>
      <c r="E11" s="2233"/>
      <c r="F11" s="771" t="s">
        <v>907</v>
      </c>
      <c r="G11" s="772"/>
      <c r="H11" s="765">
        <v>0</v>
      </c>
      <c r="I11" s="765">
        <v>0</v>
      </c>
      <c r="J11" s="766">
        <v>0</v>
      </c>
      <c r="K11" s="774"/>
    </row>
    <row r="12" spans="1:11" ht="13.5" thickBot="1" x14ac:dyDescent="0.25">
      <c r="A12" s="2258" t="s">
        <v>961</v>
      </c>
      <c r="B12" s="2259"/>
      <c r="C12" s="2259"/>
      <c r="D12" s="2259"/>
      <c r="E12" s="2260"/>
      <c r="F12" s="1774"/>
      <c r="G12" s="1775">
        <f>SUM(G5:G11)</f>
        <v>0</v>
      </c>
      <c r="H12" s="1775">
        <f>SUM(H5:H11)</f>
        <v>7791</v>
      </c>
      <c r="I12" s="1775">
        <f>SUM(I5:I11)</f>
        <v>0</v>
      </c>
      <c r="J12" s="1775">
        <f>SUM(J5:J11)</f>
        <v>120677</v>
      </c>
      <c r="K12" s="1775">
        <f>SUM(K5:K11)</f>
        <v>8217</v>
      </c>
    </row>
    <row r="13" spans="1:11" ht="13.5" thickTop="1" x14ac:dyDescent="0.2">
      <c r="A13" s="2255" t="s">
        <v>388</v>
      </c>
      <c r="B13" s="2256"/>
      <c r="C13" s="2256"/>
      <c r="D13" s="2256"/>
      <c r="E13" s="2257"/>
      <c r="F13" s="786"/>
      <c r="G13" s="787"/>
      <c r="H13" s="788"/>
      <c r="I13" s="789"/>
      <c r="J13" s="789"/>
      <c r="K13" s="789"/>
    </row>
    <row r="14" spans="1:11" x14ac:dyDescent="0.2">
      <c r="A14" s="2238" t="s">
        <v>476</v>
      </c>
      <c r="B14" s="2238"/>
      <c r="C14" s="2238"/>
      <c r="D14" s="2238"/>
      <c r="E14" s="2239"/>
      <c r="F14" s="790" t="s">
        <v>909</v>
      </c>
      <c r="G14" s="783"/>
      <c r="H14" s="765">
        <v>7791</v>
      </c>
      <c r="I14" s="772"/>
      <c r="J14" s="774"/>
      <c r="K14" s="766">
        <v>8217</v>
      </c>
    </row>
    <row r="15" spans="1:11" x14ac:dyDescent="0.2">
      <c r="A15" s="2232" t="s">
        <v>4</v>
      </c>
      <c r="B15" s="2232"/>
      <c r="C15" s="2232"/>
      <c r="D15" s="2232"/>
      <c r="E15" s="2233"/>
      <c r="F15" s="790" t="s">
        <v>910</v>
      </c>
      <c r="G15" s="772"/>
      <c r="H15" s="765">
        <v>0</v>
      </c>
      <c r="I15" s="765">
        <v>0</v>
      </c>
      <c r="J15" s="766">
        <v>9943</v>
      </c>
      <c r="K15" s="766">
        <v>0</v>
      </c>
    </row>
    <row r="16" spans="1:11" x14ac:dyDescent="0.2">
      <c r="A16" s="2232" t="s">
        <v>316</v>
      </c>
      <c r="B16" s="2232"/>
      <c r="C16" s="2232"/>
      <c r="D16" s="2232"/>
      <c r="E16" s="2233"/>
      <c r="F16" s="790" t="s">
        <v>980</v>
      </c>
      <c r="G16" s="773">
        <v>0</v>
      </c>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42" t="s">
        <v>386</v>
      </c>
      <c r="B18" s="2243"/>
      <c r="C18" s="2243"/>
      <c r="D18" s="2243"/>
      <c r="E18" s="2244"/>
      <c r="F18" s="790" t="s">
        <v>989</v>
      </c>
      <c r="G18" s="783"/>
      <c r="H18" s="783"/>
      <c r="I18" s="783"/>
      <c r="J18" s="766">
        <v>31419</v>
      </c>
      <c r="K18" s="796"/>
    </row>
    <row r="19" spans="1:11" ht="21.75" customHeight="1" x14ac:dyDescent="0.2">
      <c r="A19" s="2240" t="s">
        <v>1915</v>
      </c>
      <c r="B19" s="2240"/>
      <c r="C19" s="2240"/>
      <c r="D19" s="2240"/>
      <c r="E19" s="2241"/>
      <c r="F19" s="790" t="s">
        <v>990</v>
      </c>
      <c r="G19" s="783"/>
      <c r="H19" s="783"/>
      <c r="I19" s="783"/>
      <c r="J19" s="766">
        <v>62000</v>
      </c>
      <c r="K19" s="796"/>
    </row>
    <row r="20" spans="1:11" x14ac:dyDescent="0.2">
      <c r="A20" s="2242" t="s">
        <v>1920</v>
      </c>
      <c r="B20" s="2243"/>
      <c r="C20" s="2243"/>
      <c r="D20" s="2243"/>
      <c r="E20" s="2244"/>
      <c r="F20" s="790" t="s">
        <v>991</v>
      </c>
      <c r="G20" s="783"/>
      <c r="H20" s="783"/>
      <c r="I20" s="783"/>
      <c r="J20" s="766">
        <v>318</v>
      </c>
      <c r="K20" s="796"/>
    </row>
    <row r="21" spans="1:11" ht="13.5" thickBot="1" x14ac:dyDescent="0.25">
      <c r="A21" s="2261" t="s">
        <v>659</v>
      </c>
      <c r="B21" s="2261"/>
      <c r="C21" s="2261"/>
      <c r="D21" s="2261"/>
      <c r="E21" s="2261"/>
      <c r="F21" s="1776"/>
      <c r="G21" s="793"/>
      <c r="H21" s="797"/>
      <c r="I21" s="797"/>
      <c r="J21" s="1777">
        <f>SUM(J18:J20)</f>
        <v>93737</v>
      </c>
      <c r="K21" s="794"/>
    </row>
    <row r="22" spans="1:11" ht="13.5" thickTop="1" x14ac:dyDescent="0.2">
      <c r="A22" s="2232" t="s">
        <v>1921</v>
      </c>
      <c r="B22" s="2232"/>
      <c r="C22" s="2232"/>
      <c r="D22" s="2232"/>
      <c r="E22" s="2233"/>
      <c r="F22" s="790" t="s">
        <v>917</v>
      </c>
      <c r="G22" s="783"/>
      <c r="H22" s="765">
        <v>0</v>
      </c>
      <c r="I22" s="765">
        <v>0</v>
      </c>
      <c r="J22" s="798">
        <v>742</v>
      </c>
      <c r="K22" s="766">
        <v>0</v>
      </c>
    </row>
    <row r="23" spans="1:11" ht="13.5" thickBot="1" x14ac:dyDescent="0.25">
      <c r="A23" s="2262" t="s">
        <v>962</v>
      </c>
      <c r="B23" s="2261"/>
      <c r="C23" s="2261"/>
      <c r="D23" s="2261"/>
      <c r="E23" s="2261"/>
      <c r="F23" s="1778"/>
      <c r="G23" s="1775">
        <f>SUM(G14:G16,G21,G22)</f>
        <v>0</v>
      </c>
      <c r="H23" s="1775">
        <f>SUM(H14:H16,H21,H22)</f>
        <v>7791</v>
      </c>
      <c r="I23" s="1775">
        <f>SUM(I14:I16,I21,I22)</f>
        <v>0</v>
      </c>
      <c r="J23" s="1775">
        <f>SUM(J14:J16,J21,J22)</f>
        <v>104422</v>
      </c>
      <c r="K23" s="1775">
        <f>SUM(K14:K16,K21,K22)</f>
        <v>8217</v>
      </c>
    </row>
    <row r="24" spans="1:11" ht="14.25" thickTop="1" thickBot="1" x14ac:dyDescent="0.25">
      <c r="A24" s="2262" t="s">
        <v>2025</v>
      </c>
      <c r="B24" s="2261"/>
      <c r="C24" s="2261"/>
      <c r="D24" s="2261"/>
      <c r="E24" s="2261"/>
      <c r="F24" s="1779"/>
      <c r="G24" s="1780">
        <f>SUM(G3,G12)-G23</f>
        <v>0</v>
      </c>
      <c r="H24" s="1780">
        <f>SUM(H3,H12)-H23</f>
        <v>0</v>
      </c>
      <c r="I24" s="1780">
        <f>SUM(I3,I12)-I23</f>
        <v>0</v>
      </c>
      <c r="J24" s="1780">
        <f>SUM(J3,J12)-J23</f>
        <v>16255</v>
      </c>
      <c r="K24" s="1780">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75">
        <f>G24-G25</f>
        <v>0</v>
      </c>
      <c r="H26" s="1775">
        <f>H24-H25</f>
        <v>0</v>
      </c>
      <c r="I26" s="1775">
        <f>I24-I25</f>
        <v>0</v>
      </c>
      <c r="J26" s="1775">
        <f>J24-J25</f>
        <v>16255</v>
      </c>
      <c r="K26" s="1775">
        <f>K24-K25</f>
        <v>0</v>
      </c>
    </row>
    <row r="27" spans="1:11" ht="5.25" customHeight="1" thickTop="1" x14ac:dyDescent="0.2">
      <c r="I27" s="202"/>
      <c r="J27" s="202"/>
    </row>
    <row r="28" spans="1:11" ht="29.25" customHeight="1" x14ac:dyDescent="0.2">
      <c r="A28" s="1897" t="s">
        <v>2035</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v>0</v>
      </c>
      <c r="H31" s="2235"/>
      <c r="I31" s="2236"/>
      <c r="J31" s="2236"/>
      <c r="K31" s="2236"/>
    </row>
    <row r="32" spans="1:11" x14ac:dyDescent="0.2">
      <c r="A32" s="810"/>
      <c r="B32" s="237"/>
      <c r="C32" s="237"/>
      <c r="D32" s="237"/>
      <c r="E32" s="806"/>
      <c r="F32" s="812" t="s">
        <v>561</v>
      </c>
      <c r="G32" s="765">
        <v>0</v>
      </c>
      <c r="H32" s="2237"/>
      <c r="I32" s="2236"/>
      <c r="J32" s="2236"/>
      <c r="K32" s="2236"/>
    </row>
    <row r="33" spans="1:11" ht="1.5" customHeight="1" x14ac:dyDescent="0.2">
      <c r="A33" s="813" t="s">
        <v>1231</v>
      </c>
      <c r="B33" s="364"/>
      <c r="C33" s="364"/>
      <c r="D33" s="364"/>
      <c r="E33" s="364"/>
      <c r="F33" s="364"/>
      <c r="G33" s="814"/>
      <c r="H33" s="2237"/>
      <c r="I33" s="2236"/>
      <c r="J33" s="2236"/>
      <c r="K33" s="2236"/>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232" t="s">
        <v>562</v>
      </c>
      <c r="B41" s="2245"/>
      <c r="C41" s="2245"/>
      <c r="D41" s="2245"/>
      <c r="E41" s="2245"/>
      <c r="F41" s="2246"/>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51" t="s">
        <v>1916</v>
      </c>
      <c r="B46" s="408" t="s">
        <v>1774</v>
      </c>
    </row>
    <row r="47" spans="1:11" s="824" customFormat="1" ht="12.75" customHeight="1" x14ac:dyDescent="0.2">
      <c r="A47" s="822"/>
      <c r="B47" s="823" t="s">
        <v>1775</v>
      </c>
      <c r="E47" s="823"/>
      <c r="K47" s="825"/>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7"/>
      <c r="E1" s="828"/>
      <c r="F1" s="828"/>
      <c r="G1" s="829"/>
      <c r="H1" s="830"/>
      <c r="I1" s="831"/>
      <c r="J1" s="2265"/>
      <c r="K1" s="2266"/>
      <c r="L1" s="2266"/>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49" t="s">
        <v>948</v>
      </c>
      <c r="B3" s="1650">
        <v>210</v>
      </c>
      <c r="C3" s="836">
        <v>0</v>
      </c>
      <c r="D3" s="836">
        <v>0</v>
      </c>
      <c r="E3" s="836">
        <v>0</v>
      </c>
      <c r="F3" s="1777">
        <f>(C3+D3)-E3</f>
        <v>0</v>
      </c>
      <c r="G3" s="837"/>
      <c r="H3" s="836">
        <v>0</v>
      </c>
      <c r="I3" s="836">
        <v>0</v>
      </c>
      <c r="J3" s="836">
        <v>0</v>
      </c>
      <c r="K3" s="1786">
        <f>(H3+I3)-J3</f>
        <v>0</v>
      </c>
      <c r="L3" s="1786">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3000</v>
      </c>
      <c r="D5" s="842">
        <v>0</v>
      </c>
      <c r="E5" s="842">
        <v>0</v>
      </c>
      <c r="F5" s="1777">
        <f>(C5+D5)-E5</f>
        <v>3000</v>
      </c>
      <c r="G5" s="838"/>
      <c r="H5" s="843"/>
      <c r="I5" s="843"/>
      <c r="J5" s="843"/>
      <c r="K5" s="794"/>
      <c r="L5" s="1786">
        <f>F5-K5</f>
        <v>3000</v>
      </c>
    </row>
    <row r="6" spans="1:14" ht="14.25" thickTop="1" thickBot="1" x14ac:dyDescent="0.25">
      <c r="A6" s="779" t="s">
        <v>1179</v>
      </c>
      <c r="B6" s="841">
        <v>222</v>
      </c>
      <c r="C6" s="766">
        <v>0</v>
      </c>
      <c r="D6" s="766">
        <v>0</v>
      </c>
      <c r="E6" s="766">
        <v>0</v>
      </c>
      <c r="F6" s="1777">
        <f>(C6+D6)-E6</f>
        <v>0</v>
      </c>
      <c r="G6" s="838">
        <v>50</v>
      </c>
      <c r="H6" s="766">
        <v>0</v>
      </c>
      <c r="I6" s="766">
        <v>0</v>
      </c>
      <c r="J6" s="766">
        <v>0</v>
      </c>
      <c r="K6" s="1786">
        <f>(H6+I6)-J6</f>
        <v>0</v>
      </c>
      <c r="L6" s="1786">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3775072</v>
      </c>
      <c r="D8" s="845">
        <v>341571</v>
      </c>
      <c r="E8" s="845">
        <v>0</v>
      </c>
      <c r="F8" s="1777">
        <f>(C8+D8)-E8</f>
        <v>4116643</v>
      </c>
      <c r="G8" s="844">
        <v>50</v>
      </c>
      <c r="H8" s="766">
        <v>1734390</v>
      </c>
      <c r="I8" s="766">
        <v>82333</v>
      </c>
      <c r="J8" s="766">
        <v>0</v>
      </c>
      <c r="K8" s="1786">
        <f>(H8+I8)-J8</f>
        <v>1816723</v>
      </c>
      <c r="L8" s="1786">
        <f>F8-K8</f>
        <v>2299920</v>
      </c>
    </row>
    <row r="9" spans="1:14" ht="14.25" thickTop="1" thickBot="1" x14ac:dyDescent="0.25">
      <c r="A9" s="779" t="s">
        <v>1181</v>
      </c>
      <c r="B9" s="841">
        <v>232</v>
      </c>
      <c r="C9" s="766">
        <v>0</v>
      </c>
      <c r="D9" s="766">
        <v>0</v>
      </c>
      <c r="E9" s="766">
        <v>0</v>
      </c>
      <c r="F9" s="1777">
        <f>(C9+D9)-E9</f>
        <v>0</v>
      </c>
      <c r="G9" s="844">
        <v>20</v>
      </c>
      <c r="H9" s="766">
        <v>0</v>
      </c>
      <c r="I9" s="766">
        <v>0</v>
      </c>
      <c r="J9" s="766">
        <v>0</v>
      </c>
      <c r="K9" s="1786">
        <f>(H9+I9)-J9</f>
        <v>0</v>
      </c>
      <c r="L9" s="1786">
        <f>F9-K9</f>
        <v>0</v>
      </c>
    </row>
    <row r="10" spans="1:14" ht="24" thickTop="1" thickBot="1" x14ac:dyDescent="0.25">
      <c r="A10" s="846" t="s">
        <v>1182</v>
      </c>
      <c r="B10" s="841">
        <v>240</v>
      </c>
      <c r="C10" s="847">
        <v>255955</v>
      </c>
      <c r="D10" s="847">
        <v>0</v>
      </c>
      <c r="E10" s="847">
        <v>0</v>
      </c>
      <c r="F10" s="1781">
        <f>(C10+D10)-E10</f>
        <v>255955</v>
      </c>
      <c r="G10" s="844">
        <v>20</v>
      </c>
      <c r="H10" s="848">
        <v>163157</v>
      </c>
      <c r="I10" s="848">
        <v>12798</v>
      </c>
      <c r="J10" s="848">
        <v>0</v>
      </c>
      <c r="K10" s="1786">
        <f>(H10+I10)-J10</f>
        <v>175955</v>
      </c>
      <c r="L10" s="1786">
        <f>F10-K10</f>
        <v>80000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934784</v>
      </c>
      <c r="D12" s="845">
        <v>33725</v>
      </c>
      <c r="E12" s="845">
        <v>517195</v>
      </c>
      <c r="F12" s="1777">
        <f>(C12+D12)-E12</f>
        <v>451314</v>
      </c>
      <c r="G12" s="844">
        <v>10</v>
      </c>
      <c r="H12" s="766">
        <v>784102</v>
      </c>
      <c r="I12" s="766">
        <v>46576</v>
      </c>
      <c r="J12" s="766">
        <v>517195</v>
      </c>
      <c r="K12" s="1786">
        <f>(H12+I12)-J12</f>
        <v>313483</v>
      </c>
      <c r="L12" s="1786">
        <f>F12-K12</f>
        <v>137831</v>
      </c>
    </row>
    <row r="13" spans="1:14" ht="14.25" thickTop="1" thickBot="1" x14ac:dyDescent="0.25">
      <c r="A13" s="849" t="s">
        <v>1184</v>
      </c>
      <c r="B13" s="841">
        <v>252</v>
      </c>
      <c r="C13" s="845">
        <v>207290</v>
      </c>
      <c r="D13" s="845">
        <v>0</v>
      </c>
      <c r="E13" s="845">
        <v>172316</v>
      </c>
      <c r="F13" s="1777">
        <f>(C13+D13)-E13</f>
        <v>34974</v>
      </c>
      <c r="G13" s="844">
        <v>5</v>
      </c>
      <c r="H13" s="766">
        <v>187056</v>
      </c>
      <c r="I13" s="766">
        <v>6995</v>
      </c>
      <c r="J13" s="766">
        <v>172316</v>
      </c>
      <c r="K13" s="1786">
        <f>(H13+I13)-J13</f>
        <v>21735</v>
      </c>
      <c r="L13" s="1786">
        <f>F13-K13</f>
        <v>13239</v>
      </c>
    </row>
    <row r="14" spans="1:14" ht="14.25" thickTop="1" thickBot="1" x14ac:dyDescent="0.25">
      <c r="A14" s="849" t="s">
        <v>1185</v>
      </c>
      <c r="B14" s="841">
        <v>253</v>
      </c>
      <c r="C14" s="766">
        <v>0</v>
      </c>
      <c r="D14" s="766">
        <v>0</v>
      </c>
      <c r="E14" s="766">
        <v>0</v>
      </c>
      <c r="F14" s="1777">
        <f>(C14+D14)-E14</f>
        <v>0</v>
      </c>
      <c r="G14" s="844">
        <v>3</v>
      </c>
      <c r="H14" s="766">
        <v>0</v>
      </c>
      <c r="I14" s="766">
        <v>0</v>
      </c>
      <c r="J14" s="766">
        <v>0</v>
      </c>
      <c r="K14" s="1786">
        <f>(H14+I14)-J14</f>
        <v>0</v>
      </c>
      <c r="L14" s="1786">
        <f>F14-K14</f>
        <v>0</v>
      </c>
    </row>
    <row r="15" spans="1:14" ht="15" customHeight="1" thickTop="1" thickBot="1" x14ac:dyDescent="0.25">
      <c r="A15" s="1651" t="s">
        <v>549</v>
      </c>
      <c r="B15" s="1650">
        <v>260</v>
      </c>
      <c r="C15" s="845">
        <v>0</v>
      </c>
      <c r="D15" s="845">
        <v>0</v>
      </c>
      <c r="E15" s="845">
        <v>0</v>
      </c>
      <c r="F15" s="1777">
        <f>(C15+D15)-E15</f>
        <v>0</v>
      </c>
      <c r="G15" s="850" t="s">
        <v>917</v>
      </c>
      <c r="H15" s="782"/>
      <c r="I15" s="782"/>
      <c r="J15" s="782"/>
      <c r="K15" s="782"/>
      <c r="L15" s="1786">
        <f>F15-K15</f>
        <v>0</v>
      </c>
    </row>
    <row r="16" spans="1:14" ht="15" customHeight="1" thickTop="1" thickBot="1" x14ac:dyDescent="0.25">
      <c r="A16" s="1782" t="s">
        <v>664</v>
      </c>
      <c r="B16" s="1783">
        <v>200</v>
      </c>
      <c r="C16" s="1777">
        <f>SUM(C3,C5:C6,C8:C10,C12:C15)</f>
        <v>5176101</v>
      </c>
      <c r="D16" s="1777">
        <f>SUM(D3,D5:D6,D8:D10,D12:D15)</f>
        <v>375296</v>
      </c>
      <c r="E16" s="1777">
        <f>SUM(E3,E5:E6,E8:E10,E12:E15)</f>
        <v>689511</v>
      </c>
      <c r="F16" s="1777">
        <f>SUM(F3,F5:F6,F8:F10,F12:F15)</f>
        <v>4861886</v>
      </c>
      <c r="G16" s="844"/>
      <c r="H16" s="1777">
        <f>SUM(H3,H6,H8:H10,H12:H14,)</f>
        <v>2868705</v>
      </c>
      <c r="I16" s="1777">
        <f>SUM(I3,I6,I8:I10,I12:I14,)</f>
        <v>148702</v>
      </c>
      <c r="J16" s="1777">
        <f>SUM(J3,J6,J8:J10,J12:J14,)</f>
        <v>689511</v>
      </c>
      <c r="K16" s="1777">
        <f>(H16+I16)-J16</f>
        <v>2327896</v>
      </c>
      <c r="L16" s="1777">
        <f>F16-K16</f>
        <v>2533990</v>
      </c>
    </row>
    <row r="17" spans="1:12" ht="15" customHeight="1" thickTop="1" thickBot="1" x14ac:dyDescent="0.25">
      <c r="A17" s="1653" t="s">
        <v>309</v>
      </c>
      <c r="B17" s="1650">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148702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B189" sqref="B1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2184004</v>
      </c>
      <c r="G8" s="866"/>
    </row>
    <row r="9" spans="1:7" x14ac:dyDescent="0.2">
      <c r="A9" s="870" t="s">
        <v>480</v>
      </c>
      <c r="B9" s="871" t="s">
        <v>1988</v>
      </c>
      <c r="C9" s="872"/>
      <c r="D9" s="870" t="s">
        <v>522</v>
      </c>
      <c r="E9" s="869"/>
      <c r="F9" s="1927">
        <f>'Expenditures 15-22'!K151</f>
        <v>105669</v>
      </c>
      <c r="G9" s="873"/>
    </row>
    <row r="10" spans="1:7" x14ac:dyDescent="0.2">
      <c r="A10" s="870" t="s">
        <v>520</v>
      </c>
      <c r="B10" s="871" t="s">
        <v>1989</v>
      </c>
      <c r="C10" s="872"/>
      <c r="D10" s="870" t="s">
        <v>522</v>
      </c>
      <c r="E10" s="869"/>
      <c r="F10" s="1927">
        <f>'Expenditures 15-22'!K174</f>
        <v>214106</v>
      </c>
      <c r="G10" s="873"/>
    </row>
    <row r="11" spans="1:7" x14ac:dyDescent="0.2">
      <c r="A11" s="870" t="s">
        <v>481</v>
      </c>
      <c r="B11" s="871" t="s">
        <v>1990</v>
      </c>
      <c r="C11" s="872"/>
      <c r="D11" s="870" t="s">
        <v>522</v>
      </c>
      <c r="E11" s="869"/>
      <c r="F11" s="1927">
        <f>'Expenditures 15-22'!K210</f>
        <v>135508</v>
      </c>
      <c r="G11" s="873"/>
    </row>
    <row r="12" spans="1:7" x14ac:dyDescent="0.2">
      <c r="A12" s="870" t="s">
        <v>482</v>
      </c>
      <c r="B12" s="871" t="s">
        <v>1991</v>
      </c>
      <c r="C12" s="872"/>
      <c r="D12" s="870" t="s">
        <v>522</v>
      </c>
      <c r="E12" s="869"/>
      <c r="F12" s="1927">
        <f>'Expenditures 15-22'!K295</f>
        <v>107842</v>
      </c>
      <c r="G12" s="873"/>
    </row>
    <row r="13" spans="1:7" x14ac:dyDescent="0.2">
      <c r="A13" s="870" t="s">
        <v>108</v>
      </c>
      <c r="B13" s="871" t="s">
        <v>1992</v>
      </c>
      <c r="C13" s="872"/>
      <c r="D13" s="870" t="s">
        <v>522</v>
      </c>
      <c r="E13" s="869"/>
      <c r="F13" s="1927">
        <f>'Expenditures 15-22'!K342</f>
        <v>79272</v>
      </c>
      <c r="G13" s="874"/>
    </row>
    <row r="14" spans="1:7" ht="12" customHeight="1" thickBot="1" x14ac:dyDescent="0.25">
      <c r="A14" s="1787"/>
      <c r="B14" s="1788"/>
      <c r="C14" s="1789"/>
      <c r="D14" s="1790" t="s">
        <v>522</v>
      </c>
      <c r="E14" s="1791" t="s">
        <v>1015</v>
      </c>
      <c r="F14" s="1792">
        <f>SUM(F8:F13)</f>
        <v>2826401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119</v>
      </c>
      <c r="G52" s="866"/>
    </row>
    <row r="53" spans="1:7" x14ac:dyDescent="0.2">
      <c r="A53" s="870" t="s">
        <v>479</v>
      </c>
      <c r="B53" s="870" t="s">
        <v>1551</v>
      </c>
      <c r="C53" s="890">
        <f>'Expenditures 15-22'!B102</f>
        <v>4000</v>
      </c>
      <c r="D53" s="889" t="str">
        <f>'Expenditures 15-22'!A102</f>
        <v>Total Payments to Other Govt Units</v>
      </c>
      <c r="E53" s="869"/>
      <c r="F53" s="1931">
        <f>'Expenditures 15-22'!K102</f>
        <v>38707</v>
      </c>
      <c r="G53" s="866"/>
    </row>
    <row r="54" spans="1:7" x14ac:dyDescent="0.2">
      <c r="A54" s="870" t="s">
        <v>479</v>
      </c>
      <c r="B54" s="870" t="s">
        <v>1552</v>
      </c>
      <c r="C54" s="890" t="s">
        <v>1039</v>
      </c>
      <c r="D54" s="886" t="s">
        <v>1157</v>
      </c>
      <c r="E54" s="869"/>
      <c r="F54" s="1931">
        <f>'Expenditures 15-22'!G114</f>
        <v>33725</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1">
        <f>'Expenditures 15-22'!K139</f>
        <v>0</v>
      </c>
      <c r="G57" s="866"/>
    </row>
    <row r="58" spans="1:7" x14ac:dyDescent="0.2">
      <c r="A58" s="870" t="s">
        <v>480</v>
      </c>
      <c r="B58" s="870" t="s">
        <v>1994</v>
      </c>
      <c r="C58" s="887" t="s">
        <v>1039</v>
      </c>
      <c r="D58" s="886" t="s">
        <v>1157</v>
      </c>
      <c r="E58" s="869"/>
      <c r="F58" s="1933">
        <f>'Expenditures 15-22'!G151</f>
        <v>0</v>
      </c>
      <c r="G58" s="866"/>
    </row>
    <row r="59" spans="1:7" x14ac:dyDescent="0.2">
      <c r="A59" s="894" t="s">
        <v>480</v>
      </c>
      <c r="B59" s="857" t="s">
        <v>1995</v>
      </c>
      <c r="C59" s="895" t="s">
        <v>1039</v>
      </c>
      <c r="D59" s="857" t="s">
        <v>309</v>
      </c>
      <c r="F59" s="1934">
        <f>'Expenditures 15-22'!I151</f>
        <v>0</v>
      </c>
      <c r="G59" s="866"/>
    </row>
    <row r="60" spans="1:7" x14ac:dyDescent="0.2">
      <c r="A60" s="894" t="s">
        <v>520</v>
      </c>
      <c r="B60" s="857" t="s">
        <v>1996</v>
      </c>
      <c r="C60" s="895">
        <v>4000</v>
      </c>
      <c r="D60" s="857" t="s">
        <v>330</v>
      </c>
      <c r="F60" s="1932">
        <f>'Expenditures 15-22'!K160</f>
        <v>0</v>
      </c>
      <c r="G60" s="866"/>
    </row>
    <row r="61" spans="1:7" x14ac:dyDescent="0.2">
      <c r="A61" s="896" t="s">
        <v>520</v>
      </c>
      <c r="B61" s="896" t="s">
        <v>1997</v>
      </c>
      <c r="C61" s="897" t="str">
        <f>'Expenditures 15-22'!B170</f>
        <v>5300</v>
      </c>
      <c r="D61" s="898" t="s">
        <v>329</v>
      </c>
      <c r="E61" s="880"/>
      <c r="F61" s="1931">
        <f>'Expenditures 15-22'!K170</f>
        <v>155400</v>
      </c>
      <c r="G61" s="866"/>
    </row>
    <row r="62" spans="1:7" x14ac:dyDescent="0.2">
      <c r="A62" s="870" t="s">
        <v>481</v>
      </c>
      <c r="B62" s="870" t="s">
        <v>1998</v>
      </c>
      <c r="C62" s="887">
        <f>'Expenditures 15-22'!B185</f>
        <v>3000</v>
      </c>
      <c r="D62" s="877" t="s">
        <v>469</v>
      </c>
      <c r="E62" s="869"/>
      <c r="F62" s="1931">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1">
        <f>'Expenditures 15-22'!K196</f>
        <v>0</v>
      </c>
      <c r="G63" s="866"/>
    </row>
    <row r="64" spans="1:7" x14ac:dyDescent="0.2">
      <c r="A64" s="896" t="s">
        <v>481</v>
      </c>
      <c r="B64" s="896" t="s">
        <v>2000</v>
      </c>
      <c r="C64" s="897" t="str">
        <f>'Expenditures 15-22'!B206</f>
        <v>5300</v>
      </c>
      <c r="D64" s="893" t="s">
        <v>329</v>
      </c>
      <c r="E64" s="869"/>
      <c r="F64" s="1931">
        <f>'Expenditures 15-22'!K206</f>
        <v>0</v>
      </c>
      <c r="G64" s="866"/>
    </row>
    <row r="65" spans="1:8" x14ac:dyDescent="0.2">
      <c r="A65" s="870" t="s">
        <v>481</v>
      </c>
      <c r="B65" s="870" t="s">
        <v>2001</v>
      </c>
      <c r="C65" s="887" t="s">
        <v>1039</v>
      </c>
      <c r="D65" s="886" t="s">
        <v>1157</v>
      </c>
      <c r="E65" s="869"/>
      <c r="F65" s="1931">
        <f>'Expenditures 15-22'!G210</f>
        <v>0</v>
      </c>
      <c r="G65" s="866"/>
    </row>
    <row r="66" spans="1:8" x14ac:dyDescent="0.2">
      <c r="A66" s="870" t="s">
        <v>481</v>
      </c>
      <c r="B66" s="870" t="s">
        <v>2002</v>
      </c>
      <c r="C66" s="887" t="s">
        <v>1039</v>
      </c>
      <c r="D66" s="886" t="s">
        <v>309</v>
      </c>
      <c r="E66" s="869"/>
      <c r="F66" s="1931">
        <f>'Expenditures 15-22'!I210</f>
        <v>0</v>
      </c>
      <c r="G66" s="866"/>
    </row>
    <row r="67" spans="1:8" x14ac:dyDescent="0.2">
      <c r="A67" s="870" t="s">
        <v>482</v>
      </c>
      <c r="B67" s="870" t="s">
        <v>2003</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2005</v>
      </c>
      <c r="C70" s="887">
        <f>'Expenditures 15-22'!B221</f>
        <v>1300</v>
      </c>
      <c r="D70" s="888" t="str">
        <f>'Expenditures 15-22'!A221</f>
        <v>Adult/Continuing Education Programs</v>
      </c>
      <c r="E70" s="869"/>
      <c r="F70" s="1931">
        <f>'Expenditures 15-22'!K221</f>
        <v>0</v>
      </c>
      <c r="G70" s="866"/>
    </row>
    <row r="71" spans="1:8" x14ac:dyDescent="0.2">
      <c r="A71" s="870" t="s">
        <v>482</v>
      </c>
      <c r="B71" s="870" t="s">
        <v>2006</v>
      </c>
      <c r="C71" s="887">
        <f>'Expenditures 15-22'!B224</f>
        <v>1600</v>
      </c>
      <c r="D71" s="888" t="str">
        <f>'Expenditures 15-22'!A224</f>
        <v>Summer School Programs</v>
      </c>
      <c r="E71" s="869"/>
      <c r="F71" s="1931">
        <f>'Expenditures 15-22'!K224</f>
        <v>0</v>
      </c>
      <c r="G71" s="866"/>
    </row>
    <row r="72" spans="1:8" x14ac:dyDescent="0.2">
      <c r="A72" s="870" t="s">
        <v>482</v>
      </c>
      <c r="B72" s="870" t="s">
        <v>2007</v>
      </c>
      <c r="C72" s="887">
        <f>'Expenditures 15-22'!B280</f>
        <v>3000</v>
      </c>
      <c r="D72" s="877" t="s">
        <v>469</v>
      </c>
      <c r="E72" s="869"/>
      <c r="F72" s="1931">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2009</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2010</v>
      </c>
      <c r="E76" s="1791" t="s">
        <v>1015</v>
      </c>
      <c r="F76" s="1795">
        <f>SUM(F18:F74)</f>
        <v>227951</v>
      </c>
      <c r="G76" s="866"/>
    </row>
    <row r="77" spans="1:8" s="894" customFormat="1" ht="12" customHeight="1" thickTop="1" thickBot="1" x14ac:dyDescent="0.25">
      <c r="A77" s="1796"/>
      <c r="B77" s="1793"/>
      <c r="C77" s="1789"/>
      <c r="D77" s="1794" t="s">
        <v>2011</v>
      </c>
      <c r="E77" s="1791"/>
      <c r="F77" s="1797">
        <f>(F14-F76)</f>
        <v>2598450</v>
      </c>
      <c r="G77" s="870"/>
    </row>
    <row r="78" spans="1:8" s="894" customFormat="1" ht="12" customHeight="1" thickTop="1" x14ac:dyDescent="0.2">
      <c r="A78" s="1798"/>
      <c r="B78" s="1793"/>
      <c r="C78" s="1789"/>
      <c r="D78" s="1794" t="s">
        <v>2058</v>
      </c>
      <c r="E78" s="1791"/>
      <c r="F78" s="899">
        <v>319.77</v>
      </c>
      <c r="G78" s="900"/>
      <c r="H78" s="870"/>
    </row>
    <row r="79" spans="1:8" s="894" customFormat="1" ht="12" customHeight="1" thickBot="1" x14ac:dyDescent="0.25">
      <c r="A79" s="1799"/>
      <c r="B79" s="1793"/>
      <c r="C79" s="1789"/>
      <c r="D79" s="1794" t="s">
        <v>2012</v>
      </c>
      <c r="E79" s="1791" t="s">
        <v>1015</v>
      </c>
      <c r="F79" s="1800">
        <f>IF(F78&gt;0,F77/F78," Complete Line 78")</f>
        <v>8125.9968102073371</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3441</v>
      </c>
      <c r="G94" s="913"/>
    </row>
    <row r="95" spans="1:7" x14ac:dyDescent="0.2">
      <c r="A95" s="909" t="s">
        <v>142</v>
      </c>
      <c r="B95" s="909" t="s">
        <v>177</v>
      </c>
      <c r="C95" s="911">
        <v>1700</v>
      </c>
      <c r="D95" s="919" t="str">
        <f>'Revenues 9-14'!A82</f>
        <v>Total District/School Activity Income</v>
      </c>
      <c r="E95" s="907"/>
      <c r="F95" s="1806">
        <f>SUM('Revenues 9-14'!C82,'Revenues 9-14'!D82)</f>
        <v>14195</v>
      </c>
      <c r="G95" s="913"/>
    </row>
    <row r="96" spans="1:7" x14ac:dyDescent="0.2">
      <c r="A96" s="909" t="s">
        <v>479</v>
      </c>
      <c r="B96" s="909" t="s">
        <v>178</v>
      </c>
      <c r="C96" s="911">
        <f>'Revenues 9-14'!B84</f>
        <v>1811</v>
      </c>
      <c r="D96" s="912" t="str">
        <f>'Revenues 9-14'!A84</f>
        <v>Rentals - Regular Textbooks</v>
      </c>
      <c r="E96" s="907"/>
      <c r="F96" s="1806">
        <f>'Revenues 9-14'!C84</f>
        <v>6290</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300</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44610</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1737</v>
      </c>
      <c r="G106" s="913"/>
    </row>
    <row r="107" spans="1:7" x14ac:dyDescent="0.2">
      <c r="A107" s="922" t="s">
        <v>685</v>
      </c>
      <c r="B107" s="909" t="s">
        <v>843</v>
      </c>
      <c r="C107" s="921">
        <v>3300</v>
      </c>
      <c r="D107" s="912" t="str">
        <f>'Revenues 9-14'!A144</f>
        <v>Total Bilingual Ed</v>
      </c>
      <c r="E107" s="907"/>
      <c r="F107" s="1806">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6">
        <f>'Revenues 9-14'!C145</f>
        <v>2671</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7317</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86185</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19263</v>
      </c>
      <c r="G128" s="931"/>
    </row>
    <row r="129" spans="1:7" x14ac:dyDescent="0.2">
      <c r="A129" s="928" t="s">
        <v>685</v>
      </c>
      <c r="B129" s="928" t="s">
        <v>803</v>
      </c>
      <c r="C129" s="933">
        <v>4200</v>
      </c>
      <c r="D129" s="930" t="str">
        <f>'Revenues 9-14'!A201</f>
        <v>Total Food Service</v>
      </c>
      <c r="E129" s="907"/>
      <c r="F129" s="1806">
        <f>SUM('Revenues 9-14'!C201,'Revenues 9-14'!G201)</f>
        <v>154415</v>
      </c>
      <c r="G129" s="931"/>
    </row>
    <row r="130" spans="1:7" x14ac:dyDescent="0.2">
      <c r="A130" s="928" t="s">
        <v>689</v>
      </c>
      <c r="B130" s="928" t="s">
        <v>804</v>
      </c>
      <c r="C130" s="933">
        <v>4300</v>
      </c>
      <c r="D130" s="934" t="str">
        <f>'Revenues 9-14'!A211</f>
        <v>Total Title I</v>
      </c>
      <c r="E130" s="907"/>
      <c r="F130" s="1806">
        <f>SUM('Revenues 9-14'!C211,'Revenues 9-14'!D211,'Revenues 9-14'!F211,'Revenues 9-14'!G211)</f>
        <v>98669</v>
      </c>
      <c r="G130" s="931"/>
    </row>
    <row r="131" spans="1:7" x14ac:dyDescent="0.2">
      <c r="A131" s="928" t="s">
        <v>689</v>
      </c>
      <c r="B131" s="928" t="s">
        <v>805</v>
      </c>
      <c r="C131" s="933">
        <v>4400</v>
      </c>
      <c r="D131" s="934" t="str">
        <f>'Revenues 9-14'!A216</f>
        <v>Total Title IV</v>
      </c>
      <c r="E131" s="907"/>
      <c r="F131" s="1806">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19168</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0</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5550</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647</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6" t="s">
        <v>5</v>
      </c>
      <c r="B175" s="1937" t="s">
        <v>2057</v>
      </c>
      <c r="C175" s="1938">
        <v>3100</v>
      </c>
      <c r="D175" s="1939" t="s">
        <v>2060</v>
      </c>
      <c r="E175" s="907"/>
      <c r="F175" s="1923">
        <v>84884.78</v>
      </c>
      <c r="G175" s="928"/>
    </row>
    <row r="176" spans="1:7" x14ac:dyDescent="0.2">
      <c r="A176" s="1936" t="s">
        <v>685</v>
      </c>
      <c r="B176" s="1937" t="s">
        <v>2057</v>
      </c>
      <c r="C176" s="1938">
        <v>3300</v>
      </c>
      <c r="D176" s="1939" t="s">
        <v>2061</v>
      </c>
      <c r="E176" s="907"/>
      <c r="F176" s="1923">
        <v>0</v>
      </c>
      <c r="G176" s="928"/>
    </row>
    <row r="177" spans="1:7" ht="6" customHeight="1" x14ac:dyDescent="0.2">
      <c r="A177" s="928"/>
      <c r="B177" s="928"/>
      <c r="C177" s="950"/>
      <c r="D177" s="928"/>
      <c r="E177" s="907"/>
      <c r="F177" s="951"/>
      <c r="G177" s="948"/>
    </row>
    <row r="178" spans="1:7" x14ac:dyDescent="0.2">
      <c r="A178" s="1787"/>
      <c r="B178" s="1801"/>
      <c r="C178" s="1802"/>
      <c r="D178" s="1803" t="s">
        <v>2013</v>
      </c>
      <c r="E178" s="1804" t="s">
        <v>1015</v>
      </c>
      <c r="F178" s="1805">
        <f>SUM(F84:F136,F161:F176)</f>
        <v>550842.78</v>
      </c>
    </row>
    <row r="179" spans="1:7" ht="12" customHeight="1" x14ac:dyDescent="0.2">
      <c r="A179" s="1787"/>
      <c r="B179" s="1801"/>
      <c r="C179" s="1802"/>
      <c r="D179" s="1803" t="s">
        <v>2014</v>
      </c>
      <c r="E179" s="1804"/>
      <c r="F179" s="1806">
        <f>'PCTC-OEPP 27-28'!F77-F178</f>
        <v>2047607.22</v>
      </c>
    </row>
    <row r="180" spans="1:7" ht="12" customHeight="1" x14ac:dyDescent="0.2">
      <c r="A180" s="1787"/>
      <c r="B180" s="1801"/>
      <c r="C180" s="1802"/>
      <c r="D180" s="1803" t="s">
        <v>1923</v>
      </c>
      <c r="E180" s="1804"/>
      <c r="F180" s="1806">
        <f>'Cap Outlay Deprec 26'!I18</f>
        <v>148702</v>
      </c>
    </row>
    <row r="181" spans="1:7" ht="12" customHeight="1" x14ac:dyDescent="0.2">
      <c r="A181" s="1787"/>
      <c r="B181" s="1801"/>
      <c r="C181" s="1802"/>
      <c r="D181" s="1803" t="s">
        <v>2015</v>
      </c>
      <c r="E181" s="1804"/>
      <c r="F181" s="1806">
        <f>F179+F180</f>
        <v>2196309.2199999997</v>
      </c>
    </row>
    <row r="182" spans="1:7" ht="12" customHeight="1" x14ac:dyDescent="0.2">
      <c r="A182" s="1787"/>
      <c r="B182" s="1807"/>
      <c r="C182" s="1802"/>
      <c r="D182" s="1803" t="str">
        <f>D78</f>
        <v>9 Month ADA from District Average Daily Attendance/Prior General State Aid Inquiry 2017-2018</v>
      </c>
      <c r="E182" s="1804"/>
      <c r="F182" s="1808">
        <f>'PCTC-OEPP 27-28'!F78</f>
        <v>319.77</v>
      </c>
      <c r="G182" s="931"/>
    </row>
    <row r="183" spans="1:7" ht="12" customHeight="1" thickBot="1" x14ac:dyDescent="0.25">
      <c r="A183" s="1787"/>
      <c r="B183" s="1807"/>
      <c r="C183" s="1802"/>
      <c r="D183" s="1803" t="s">
        <v>2016</v>
      </c>
      <c r="E183" s="1804" t="s">
        <v>1626</v>
      </c>
      <c r="F183" s="1809">
        <f>F181/F182</f>
        <v>6868.4029771398191</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0" customFormat="1" ht="12.2" customHeight="1" x14ac:dyDescent="0.2">
      <c r="A186" s="1940" t="s">
        <v>2064</v>
      </c>
      <c r="B186" s="1941"/>
      <c r="C186" s="1942"/>
      <c r="D186" s="1941"/>
      <c r="E186" s="1942"/>
      <c r="F186" s="1941"/>
      <c r="G186" s="1941"/>
    </row>
    <row r="187" spans="1:7" s="1940" customFormat="1" ht="12.2" customHeight="1" x14ac:dyDescent="0.2">
      <c r="A187" s="1943" t="s">
        <v>2065</v>
      </c>
      <c r="C187" s="1942"/>
      <c r="D187" s="1941"/>
      <c r="E187" s="1942"/>
      <c r="F187" s="1941"/>
      <c r="G187" s="1941"/>
    </row>
    <row r="188" spans="1:7" ht="12" customHeight="1" x14ac:dyDescent="0.2">
      <c r="C188" s="950"/>
      <c r="D188" s="931"/>
      <c r="E188" s="950"/>
      <c r="F188" s="931"/>
      <c r="G188" s="931"/>
    </row>
    <row r="189" spans="1:7" x14ac:dyDescent="0.2">
      <c r="A189" s="1944" t="s">
        <v>2063</v>
      </c>
      <c r="B189" s="1945"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GridLines="0" workbookViewId="0">
      <pane ySplit="16" topLeftCell="A17" activePane="bottomLeft" state="frozen"/>
      <selection pane="bottomLeft" activeCell="A24" sqref="A24"/>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7" t="s">
        <v>1939</v>
      </c>
      <c r="B1" s="1678"/>
      <c r="C1" s="1678"/>
      <c r="D1" s="1678"/>
      <c r="E1" s="1678"/>
      <c r="F1" s="1678"/>
      <c r="G1" s="1678"/>
    </row>
    <row r="2" spans="1:7" x14ac:dyDescent="0.25">
      <c r="A2" s="1675"/>
      <c r="B2" s="1675"/>
      <c r="C2" s="1676" t="s">
        <v>1036</v>
      </c>
      <c r="D2" s="1675"/>
      <c r="E2" s="1675"/>
      <c r="F2" s="1675"/>
      <c r="G2" s="1675"/>
    </row>
    <row r="3" spans="1:7" ht="5.25" customHeight="1" x14ac:dyDescent="0.25">
      <c r="A3" s="1565"/>
      <c r="B3" s="1565"/>
      <c r="C3" s="1565"/>
      <c r="D3" s="1565"/>
      <c r="E3" s="1565"/>
      <c r="F3" s="1565"/>
      <c r="G3" s="1565"/>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4" t="s">
        <v>1925</v>
      </c>
      <c r="B6" s="1555"/>
      <c r="C6" s="1555"/>
      <c r="D6" s="1555"/>
      <c r="E6" s="1555"/>
      <c r="F6" s="1555"/>
      <c r="G6" s="1556"/>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7" t="s">
        <v>1926</v>
      </c>
      <c r="B10" s="1558"/>
      <c r="C10" s="1558"/>
      <c r="D10" s="1558"/>
      <c r="E10" s="1558"/>
      <c r="F10" s="1558"/>
      <c r="G10" s="1559"/>
    </row>
    <row r="11" spans="1:7" ht="17.25" customHeight="1" x14ac:dyDescent="0.25">
      <c r="A11" s="2290" t="s">
        <v>1940</v>
      </c>
      <c r="B11" s="2291"/>
      <c r="C11" s="2291"/>
      <c r="D11" s="2291"/>
      <c r="E11" s="2291"/>
      <c r="F11" s="2291"/>
      <c r="G11" s="2292"/>
    </row>
    <row r="12" spans="1:7" ht="15" customHeight="1" x14ac:dyDescent="0.25">
      <c r="A12" s="1557" t="s">
        <v>1931</v>
      </c>
      <c r="B12" s="1558"/>
      <c r="C12" s="1558"/>
      <c r="D12" s="1558"/>
      <c r="E12" s="1558"/>
      <c r="F12" s="1558"/>
      <c r="G12" s="1559"/>
    </row>
    <row r="13" spans="1:7" ht="32.25" customHeight="1" x14ac:dyDescent="0.25">
      <c r="A13" s="2281" t="s">
        <v>1932</v>
      </c>
      <c r="B13" s="2282"/>
      <c r="C13" s="2282"/>
      <c r="D13" s="2282"/>
      <c r="E13" s="2282"/>
      <c r="F13" s="2282"/>
      <c r="G13" s="2283"/>
    </row>
    <row r="14" spans="1:7" x14ac:dyDescent="0.25">
      <c r="A14" s="1679" t="s">
        <v>1941</v>
      </c>
      <c r="B14" s="1680"/>
      <c r="C14" s="1680"/>
      <c r="D14" s="1680"/>
      <c r="E14" s="1680"/>
      <c r="F14" s="1680"/>
      <c r="G14" s="1681"/>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1" t="s">
        <v>2142</v>
      </c>
      <c r="B17" s="1952" t="s">
        <v>2143</v>
      </c>
      <c r="C17" s="1953" t="s">
        <v>2144</v>
      </c>
      <c r="D17" s="1861">
        <v>28954</v>
      </c>
      <c r="E17" s="1560">
        <f t="shared" ref="E17:E24" si="1">IF(D17&lt;=25000,D17,IF(D17&gt;25000,25000,0))</f>
        <v>25000</v>
      </c>
      <c r="F17" s="1810">
        <v>25000</v>
      </c>
      <c r="G17" s="1811">
        <f>IF(F17=0,0,D17-F17)</f>
        <v>3954</v>
      </c>
      <c r="H17" s="1667"/>
    </row>
    <row r="18" spans="1:8" x14ac:dyDescent="0.25">
      <c r="A18" s="1951" t="s">
        <v>2145</v>
      </c>
      <c r="B18" s="1952" t="s">
        <v>2146</v>
      </c>
      <c r="C18" s="1953" t="s">
        <v>2144</v>
      </c>
      <c r="D18" s="1861">
        <v>6283</v>
      </c>
      <c r="E18" s="1560">
        <f t="shared" ref="E18:E23" si="2">IF(D18&lt;=25000,D18,IF(D18&gt;25000,25000,0))</f>
        <v>6283</v>
      </c>
      <c r="F18" s="1810">
        <v>0</v>
      </c>
      <c r="G18" s="1811">
        <v>6283</v>
      </c>
    </row>
    <row r="19" spans="1:8" x14ac:dyDescent="0.25">
      <c r="A19" s="1951" t="s">
        <v>2147</v>
      </c>
      <c r="B19" s="1952" t="s">
        <v>2148</v>
      </c>
      <c r="C19" s="1953" t="s">
        <v>2144</v>
      </c>
      <c r="D19" s="1861">
        <v>6534</v>
      </c>
      <c r="E19" s="1560">
        <f t="shared" si="2"/>
        <v>6534</v>
      </c>
      <c r="F19" s="1810">
        <v>0</v>
      </c>
      <c r="G19" s="1811">
        <v>6534</v>
      </c>
    </row>
    <row r="20" spans="1:8" x14ac:dyDescent="0.25">
      <c r="A20" s="1951" t="s">
        <v>2149</v>
      </c>
      <c r="B20" s="1954" t="s">
        <v>2150</v>
      </c>
      <c r="C20" s="1953" t="s">
        <v>2144</v>
      </c>
      <c r="D20" s="1861">
        <v>429</v>
      </c>
      <c r="E20" s="1560">
        <f t="shared" ref="E20:E21" si="3">IF(D20&lt;=25000,D20,IF(D20&gt;25000,25000,0))</f>
        <v>429</v>
      </c>
      <c r="F20" s="1810">
        <f t="shared" ref="F20" si="4">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1">
        <v>429</v>
      </c>
    </row>
    <row r="21" spans="1:8" x14ac:dyDescent="0.25">
      <c r="A21" s="1951" t="s">
        <v>2156</v>
      </c>
      <c r="B21" s="1954" t="s">
        <v>2152</v>
      </c>
      <c r="C21" s="1953" t="s">
        <v>2151</v>
      </c>
      <c r="D21" s="1861">
        <v>136823</v>
      </c>
      <c r="E21" s="1560">
        <f t="shared" si="3"/>
        <v>25000</v>
      </c>
      <c r="F21" s="1810">
        <v>25000</v>
      </c>
      <c r="G21" s="1811">
        <f t="shared" ref="G21" si="5">IF(F21=0,0,D21-F21)</f>
        <v>111823</v>
      </c>
    </row>
    <row r="22" spans="1:8" ht="30" x14ac:dyDescent="0.25">
      <c r="A22" s="1951" t="s">
        <v>2153</v>
      </c>
      <c r="B22" s="1954" t="s">
        <v>2154</v>
      </c>
      <c r="C22" s="1953" t="s">
        <v>2155</v>
      </c>
      <c r="D22" s="1861">
        <v>39408</v>
      </c>
      <c r="E22" s="1560">
        <f t="shared" ref="E22" si="6">IF(D22&lt;=25000,D22,IF(D22&gt;25000,25000,0))</f>
        <v>25000</v>
      </c>
      <c r="F22" s="1810">
        <v>25000</v>
      </c>
      <c r="G22" s="1811">
        <f t="shared" ref="G22" si="7">IF(F22=0,0,D22-F22)</f>
        <v>14408</v>
      </c>
    </row>
    <row r="23" spans="1:8" x14ac:dyDescent="0.25">
      <c r="A23" s="1673"/>
      <c r="B23" s="1684"/>
      <c r="C23" s="1674"/>
      <c r="D23" s="1861"/>
      <c r="E23" s="1560">
        <f t="shared" si="2"/>
        <v>0</v>
      </c>
      <c r="F23" s="1810">
        <f t="shared" ref="F23" si="8">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11">
        <f t="shared" ref="G23" si="9">IF(F23=0,0,D23-F23)</f>
        <v>0</v>
      </c>
    </row>
    <row r="24" spans="1:8" x14ac:dyDescent="0.25">
      <c r="A24" s="1814" t="s">
        <v>158</v>
      </c>
      <c r="B24" s="1815"/>
      <c r="C24" s="1816"/>
      <c r="D24" s="1812">
        <f>SUM(D17:D23)</f>
        <v>218431</v>
      </c>
      <c r="E24" s="1561">
        <f t="shared" si="1"/>
        <v>25000</v>
      </c>
      <c r="F24" s="1812">
        <f>SUM(F17:F23)</f>
        <v>75000</v>
      </c>
      <c r="G24" s="1813">
        <f>SUM(G17:G23)</f>
        <v>143431</v>
      </c>
    </row>
  </sheetData>
  <sheetProtection selectLockedCells="1"/>
  <mergeCells count="6">
    <mergeCell ref="A13:G13"/>
    <mergeCell ref="A4:G5"/>
    <mergeCell ref="A11:G11"/>
    <mergeCell ref="A7:G7"/>
    <mergeCell ref="A8:G8"/>
    <mergeCell ref="A9:G9"/>
  </mergeCells>
  <printOptions horizontalCentered="1"/>
  <pageMargins left="0.2" right="0.2" top="0.5" bottom="0.25" header="0.3" footer="0.3"/>
  <pageSetup scale="83" firstPageNumber="29" fitToHeight="0" orientation="landscape" useFirstPageNumber="1" r:id="rId1"/>
  <headerFooter>
    <oddHeader>&amp;L&amp;"Calibri,Regular"&amp;8Page &amp;P&amp;R&amp;"Calibri,Regular"&amp;8Page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2075</v>
      </c>
      <c r="B10" s="972"/>
      <c r="C10" s="977"/>
      <c r="D10" s="973"/>
      <c r="E10" s="974">
        <v>136854</v>
      </c>
      <c r="F10" s="975"/>
      <c r="G10" s="976"/>
      <c r="H10" s="162"/>
      <c r="I10" s="162"/>
    </row>
    <row r="11" spans="1:9" s="669" customFormat="1" ht="22.5" customHeight="1" x14ac:dyDescent="0.2">
      <c r="A11" s="2301" t="s">
        <v>1944</v>
      </c>
      <c r="B11" s="2302"/>
      <c r="C11" s="2302"/>
      <c r="D11" s="2303"/>
      <c r="E11" s="978">
        <v>13138</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1514942</v>
      </c>
      <c r="F19" s="1817"/>
      <c r="G19" s="1819">
        <f>'Expenditures 15-22'!K33-SUM('Expenditures 15-22'!G33,'Expenditures 15-22'!I33)+'Expenditures 15-22'!D229</f>
        <v>1514942</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76425</v>
      </c>
      <c r="F21" s="1820"/>
      <c r="G21" s="1823">
        <f>'Expenditures 15-22'!K42-SUM('Expenditures 15-22'!G42,'Expenditures 15-22'!I42)+'Expenditures 15-22'!K120-SUM('Expenditures 15-22'!G120,'Expenditures 15-22'!I120)+'Expenditures 15-22'!K180-SUM('Expenditures 15-22'!G180,'Expenditures 15-22'!I180)+'Expenditures 15-22'!D238</f>
        <v>76425</v>
      </c>
      <c r="H21" s="988"/>
      <c r="I21" s="162"/>
    </row>
    <row r="22" spans="1:9" s="669" customFormat="1" ht="12" customHeight="1" x14ac:dyDescent="0.2">
      <c r="A22" s="995" t="s">
        <v>585</v>
      </c>
      <c r="B22" s="996"/>
      <c r="C22" s="994">
        <v>2200</v>
      </c>
      <c r="D22" s="1820"/>
      <c r="E22" s="1822">
        <f>'Expenditures 15-22'!K47-SUM('Expenditures 15-22'!G47,'Expenditures 15-22'!I47)+'Expenditures 15-22'!D243</f>
        <v>3338</v>
      </c>
      <c r="F22" s="1820"/>
      <c r="G22" s="1823">
        <f>'Expenditures 15-22'!K47-SUM('Expenditures 15-22'!G47,'Expenditures 15-22'!I47)+'Expenditures 15-22'!D243</f>
        <v>3338</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203215</v>
      </c>
      <c r="F23" s="1820"/>
      <c r="G23" s="1822">
        <f>'Expenditures 15-22'!K53-SUM('Expenditures 15-22'!G53,'Expenditures 15-22'!I53)+'Expenditures 15-22'!D257+'Expenditures 15-22'!K330-SUM('Expenditures 15-22'!G330,'Expenditures 15-22'!I330)</f>
        <v>203215</v>
      </c>
      <c r="H23" s="988"/>
      <c r="I23" s="162"/>
    </row>
    <row r="24" spans="1:9" s="669" customFormat="1" ht="12" customHeight="1" x14ac:dyDescent="0.2">
      <c r="A24" s="995" t="s">
        <v>587</v>
      </c>
      <c r="B24" s="996"/>
      <c r="C24" s="994">
        <v>2400</v>
      </c>
      <c r="D24" s="1820"/>
      <c r="E24" s="1822">
        <f>'Expenditures 15-22'!K57-SUM('Expenditures 15-22'!G57,'Expenditures 15-22'!I57)+'Expenditures 15-22'!D261</f>
        <v>170784</v>
      </c>
      <c r="F24" s="1820"/>
      <c r="G24" s="1823">
        <f>'Expenditures 15-22'!K57-SUM('Expenditures 15-22'!G57,'Expenditures 15-22'!I57)+'Expenditures 15-22'!D261</f>
        <v>170784</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66470</v>
      </c>
      <c r="E27" s="1822">
        <f>E8</f>
        <v>0</v>
      </c>
      <c r="F27" s="1822">
        <f>'Expenditures 15-22'!K60-SUM('Expenditures 15-22'!G60,'Expenditures 15-22'!I60)+'Expenditures 15-22'!D264-E8</f>
        <v>66470</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218176</v>
      </c>
      <c r="F28" s="1824">
        <f>'Expenditures 15-22'!K61-SUM('Expenditures 15-22'!G61,'Expenditures 15-22'!I61)+'Expenditures 15-22'!K124-SUM('Expenditures 15-22'!G124,'Expenditures 15-22'!I124)+'Expenditures 15-22'!D266-E9</f>
        <v>218176</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149540</v>
      </c>
      <c r="F29" s="1820"/>
      <c r="G29" s="1823">
        <f>'Expenditures 15-22'!K62-SUM('Expenditures 15-22'!G62,'Expenditures 15-22'!I62)+'Expenditures 15-22'!K125-SUM('Expenditures 15-22'!G125,'Expenditures 15-22'!I125)+'Expenditures 15-22'!K182-SUM('Expenditures 15-22'!G182,'Expenditures 15-22'!I182)+'Expenditures 15-22'!D267</f>
        <v>149540</v>
      </c>
      <c r="H29" s="986"/>
    </row>
    <row r="30" spans="1:9" ht="12" customHeight="1" x14ac:dyDescent="0.2">
      <c r="A30" s="995" t="s">
        <v>102</v>
      </c>
      <c r="B30" s="998"/>
      <c r="C30" s="994">
        <v>2560</v>
      </c>
      <c r="D30" s="1820"/>
      <c r="E30" s="1822">
        <f>'Expenditures 15-22'!K63-SUM('Expenditures 15-22'!G63,'Expenditures 15-22'!I63)+'Expenditures 15-22'!D268-E10</f>
        <v>0</v>
      </c>
      <c r="F30" s="1820"/>
      <c r="G30" s="1822">
        <f>'Expenditures 15-22'!K63-SUM('Expenditures 15-22'!G63,'Expenditures 15-22'!I63)+'Expenditures 15-22'!D268-E10</f>
        <v>0</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119</v>
      </c>
      <c r="F39" s="1820"/>
      <c r="G39" s="1822">
        <f>'Expenditures 15-22'!K75-SUM('Expenditures 15-22'!G75,'Expenditures 15-22'!I75)+'Expenditures 15-22'!K130-SUM('Expenditures 15-22'!G130,'Expenditures 15-22'!I130)+'Expenditures 15-22'!K185-SUM('Expenditures 15-22'!G185,'Expenditures 15-22'!I185)+'Expenditures 15-22'!D280</f>
        <v>119</v>
      </c>
    </row>
    <row r="40" spans="1:7" ht="12" customHeight="1" x14ac:dyDescent="0.2">
      <c r="A40" s="991" t="s">
        <v>1929</v>
      </c>
      <c r="B40" s="992"/>
      <c r="C40" s="994"/>
      <c r="D40" s="1820"/>
      <c r="E40" s="1824">
        <f>-'Contracts Paid in CY 29'!G24</f>
        <v>-143431</v>
      </c>
      <c r="F40" s="1820"/>
      <c r="G40" s="1824">
        <f>-'Contracts Paid in CY 29'!G24</f>
        <v>-143431</v>
      </c>
    </row>
    <row r="41" spans="1:7" ht="12" customHeight="1" x14ac:dyDescent="0.2">
      <c r="A41" s="999" t="s">
        <v>158</v>
      </c>
      <c r="B41" s="1000"/>
      <c r="C41" s="1001"/>
      <c r="D41" s="1824">
        <f>SUM(D19:D39)</f>
        <v>66470</v>
      </c>
      <c r="E41" s="1824">
        <f>SUM(E19:E40)</f>
        <v>2193108</v>
      </c>
      <c r="F41" s="1824">
        <f>SUM(F19:F39)</f>
        <v>284646</v>
      </c>
      <c r="G41" s="1824">
        <f>SUM(G19:G40)</f>
        <v>1974932</v>
      </c>
    </row>
    <row r="42" spans="1:7" x14ac:dyDescent="0.2">
      <c r="A42" s="988"/>
      <c r="B42" s="162"/>
      <c r="C42" s="1002"/>
      <c r="D42" s="2299" t="s">
        <v>543</v>
      </c>
      <c r="E42" s="2300"/>
      <c r="F42" s="1003" t="s">
        <v>544</v>
      </c>
      <c r="G42" s="1004"/>
    </row>
    <row r="43" spans="1:7" ht="12" customHeight="1" x14ac:dyDescent="0.2">
      <c r="A43" s="988"/>
      <c r="B43" s="162"/>
      <c r="C43" s="1002"/>
      <c r="D43" s="1825" t="s">
        <v>493</v>
      </c>
      <c r="E43" s="1826">
        <f>D41</f>
        <v>66470</v>
      </c>
      <c r="F43" s="1825" t="s">
        <v>495</v>
      </c>
      <c r="G43" s="1826">
        <f>F41</f>
        <v>284646</v>
      </c>
    </row>
    <row r="44" spans="1:7" ht="12" customHeight="1" x14ac:dyDescent="0.2">
      <c r="A44" s="988"/>
      <c r="B44" s="162"/>
      <c r="C44" s="1002"/>
      <c r="D44" s="1825" t="s">
        <v>494</v>
      </c>
      <c r="E44" s="1826">
        <f>E41</f>
        <v>2193108</v>
      </c>
      <c r="F44" s="1825" t="s">
        <v>494</v>
      </c>
      <c r="G44" s="1826">
        <f>G41</f>
        <v>1974932</v>
      </c>
    </row>
    <row r="45" spans="1:7" ht="12" customHeight="1" x14ac:dyDescent="0.2">
      <c r="A45" s="988"/>
      <c r="B45" s="162"/>
      <c r="C45" s="162"/>
      <c r="D45" s="1827" t="s">
        <v>1063</v>
      </c>
      <c r="E45" s="1828">
        <f>(E43/E44)</f>
        <v>3.030858489413198E-2</v>
      </c>
      <c r="F45" s="1827" t="s">
        <v>1063</v>
      </c>
      <c r="G45" s="1828">
        <f>(G43/G44)</f>
        <v>0.14412951939611085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17" sqref="F17"/>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8" t="s">
        <v>1446</v>
      </c>
      <c r="B1" s="2318"/>
      <c r="C1" s="2318"/>
      <c r="D1" s="2318"/>
      <c r="E1" s="2318"/>
      <c r="F1" s="2318"/>
    </row>
    <row r="2" spans="1:10" x14ac:dyDescent="0.2">
      <c r="A2" s="1904" t="s">
        <v>2047</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19" t="s">
        <v>1627</v>
      </c>
      <c r="B5" s="2320"/>
      <c r="C5" s="2321"/>
      <c r="D5" s="2321"/>
      <c r="E5" s="2321"/>
      <c r="F5" s="2321"/>
    </row>
    <row r="6" spans="1:10" ht="12" customHeight="1" x14ac:dyDescent="0.25">
      <c r="A6" s="1867"/>
      <c r="B6" s="1868"/>
      <c r="C6" s="2322" t="str">
        <f>COVER!A17</f>
        <v>Thompsonville Community Unit School District #174</v>
      </c>
      <c r="D6" s="2322"/>
      <c r="E6" s="2322"/>
      <c r="F6" s="1869"/>
    </row>
    <row r="7" spans="1:10" ht="11.25" customHeight="1" thickBot="1" x14ac:dyDescent="0.3">
      <c r="A7" s="1867"/>
      <c r="B7" s="1868"/>
      <c r="C7" s="2323">
        <f>COVER!A13</f>
        <v>21028174026</v>
      </c>
      <c r="D7" s="2323"/>
      <c r="E7" s="2323"/>
      <c r="F7" s="1869"/>
    </row>
    <row r="8" spans="1:10" ht="25.5" customHeight="1" thickBot="1" x14ac:dyDescent="0.25">
      <c r="A8" s="1910" t="s">
        <v>2024</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t="s">
        <v>2076</v>
      </c>
      <c r="D16" s="1882" t="s">
        <v>2076</v>
      </c>
      <c r="E16" s="1885" t="s">
        <v>2076</v>
      </c>
      <c r="F16" s="1884" t="s">
        <v>2107</v>
      </c>
      <c r="H16" s="1895">
        <f t="shared" si="0"/>
        <v>5</v>
      </c>
      <c r="I16" s="1895">
        <f t="shared" si="1"/>
        <v>5</v>
      </c>
      <c r="J16" s="1895">
        <f t="shared" si="2"/>
        <v>5</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t="s">
        <v>2076</v>
      </c>
      <c r="D19" s="1882" t="s">
        <v>2076</v>
      </c>
      <c r="E19" s="1885" t="s">
        <v>2076</v>
      </c>
      <c r="F19" s="1884" t="s">
        <v>2106</v>
      </c>
      <c r="H19" s="1895">
        <f t="shared" si="0"/>
        <v>5</v>
      </c>
      <c r="I19" s="1895">
        <f t="shared" si="1"/>
        <v>5</v>
      </c>
      <c r="J19" s="1895">
        <f t="shared" si="2"/>
        <v>5</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t="s">
        <v>2076</v>
      </c>
      <c r="D21" s="1882" t="s">
        <v>2076</v>
      </c>
      <c r="E21" s="1885" t="s">
        <v>2076</v>
      </c>
      <c r="F21" s="1884" t="s">
        <v>2105</v>
      </c>
      <c r="H21" s="1895">
        <f t="shared" si="0"/>
        <v>5</v>
      </c>
      <c r="I21" s="1895">
        <f t="shared" si="1"/>
        <v>5</v>
      </c>
      <c r="J21" s="1895">
        <f t="shared" si="2"/>
        <v>5</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2076</v>
      </c>
      <c r="D26" s="1882" t="s">
        <v>2076</v>
      </c>
      <c r="E26" s="1885" t="s">
        <v>2076</v>
      </c>
      <c r="F26" s="1884" t="s">
        <v>2104</v>
      </c>
      <c r="H26" s="1895">
        <f t="shared" si="0"/>
        <v>5</v>
      </c>
      <c r="I26" s="1895">
        <f t="shared" si="1"/>
        <v>5</v>
      </c>
      <c r="J26" s="1895">
        <f t="shared" si="2"/>
        <v>5</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t="s">
        <v>2076</v>
      </c>
      <c r="D29" s="1882" t="s">
        <v>2076</v>
      </c>
      <c r="E29" s="1885" t="s">
        <v>2076</v>
      </c>
      <c r="F29" s="1884" t="s">
        <v>2103</v>
      </c>
      <c r="H29" s="1895">
        <f t="shared" si="0"/>
        <v>5</v>
      </c>
      <c r="I29" s="1895">
        <f t="shared" si="1"/>
        <v>5</v>
      </c>
      <c r="J29" s="1895">
        <f t="shared" si="2"/>
        <v>5</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25</v>
      </c>
      <c r="I34" s="1895">
        <f>SUM(I11:I32)</f>
        <v>25</v>
      </c>
      <c r="J34" s="1895">
        <f>SUM(J11:J32)</f>
        <v>25</v>
      </c>
      <c r="K34" s="1895">
        <f>SUM(H34:J34)</f>
        <v>75</v>
      </c>
    </row>
    <row r="35" spans="1:11" ht="12" customHeight="1" x14ac:dyDescent="0.2">
      <c r="A35" s="1888" t="s">
        <v>1459</v>
      </c>
      <c r="B35" s="1889"/>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0"/>
      <c r="B39" s="1890"/>
      <c r="C39" s="1890"/>
      <c r="D39" s="1890"/>
      <c r="E39" s="1890"/>
      <c r="F39" s="1890"/>
    </row>
    <row r="40" spans="1:11" s="1887" customFormat="1" ht="12" customHeight="1" x14ac:dyDescent="0.25">
      <c r="A40" s="1891" t="s">
        <v>1458</v>
      </c>
      <c r="B40" s="1892"/>
      <c r="C40" s="2313"/>
      <c r="D40" s="2313"/>
      <c r="E40" s="2313"/>
      <c r="F40" s="2314"/>
      <c r="H40" s="1896"/>
      <c r="I40" s="1896"/>
      <c r="J40" s="1896"/>
      <c r="K40" s="1896"/>
    </row>
    <row r="41" spans="1:11" s="1887" customFormat="1" ht="12" customHeight="1" x14ac:dyDescent="0.25">
      <c r="A41" s="2315"/>
      <c r="B41" s="2316"/>
      <c r="C41" s="2316"/>
      <c r="D41" s="2316"/>
      <c r="E41" s="2316"/>
      <c r="F41" s="2317"/>
      <c r="H41" s="1896"/>
      <c r="I41" s="1896"/>
      <c r="J41" s="1896"/>
      <c r="K41" s="1896"/>
    </row>
    <row r="42" spans="1:11" s="1887" customFormat="1" ht="12" customHeight="1" x14ac:dyDescent="0.25">
      <c r="A42" s="2315"/>
      <c r="B42" s="2316"/>
      <c r="C42" s="2316"/>
      <c r="D42" s="2316"/>
      <c r="E42" s="2316"/>
      <c r="F42" s="2317"/>
      <c r="H42" s="1896"/>
      <c r="I42" s="1896"/>
      <c r="J42" s="1896"/>
      <c r="K42" s="1896"/>
    </row>
    <row r="43" spans="1:11" s="1887" customFormat="1" ht="15" x14ac:dyDescent="0.25">
      <c r="A43" s="2304"/>
      <c r="B43" s="2305"/>
      <c r="C43" s="2305"/>
      <c r="D43" s="2305"/>
      <c r="E43" s="2305"/>
      <c r="F43" s="2306"/>
      <c r="H43" s="1896"/>
      <c r="I43" s="1896"/>
      <c r="J43" s="1896"/>
      <c r="K43" s="1896"/>
    </row>
    <row r="44" spans="1:11" s="1887" customFormat="1" ht="12" hidden="1" customHeight="1" x14ac:dyDescent="0.25">
      <c r="A44" s="2304"/>
      <c r="B44" s="2305"/>
      <c r="C44" s="2305"/>
      <c r="D44" s="2305"/>
      <c r="E44" s="2305"/>
      <c r="F44" s="2306"/>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72" firstPageNumber="31"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2"/>
      <c r="C6" s="1662"/>
      <c r="D6" s="1662"/>
      <c r="E6" s="1663"/>
      <c r="F6" s="1016"/>
      <c r="G6" s="1010"/>
      <c r="H6" s="1017" t="s">
        <v>1086</v>
      </c>
      <c r="I6" s="2331" t="str">
        <f>COVER!A17</f>
        <v>Thompsonville Community Unit School District #174</v>
      </c>
      <c r="J6" s="2332"/>
      <c r="Q6" s="1682"/>
    </row>
    <row r="7" spans="1:17" x14ac:dyDescent="0.2">
      <c r="A7" s="2333" t="s">
        <v>924</v>
      </c>
      <c r="B7" s="2334"/>
      <c r="C7" s="2334"/>
      <c r="D7" s="2334"/>
      <c r="E7" s="2335"/>
      <c r="F7" s="1018"/>
      <c r="G7" s="1010"/>
      <c r="H7" s="1017" t="s">
        <v>390</v>
      </c>
      <c r="I7" s="2336">
        <f>COVER!A13</f>
        <v>21028174026</v>
      </c>
      <c r="J7" s="2336"/>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103248</v>
      </c>
      <c r="F12" s="1040"/>
      <c r="G12" s="1829">
        <f t="shared" ref="G12:G18" si="0">SUM(E12:F12)</f>
        <v>103248</v>
      </c>
      <c r="H12" s="1041">
        <v>99180</v>
      </c>
      <c r="I12" s="1040"/>
      <c r="J12" s="1829">
        <f t="shared" ref="J12:J18" si="1">SUM(H12:I12)</f>
        <v>99180</v>
      </c>
    </row>
    <row r="13" spans="1:17" ht="15" customHeight="1" x14ac:dyDescent="0.2">
      <c r="A13" s="1036">
        <v>2</v>
      </c>
      <c r="B13" s="1037" t="s">
        <v>44</v>
      </c>
      <c r="C13" s="1038"/>
      <c r="D13" s="1039">
        <v>2330</v>
      </c>
      <c r="E13" s="1829">
        <f>'Expenditures 15-22'!K51</f>
        <v>0</v>
      </c>
      <c r="F13" s="1040"/>
      <c r="G13" s="1829">
        <f t="shared" si="0"/>
        <v>0</v>
      </c>
      <c r="H13" s="1041">
        <v>0</v>
      </c>
      <c r="I13" s="1040"/>
      <c r="J13" s="1829">
        <f t="shared" si="1"/>
        <v>0</v>
      </c>
    </row>
    <row r="14" spans="1:17" ht="15" customHeight="1" x14ac:dyDescent="0.2">
      <c r="A14" s="1036">
        <v>3</v>
      </c>
      <c r="B14" s="1037" t="s">
        <v>45</v>
      </c>
      <c r="C14" s="1038"/>
      <c r="D14" s="1042">
        <v>2490</v>
      </c>
      <c r="E14" s="1829">
        <f>'Expenditures 15-22'!K56</f>
        <v>0</v>
      </c>
      <c r="F14" s="1040"/>
      <c r="G14" s="1829">
        <f t="shared" si="0"/>
        <v>0</v>
      </c>
      <c r="H14" s="1041">
        <v>0</v>
      </c>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v>0</v>
      </c>
      <c r="I15" s="1041">
        <v>0</v>
      </c>
      <c r="J15" s="1829">
        <f t="shared" si="1"/>
        <v>0</v>
      </c>
    </row>
    <row r="16" spans="1:17" ht="15" customHeight="1" x14ac:dyDescent="0.2">
      <c r="A16" s="1036">
        <v>5</v>
      </c>
      <c r="B16" s="1037" t="s">
        <v>103</v>
      </c>
      <c r="C16" s="1038"/>
      <c r="D16" s="1039">
        <v>2570</v>
      </c>
      <c r="E16" s="1829">
        <f>'Expenditures 15-22'!K64</f>
        <v>0</v>
      </c>
      <c r="F16" s="1040"/>
      <c r="G16" s="1829">
        <f t="shared" si="0"/>
        <v>0</v>
      </c>
      <c r="H16" s="1041">
        <v>0</v>
      </c>
      <c r="I16" s="1040"/>
      <c r="J16" s="1829">
        <f t="shared" si="1"/>
        <v>0</v>
      </c>
    </row>
    <row r="17" spans="1:10" ht="15" customHeight="1" x14ac:dyDescent="0.2">
      <c r="A17" s="1036">
        <v>6</v>
      </c>
      <c r="B17" s="1037" t="s">
        <v>1120</v>
      </c>
      <c r="C17" s="1038"/>
      <c r="D17" s="1039">
        <v>2610</v>
      </c>
      <c r="E17" s="1829">
        <f>'Expenditures 15-22'!K67</f>
        <v>0</v>
      </c>
      <c r="F17" s="1040"/>
      <c r="G17" s="1829">
        <f t="shared" si="0"/>
        <v>0</v>
      </c>
      <c r="H17" s="1041">
        <v>0</v>
      </c>
      <c r="I17" s="1040"/>
      <c r="J17" s="1829">
        <f t="shared" si="1"/>
        <v>0</v>
      </c>
    </row>
    <row r="18" spans="1:10" ht="22.5" customHeight="1" x14ac:dyDescent="0.2">
      <c r="A18" s="1043">
        <v>7</v>
      </c>
      <c r="B18" s="2340" t="s">
        <v>7</v>
      </c>
      <c r="C18" s="2341"/>
      <c r="D18" s="2342"/>
      <c r="E18" s="1044">
        <v>0</v>
      </c>
      <c r="F18" s="1044">
        <v>0</v>
      </c>
      <c r="G18" s="1830">
        <f t="shared" si="0"/>
        <v>0</v>
      </c>
      <c r="H18" s="1041">
        <v>0</v>
      </c>
      <c r="I18" s="1041">
        <v>0</v>
      </c>
      <c r="J18" s="1829">
        <f t="shared" si="1"/>
        <v>0</v>
      </c>
    </row>
    <row r="19" spans="1:10" ht="12.75" customHeight="1" thickBot="1" x14ac:dyDescent="0.25">
      <c r="A19" s="1036">
        <v>8</v>
      </c>
      <c r="B19" s="1045" t="s">
        <v>1223</v>
      </c>
      <c r="D19" s="1046"/>
      <c r="E19" s="1831">
        <f t="shared" ref="E19:J19" si="2">SUM(E12:E17)-E18</f>
        <v>103248</v>
      </c>
      <c r="F19" s="1831">
        <f t="shared" si="2"/>
        <v>0</v>
      </c>
      <c r="G19" s="1831">
        <f t="shared" si="2"/>
        <v>103248</v>
      </c>
      <c r="H19" s="1831">
        <f t="shared" si="2"/>
        <v>99180</v>
      </c>
      <c r="I19" s="1831">
        <f t="shared" si="2"/>
        <v>0</v>
      </c>
      <c r="J19" s="1831">
        <f t="shared" si="2"/>
        <v>99180</v>
      </c>
    </row>
    <row r="20" spans="1:10" ht="13.5" thickTop="1" x14ac:dyDescent="0.2">
      <c r="A20" s="1036">
        <v>9</v>
      </c>
      <c r="B20" s="2343" t="s">
        <v>1703</v>
      </c>
      <c r="C20" s="2343"/>
      <c r="D20" s="2344"/>
      <c r="E20" s="1047"/>
      <c r="F20" s="1047"/>
      <c r="G20" s="1047"/>
      <c r="H20" s="1047"/>
      <c r="I20" s="1047"/>
      <c r="J20" s="1832">
        <f>IF(AND(G19&gt;0,J19&gt;0),(((J19-G19)/G19)),"Enter Budget Data")</f>
        <v>-3.9400278940027893E-2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1093</v>
      </c>
      <c r="D27" s="1053"/>
      <c r="E27" s="1054"/>
      <c r="F27" s="2345" t="s">
        <v>1589</v>
      </c>
      <c r="G27" s="2345"/>
    </row>
    <row r="28" spans="1:10" ht="28.5" customHeight="1" x14ac:dyDescent="0.2">
      <c r="B28" s="1048"/>
      <c r="C28" s="2347" t="s">
        <v>2096</v>
      </c>
      <c r="D28" s="2347"/>
      <c r="E28" s="1055"/>
      <c r="F28" s="2347" t="s">
        <v>2108</v>
      </c>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1943</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2" orientation="landscape"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2133</v>
      </c>
    </row>
    <row r="6" spans="1:2" x14ac:dyDescent="0.2">
      <c r="A6" s="1069">
        <v>2</v>
      </c>
      <c r="B6" s="329" t="s">
        <v>2134</v>
      </c>
    </row>
    <row r="7" spans="1:2" x14ac:dyDescent="0.2">
      <c r="A7" s="1069">
        <v>3</v>
      </c>
      <c r="B7" s="329" t="s">
        <v>2135</v>
      </c>
    </row>
    <row r="8" spans="1:2" x14ac:dyDescent="0.2">
      <c r="A8" s="1069">
        <v>4</v>
      </c>
      <c r="B8" s="329" t="s">
        <v>2136</v>
      </c>
    </row>
    <row r="9" spans="1:2" x14ac:dyDescent="0.2">
      <c r="A9" s="1069">
        <v>5</v>
      </c>
      <c r="B9" s="329" t="s">
        <v>2137</v>
      </c>
    </row>
    <row r="10" spans="1:2" x14ac:dyDescent="0.2">
      <c r="A10" s="1069">
        <v>6</v>
      </c>
      <c r="B10" s="329" t="s">
        <v>2138</v>
      </c>
    </row>
    <row r="11" spans="1:2" x14ac:dyDescent="0.2">
      <c r="A11" s="1069">
        <v>7</v>
      </c>
      <c r="B11" s="329" t="s">
        <v>2137</v>
      </c>
    </row>
    <row r="12" spans="1:2" x14ac:dyDescent="0.2">
      <c r="A12" s="1069">
        <v>8</v>
      </c>
      <c r="B12" s="329" t="s">
        <v>2139</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Thompsonville Community Unit School District #174</v>
      </c>
    </row>
    <row r="65" spans="2:2" x14ac:dyDescent="0.2">
      <c r="B65" s="1070">
        <f>COVER!A13</f>
        <v>21028174026</v>
      </c>
    </row>
  </sheetData>
  <phoneticPr fontId="13" type="noConversion"/>
  <pageMargins left="0.2" right="0.2" top="1.17" bottom="0.75" header="0.19" footer="0.16"/>
  <pageSetup scale="80" firstPageNumber="33" orientation="portrait" useFirstPageNumber="1" r:id="rId1"/>
  <headerFooter alignWithMargins="0">
    <oddHeader>&amp;L&amp;"Calibri,Regular"&amp;8Page &amp;P&amp;C &amp;R&amp;"Calibri,Regular"&amp;8Page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32" sqref="B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4" t="s">
        <v>1709</v>
      </c>
    </row>
    <row r="23" spans="1:5" x14ac:dyDescent="0.2">
      <c r="A23" s="168"/>
      <c r="B23" s="162" t="s">
        <v>1968</v>
      </c>
      <c r="D23" s="167" t="s">
        <v>658</v>
      </c>
      <c r="E23" s="1854"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0.2" right="0.2" top="1" bottom="1" header="0.5" footer="0.5"/>
  <pageSetup scale="80" firstPageNumber="34" orientation="portrait" useFirstPageNumber="1" r:id="rId1"/>
  <headerFooter alignWithMargins="0">
    <oddHeader>&amp;L&amp;"Calibri,Regular"&amp;8Page &amp;P&amp;R&amp;"Calibri,Regular"&amp;8Page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rintOptions horizontalCentered="1"/>
  <pageMargins left="0.75" right="0.75" top="1" bottom="1" header="0.5" footer="0.5"/>
  <pageSetup firstPageNumber="35" orientation="portrait" useFirstPageNumber="1" r:id="rId1"/>
  <headerFooter alignWithMargins="0">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7889" r:id="rId4">
          <objectPr defaultSize="0" altText="Notes to Basic Financial Statements" r:id="rId5">
            <anchor moveWithCells="1">
              <from>
                <xdr:col>0</xdr:col>
                <xdr:colOff>66675</xdr:colOff>
                <xdr:row>6</xdr:row>
                <xdr:rowOff>66675</xdr:rowOff>
              </from>
              <to>
                <xdr:col>1</xdr:col>
                <xdr:colOff>857250</xdr:colOff>
                <xdr:row>10</xdr:row>
                <xdr:rowOff>104775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altText="Corrective Action Plan" r:id="rId7">
            <anchor moveWithCells="1">
              <from>
                <xdr:col>1</xdr:col>
                <xdr:colOff>990600</xdr:colOff>
                <xdr:row>6</xdr:row>
                <xdr:rowOff>47625</xdr:rowOff>
              </from>
              <to>
                <xdr:col>1</xdr:col>
                <xdr:colOff>1905000</xdr:colOff>
                <xdr:row>10</xdr:row>
                <xdr:rowOff>85725</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altText="Signed Page 2" r:id="rId9">
            <anchor moveWithCells="1">
              <from>
                <xdr:col>1</xdr:col>
                <xdr:colOff>2085975</xdr:colOff>
                <xdr:row>6</xdr:row>
                <xdr:rowOff>38100</xdr:rowOff>
              </from>
              <to>
                <xdr:col>1</xdr:col>
                <xdr:colOff>3000375</xdr:colOff>
                <xdr:row>10</xdr:row>
                <xdr:rowOff>76200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3" r:id="rId10">
          <objectPr defaultSize="0" altText="SAS Letter" r:id="rId11">
            <anchor moveWithCells="1">
              <from>
                <xdr:col>1</xdr:col>
                <xdr:colOff>1000125</xdr:colOff>
                <xdr:row>1</xdr:row>
                <xdr:rowOff>47625</xdr:rowOff>
              </from>
              <to>
                <xdr:col>1</xdr:col>
                <xdr:colOff>1914525</xdr:colOff>
                <xdr:row>5</xdr:row>
                <xdr:rowOff>85725</xdr:rowOff>
              </to>
            </anchor>
          </objectPr>
        </oleObject>
      </mc:Choice>
      <mc:Fallback>
        <oleObject progId="Acrobat Document" dvAspect="DVASPECT_ICON" shapeId="37893" r:id="rId10"/>
      </mc:Fallback>
    </mc:AlternateContent>
    <mc:AlternateContent xmlns:mc="http://schemas.openxmlformats.org/markup-compatibility/2006">
      <mc:Choice Requires="x14">
        <oleObject progId="Acrobat Document" dvAspect="DVASPECT_ICON" shapeId="37894" r:id="rId12">
          <objectPr defaultSize="0" altText="Peer Review Letter" r:id="rId13">
            <anchor moveWithCells="1">
              <from>
                <xdr:col>1</xdr:col>
                <xdr:colOff>2057400</xdr:colOff>
                <xdr:row>1</xdr:row>
                <xdr:rowOff>47625</xdr:rowOff>
              </from>
              <to>
                <xdr:col>1</xdr:col>
                <xdr:colOff>2971800</xdr:colOff>
                <xdr:row>5</xdr:row>
                <xdr:rowOff>85725</xdr:rowOff>
              </to>
            </anchor>
          </objectPr>
        </oleObject>
      </mc:Choice>
      <mc:Fallback>
        <oleObject progId="Acrobat Document" dvAspect="DVASPECT_ICON" shapeId="37894" r:id="rId12"/>
      </mc:Fallback>
    </mc:AlternateContent>
    <mc:AlternateContent xmlns:mc="http://schemas.openxmlformats.org/markup-compatibility/2006">
      <mc:Choice Requires="x14">
        <oleObject progId="Acrobat Document" dvAspect="DVASPECT_ICON" shapeId="37895" r:id="rId14">
          <objectPr defaultSize="0" altText="Signed Management Rep Letter" r:id="rId15">
            <anchor moveWithCells="1">
              <from>
                <xdr:col>0</xdr:col>
                <xdr:colOff>95250</xdr:colOff>
                <xdr:row>1</xdr:row>
                <xdr:rowOff>57150</xdr:rowOff>
              </from>
              <to>
                <xdr:col>1</xdr:col>
                <xdr:colOff>885825</xdr:colOff>
                <xdr:row>5</xdr:row>
                <xdr:rowOff>95250</xdr:rowOff>
              </to>
            </anchor>
          </objectPr>
        </oleObject>
      </mc:Choice>
      <mc:Fallback>
        <oleObject progId="Acrobat Document" dvAspect="DVASPECT_ICON" shapeId="3789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4"/>
      <c r="H2" s="1074"/>
    </row>
    <row r="3" spans="1:8" ht="57" customHeight="1" x14ac:dyDescent="0.2">
      <c r="A3" s="2364" t="s">
        <v>1786</v>
      </c>
      <c r="B3" s="2365"/>
      <c r="C3" s="2365"/>
      <c r="D3" s="2365"/>
      <c r="E3" s="2365"/>
      <c r="F3" s="2366"/>
      <c r="G3" s="1074"/>
      <c r="H3" s="1074"/>
    </row>
    <row r="4" spans="1:8" ht="14.25" customHeight="1" x14ac:dyDescent="0.2">
      <c r="A4" s="2370" t="s">
        <v>2055</v>
      </c>
      <c r="B4" s="2371"/>
      <c r="C4" s="2371"/>
      <c r="D4" s="2371"/>
      <c r="E4" s="2371"/>
      <c r="F4" s="2372"/>
      <c r="G4" s="1074"/>
      <c r="H4" s="1074"/>
    </row>
    <row r="5" spans="1:8" ht="14.25" customHeight="1" x14ac:dyDescent="0.2">
      <c r="A5" s="2373" t="s">
        <v>2056</v>
      </c>
      <c r="B5" s="2374"/>
      <c r="C5" s="2374"/>
      <c r="D5" s="2374"/>
      <c r="E5" s="2374"/>
      <c r="F5" s="2375"/>
      <c r="G5" s="1074"/>
      <c r="H5" s="1074"/>
    </row>
    <row r="6" spans="1:8" s="1075" customFormat="1" ht="41.25" customHeight="1" x14ac:dyDescent="0.2">
      <c r="A6" s="2367" t="s">
        <v>1792</v>
      </c>
      <c r="B6" s="2368"/>
      <c r="C6" s="2368"/>
      <c r="D6" s="2368"/>
      <c r="E6" s="2368"/>
      <c r="F6" s="2369"/>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3">
        <f>'Acct Summary 7-8'!C8</f>
        <v>2537541</v>
      </c>
      <c r="C8" s="1833">
        <f>'Acct Summary 7-8'!D8</f>
        <v>109587</v>
      </c>
      <c r="D8" s="1833">
        <f>'Acct Summary 7-8'!F8</f>
        <v>148527</v>
      </c>
      <c r="E8" s="1833">
        <f>'Acct Summary 7-8'!I8</f>
        <v>11554</v>
      </c>
      <c r="F8" s="1833">
        <f>SUM(B8:E8)</f>
        <v>2807209</v>
      </c>
    </row>
    <row r="9" spans="1:8" s="1079" customFormat="1" ht="14.25" customHeight="1" thickBot="1" x14ac:dyDescent="0.25">
      <c r="A9" s="1078" t="s">
        <v>1436</v>
      </c>
      <c r="B9" s="1834">
        <f>'Acct Summary 7-8'!C17</f>
        <v>2184004</v>
      </c>
      <c r="C9" s="1834">
        <f>'Acct Summary 7-8'!D17</f>
        <v>105669</v>
      </c>
      <c r="D9" s="1834">
        <f>'Acct Summary 7-8'!F17</f>
        <v>135508</v>
      </c>
      <c r="E9" s="1833"/>
      <c r="F9" s="1833">
        <f>SUM(B9:E9)</f>
        <v>2425181</v>
      </c>
    </row>
    <row r="10" spans="1:8" s="1079" customFormat="1" ht="14.25" thickTop="1" thickBot="1" x14ac:dyDescent="0.25">
      <c r="A10" s="1080" t="s">
        <v>1437</v>
      </c>
      <c r="B10" s="1835">
        <f>(B8-B9)</f>
        <v>353537</v>
      </c>
      <c r="C10" s="1835">
        <f>(C8-C9)</f>
        <v>3918</v>
      </c>
      <c r="D10" s="1835">
        <f>(D8-D9)</f>
        <v>13019</v>
      </c>
      <c r="E10" s="1834">
        <f>(E8-E9)</f>
        <v>11554</v>
      </c>
      <c r="F10" s="1836">
        <f>SUM(F8-F9)</f>
        <v>382028</v>
      </c>
    </row>
    <row r="11" spans="1:8" s="1079" customFormat="1" ht="14.25" thickTop="1" thickBot="1" x14ac:dyDescent="0.25">
      <c r="A11" s="1081" t="s">
        <v>1785</v>
      </c>
      <c r="B11" s="1837">
        <f>'Acct Summary 7-8'!C81</f>
        <v>924008</v>
      </c>
      <c r="C11" s="1837">
        <f>'Acct Summary 7-8'!D81</f>
        <v>31500</v>
      </c>
      <c r="D11" s="1837">
        <f>'Acct Summary 7-8'!F81</f>
        <v>49155</v>
      </c>
      <c r="E11" s="1837">
        <f>'Acct Summary 7-8'!I81</f>
        <v>346240</v>
      </c>
      <c r="F11" s="1838">
        <f>SUM(B11:E11)</f>
        <v>1350903</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1787</v>
      </c>
      <c r="B16" s="2354"/>
      <c r="C16" s="2354"/>
      <c r="D16" s="2354"/>
      <c r="E16" s="2354"/>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6" fitToHeight="0" orientation="landscape" useFirstPageNumber="1" r:id="rId1"/>
  <headerFooter alignWithMargins="0">
    <oddHeader>&amp;L&amp;"Calibri,Regular"&amp;8Page &amp;P&amp;R&amp;"Calibri,Regular"&amp;8Page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21028174026</v>
      </c>
    </row>
    <row r="3" spans="1:2" x14ac:dyDescent="0.2">
      <c r="A3" t="s">
        <v>1013</v>
      </c>
      <c r="B3" s="138" t="str">
        <f>COVER!A15</f>
        <v>Franklin</v>
      </c>
    </row>
    <row r="4" spans="1:2" x14ac:dyDescent="0.2">
      <c r="A4" t="s">
        <v>1064</v>
      </c>
      <c r="B4" s="138" t="str">
        <f>COVER!A17</f>
        <v>Thompsonville Community Unit School District #174</v>
      </c>
    </row>
    <row r="5" spans="1:2" x14ac:dyDescent="0.2">
      <c r="A5" t="s">
        <v>728</v>
      </c>
      <c r="B5" s="138" t="str">
        <f>COVER!A38</f>
        <v>Brock Harris</v>
      </c>
    </row>
    <row r="6" spans="1:2" x14ac:dyDescent="0.2">
      <c r="A6" t="s">
        <v>733</v>
      </c>
      <c r="B6" s="138">
        <f>COVER!P35</f>
        <v>0</v>
      </c>
    </row>
    <row r="7" spans="1:2" x14ac:dyDescent="0.2">
      <c r="A7" t="s">
        <v>729</v>
      </c>
      <c r="B7" s="138">
        <f>COVER!I38</f>
        <v>0</v>
      </c>
    </row>
    <row r="8" spans="1:2" x14ac:dyDescent="0.2">
      <c r="A8" t="s">
        <v>730</v>
      </c>
      <c r="B8" s="138" t="str">
        <f>COVER!T38</f>
        <v>Lorie LeQuatte</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055-012078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East Main Street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v>
      </c>
    </row>
    <row r="22" spans="1:2" x14ac:dyDescent="0.2">
      <c r="A22" t="s">
        <v>943</v>
      </c>
      <c r="B22" s="138">
        <f>COVER!Z19</f>
        <v>62832</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302706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924008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924008</v>
      </c>
      <c r="D92" s="2" t="str">
        <f t="shared" si="0"/>
        <v>Error?</v>
      </c>
    </row>
    <row r="93" spans="1:4" x14ac:dyDescent="0.2">
      <c r="A93" s="5">
        <v>32</v>
      </c>
      <c r="B93" s="138">
        <f>'Assets-Liab 5-6'!C41</f>
        <v>924008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31500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31500</v>
      </c>
      <c r="D123" s="2" t="str">
        <f t="shared" si="0"/>
        <v>Error?</v>
      </c>
    </row>
    <row r="124" spans="1:4" x14ac:dyDescent="0.2">
      <c r="A124" s="5">
        <v>63</v>
      </c>
      <c r="B124" s="138">
        <f>'Assets-Liab 5-6'!D41</f>
        <v>31500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16255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16255</v>
      </c>
      <c r="D140" s="2" t="str">
        <f t="shared" si="1"/>
        <v>Error?</v>
      </c>
    </row>
    <row r="141" spans="1:4" x14ac:dyDescent="0.2">
      <c r="A141" s="5">
        <v>80</v>
      </c>
      <c r="B141" s="138">
        <f>'Assets-Liab 5-6'!E41</f>
        <v>16255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49155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49155</v>
      </c>
      <c r="D170" s="2" t="str">
        <f t="shared" si="1"/>
        <v>Error?</v>
      </c>
    </row>
    <row r="171" spans="1:4" x14ac:dyDescent="0.2">
      <c r="A171" s="5">
        <v>110</v>
      </c>
      <c r="B171" s="138">
        <f>'Assets-Liab 5-6'!F41</f>
        <v>49155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11215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14111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14111</v>
      </c>
      <c r="D189" s="2" t="str">
        <f t="shared" si="1"/>
        <v>Error?</v>
      </c>
    </row>
    <row r="190" spans="1:4" x14ac:dyDescent="0.2">
      <c r="A190" s="5">
        <v>129</v>
      </c>
      <c r="B190" s="138">
        <f>'Assets-Liab 5-6'!G41</f>
        <v>14111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70352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116750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116750</v>
      </c>
      <c r="D212" s="2" t="str">
        <f t="shared" si="2"/>
        <v>Error?</v>
      </c>
    </row>
    <row r="213" spans="1:4" x14ac:dyDescent="0.2">
      <c r="A213" s="12">
        <v>152</v>
      </c>
      <c r="B213" s="138">
        <f>'Assets-Liab 5-6'!H41</f>
        <v>116750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2299920</v>
      </c>
      <c r="D274" s="2" t="str">
        <f t="shared" si="3"/>
        <v>Error?</v>
      </c>
    </row>
    <row r="275" spans="1:4" x14ac:dyDescent="0.2">
      <c r="A275" s="5">
        <v>214</v>
      </c>
      <c r="B275" s="138">
        <f>'Assets-Liab 5-6'!M18</f>
        <v>80000</v>
      </c>
      <c r="D275" s="2" t="str">
        <f t="shared" si="3"/>
        <v>Error?</v>
      </c>
    </row>
    <row r="276" spans="1:4" x14ac:dyDescent="0.2">
      <c r="A276" s="5">
        <v>215</v>
      </c>
      <c r="B276" s="138">
        <f>'Assets-Liab 5-6'!M19</f>
        <v>151070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2533990</v>
      </c>
      <c r="C279" s="2" t="s">
        <v>594</v>
      </c>
      <c r="D279" s="2" t="str">
        <f t="shared" si="3"/>
        <v>Error?</v>
      </c>
    </row>
    <row r="280" spans="1:4" x14ac:dyDescent="0.2">
      <c r="A280" s="5">
        <v>219</v>
      </c>
      <c r="B280" s="138">
        <f>'Assets-Liab 5-6'!M40</f>
        <v>2533990</v>
      </c>
      <c r="D280" s="2" t="str">
        <f t="shared" si="3"/>
        <v>Error?</v>
      </c>
    </row>
    <row r="281" spans="1:4" x14ac:dyDescent="0.2">
      <c r="A281" s="5">
        <v>220</v>
      </c>
      <c r="B281" s="138">
        <f>'Assets-Liab 5-6'!M41</f>
        <v>2533990</v>
      </c>
      <c r="C281" s="2" t="s">
        <v>594</v>
      </c>
      <c r="D281" s="2" t="str">
        <f t="shared" si="3"/>
        <v>Error?</v>
      </c>
    </row>
    <row r="282" spans="1:4" x14ac:dyDescent="0.2">
      <c r="A282" s="5">
        <v>221</v>
      </c>
      <c r="B282" s="138">
        <f>'Assets-Liab 5-6'!N21</f>
        <v>16255</v>
      </c>
      <c r="D282" s="2" t="str">
        <f t="shared" si="3"/>
        <v>Error?</v>
      </c>
    </row>
    <row r="283" spans="1:4" x14ac:dyDescent="0.2">
      <c r="A283" s="5">
        <v>222</v>
      </c>
      <c r="B283" s="138">
        <f>'Assets-Liab 5-6'!N22</f>
        <v>1397345</v>
      </c>
      <c r="D283" s="2" t="str">
        <f t="shared" si="3"/>
        <v>Error?</v>
      </c>
    </row>
    <row r="284" spans="1:4" x14ac:dyDescent="0.2">
      <c r="A284" s="5">
        <v>223</v>
      </c>
      <c r="B284" s="138">
        <f>'Assets-Liab 5-6'!N23</f>
        <v>1413600</v>
      </c>
      <c r="C284" s="2" t="s">
        <v>594</v>
      </c>
      <c r="D284" s="2" t="str">
        <f t="shared" si="3"/>
        <v>Error?</v>
      </c>
    </row>
    <row r="285" spans="1:4" x14ac:dyDescent="0.2">
      <c r="A285" s="5">
        <v>224</v>
      </c>
      <c r="B285" s="138">
        <f>'Assets-Liab 5-6'!N36</f>
        <v>1413600</v>
      </c>
      <c r="D285" s="2" t="str">
        <f t="shared" si="3"/>
        <v>Error?</v>
      </c>
    </row>
    <row r="286" spans="1:4" x14ac:dyDescent="0.2">
      <c r="A286" s="10">
        <v>225</v>
      </c>
      <c r="D286" s="2" t="str">
        <f t="shared" si="3"/>
        <v>OK</v>
      </c>
    </row>
    <row r="287" spans="1:4" x14ac:dyDescent="0.2">
      <c r="A287" s="5">
        <v>226</v>
      </c>
      <c r="B287" s="138">
        <f>'Assets-Liab 5-6'!N37</f>
        <v>1413600</v>
      </c>
      <c r="C287" s="2" t="s">
        <v>594</v>
      </c>
      <c r="D287" s="2" t="str">
        <f t="shared" si="3"/>
        <v>Error?</v>
      </c>
    </row>
    <row r="288" spans="1:4" x14ac:dyDescent="0.2">
      <c r="A288" s="5">
        <v>227</v>
      </c>
      <c r="B288" s="138">
        <f>'Assets-Liab 5-6'!N41</f>
        <v>1413600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764586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138202</v>
      </c>
      <c r="D717" s="2" t="str">
        <f t="shared" si="10"/>
        <v>Error?</v>
      </c>
    </row>
    <row r="718" spans="1:4" x14ac:dyDescent="0.2">
      <c r="A718" s="5">
        <v>657</v>
      </c>
      <c r="B718" s="138">
        <f>'Expenditures 15-22'!C14</f>
        <v>28432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1157650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22262</v>
      </c>
      <c r="D722" s="2" t="str">
        <f t="shared" si="10"/>
        <v>Error?</v>
      </c>
    </row>
    <row r="723" spans="1:4" x14ac:dyDescent="0.2">
      <c r="A723" s="5">
        <v>662</v>
      </c>
      <c r="B723" s="138">
        <f>'Expenditures 15-22'!C38</f>
        <v>26190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2595</v>
      </c>
      <c r="D726" s="2" t="str">
        <f t="shared" si="10"/>
        <v>Error?</v>
      </c>
    </row>
    <row r="727" spans="1:4" x14ac:dyDescent="0.2">
      <c r="A727" s="5">
        <v>666</v>
      </c>
      <c r="B727" s="138">
        <f>'Expenditures 15-22'!C42</f>
        <v>51047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10528</v>
      </c>
      <c r="D732" s="2" t="str">
        <f t="shared" si="10"/>
        <v>Error?</v>
      </c>
    </row>
    <row r="733" spans="1:4" x14ac:dyDescent="0.2">
      <c r="A733" s="5">
        <v>672</v>
      </c>
      <c r="B733" s="138">
        <f>'Expenditures 15-22'!C50</f>
        <v>80897</v>
      </c>
      <c r="D733" s="2" t="str">
        <f t="shared" si="10"/>
        <v>Error?</v>
      </c>
    </row>
    <row r="734" spans="1:4" x14ac:dyDescent="0.2">
      <c r="A734" s="5">
        <v>673</v>
      </c>
      <c r="B734" s="138">
        <f>'Expenditures 15-22'!C53</f>
        <v>91425</v>
      </c>
      <c r="C734" s="2" t="s">
        <v>594</v>
      </c>
      <c r="D734" s="2" t="str">
        <f t="shared" si="10"/>
        <v>Error?</v>
      </c>
    </row>
    <row r="735" spans="1:4" x14ac:dyDescent="0.2">
      <c r="A735" s="5">
        <v>674</v>
      </c>
      <c r="B735" s="138">
        <f>'Expenditures 15-22'!C55</f>
        <v>133014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133014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42776</v>
      </c>
      <c r="D739" s="2" t="str">
        <f t="shared" si="10"/>
        <v>Error?</v>
      </c>
    </row>
    <row r="740" spans="1:4" x14ac:dyDescent="0.2">
      <c r="A740" s="5">
        <v>679</v>
      </c>
      <c r="B740" s="138">
        <f>'Expenditures 15-22'!C61</f>
        <v>86268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129044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404530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1562180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125418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21373</v>
      </c>
      <c r="D775" s="2" t="str">
        <f t="shared" si="11"/>
        <v>Error?</v>
      </c>
    </row>
    <row r="776" spans="1:4" x14ac:dyDescent="0.2">
      <c r="A776" s="5">
        <v>715</v>
      </c>
      <c r="B776" s="138">
        <f>'Expenditures 15-22'!D14</f>
        <v>1497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166965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90</v>
      </c>
      <c r="D790" s="2" t="str">
        <f t="shared" si="11"/>
        <v>Error?</v>
      </c>
    </row>
    <row r="791" spans="1:4" x14ac:dyDescent="0.2">
      <c r="A791" s="5">
        <v>730</v>
      </c>
      <c r="B791" s="138">
        <f>'Expenditures 15-22'!D50</f>
        <v>15297</v>
      </c>
      <c r="D791" s="2" t="str">
        <f t="shared" si="11"/>
        <v>Error?</v>
      </c>
    </row>
    <row r="792" spans="1:4" x14ac:dyDescent="0.2">
      <c r="A792" s="5">
        <v>731</v>
      </c>
      <c r="B792" s="138">
        <f>'Expenditures 15-22'!D53</f>
        <v>15387</v>
      </c>
      <c r="C792" s="2" t="s">
        <v>594</v>
      </c>
      <c r="D792" s="2" t="str">
        <f t="shared" si="11"/>
        <v>Error?</v>
      </c>
    </row>
    <row r="793" spans="1:4" x14ac:dyDescent="0.2">
      <c r="A793" s="5">
        <v>732</v>
      </c>
      <c r="B793" s="138">
        <f>'Expenditures 15-22'!D55</f>
        <v>24548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24548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6201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6201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46136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213101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54841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63690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1399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13436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14835</v>
      </c>
      <c r="C843" s="2" t="s">
        <v>594</v>
      </c>
      <c r="D843" s="2" t="str">
        <f t="shared" si="12"/>
        <v>Error?</v>
      </c>
    </row>
    <row r="844" spans="1:4" x14ac:dyDescent="0.2">
      <c r="A844" s="5">
        <v>783</v>
      </c>
      <c r="B844" s="138">
        <f>'Expenditures 15-22'!E44</f>
        <v>2110</v>
      </c>
      <c r="D844" s="2" t="str">
        <f t="shared" si="12"/>
        <v>Error?</v>
      </c>
    </row>
    <row r="845" spans="1:4" x14ac:dyDescent="0.2">
      <c r="A845" s="5">
        <v>784</v>
      </c>
      <c r="B845" s="138">
        <f>'Expenditures 15-22'!E45</f>
        <v>194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2304</v>
      </c>
      <c r="C847" s="2" t="s">
        <v>594</v>
      </c>
      <c r="D847" s="2" t="str">
        <f t="shared" si="12"/>
        <v>Error?</v>
      </c>
    </row>
    <row r="848" spans="1:4" x14ac:dyDescent="0.2">
      <c r="A848" s="5">
        <v>787</v>
      </c>
      <c r="B848" s="138">
        <f>'Expenditures 15-22'!E49</f>
        <v>1462</v>
      </c>
      <c r="D848" s="2" t="str">
        <f t="shared" si="12"/>
        <v>Error?</v>
      </c>
    </row>
    <row r="849" spans="1:4" x14ac:dyDescent="0.2">
      <c r="A849" s="5">
        <v>788</v>
      </c>
      <c r="B849" s="138">
        <f>'Expenditures 15-22'!E50</f>
        <v>5378</v>
      </c>
      <c r="D849" s="2" t="str">
        <f t="shared" si="12"/>
        <v>Error?</v>
      </c>
    </row>
    <row r="850" spans="1:4" x14ac:dyDescent="0.2">
      <c r="A850" s="5">
        <v>789</v>
      </c>
      <c r="B850" s="138">
        <f>'Expenditures 15-22'!E53</f>
        <v>6840</v>
      </c>
      <c r="C850" s="2" t="s">
        <v>594</v>
      </c>
      <c r="D850" s="2" t="str">
        <f t="shared" si="12"/>
        <v>Error?</v>
      </c>
    </row>
    <row r="851" spans="1:4" x14ac:dyDescent="0.2">
      <c r="A851" s="5">
        <v>790</v>
      </c>
      <c r="B851" s="138">
        <f>'Expenditures 15-22'!E55</f>
        <v>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12146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136854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149000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173054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236744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65679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6119</v>
      </c>
      <c r="D891" s="2" t="str">
        <f t="shared" si="12"/>
        <v>Error?</v>
      </c>
    </row>
    <row r="892" spans="1:4" x14ac:dyDescent="0.2">
      <c r="A892" s="5">
        <v>831</v>
      </c>
      <c r="B892" s="138">
        <f>'Expenditures 15-22'!F14</f>
        <v>5324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79761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64</v>
      </c>
      <c r="D896" s="2" t="str">
        <f t="shared" si="13"/>
        <v>Error?</v>
      </c>
    </row>
    <row r="897" spans="1:4" x14ac:dyDescent="0.2">
      <c r="A897" s="5">
        <v>836</v>
      </c>
      <c r="B897" s="138">
        <f>'Expenditures 15-22'!F38</f>
        <v>3630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250</v>
      </c>
      <c r="D900" s="2" t="str">
        <f t="shared" si="13"/>
        <v>Error?</v>
      </c>
    </row>
    <row r="901" spans="1:4" x14ac:dyDescent="0.2">
      <c r="A901" s="5">
        <v>840</v>
      </c>
      <c r="B901" s="138">
        <f>'Expenditures 15-22'!F42</f>
        <v>3944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1034</v>
      </c>
      <c r="C905" s="2" t="s">
        <v>594</v>
      </c>
      <c r="D905" s="2" t="str">
        <f t="shared" si="13"/>
        <v>Error?</v>
      </c>
    </row>
    <row r="906" spans="1:4" x14ac:dyDescent="0.2">
      <c r="A906" s="5">
        <v>845</v>
      </c>
      <c r="B906" s="138">
        <f>'Expenditures 15-22'!F49</f>
        <v>786</v>
      </c>
      <c r="D906" s="2" t="str">
        <f t="shared" si="13"/>
        <v>Error?</v>
      </c>
    </row>
    <row r="907" spans="1:4" x14ac:dyDescent="0.2">
      <c r="A907" s="5">
        <v>846</v>
      </c>
      <c r="B907" s="138">
        <f>'Expenditures 15-22'!F50</f>
        <v>863</v>
      </c>
      <c r="D907" s="2" t="str">
        <f t="shared" si="13"/>
        <v>Error?</v>
      </c>
    </row>
    <row r="908" spans="1:4" x14ac:dyDescent="0.2">
      <c r="A908" s="5">
        <v>847</v>
      </c>
      <c r="B908" s="138">
        <f>'Expenditures 15-22'!F53</f>
        <v>1649</v>
      </c>
      <c r="C908" s="2" t="s">
        <v>594</v>
      </c>
      <c r="D908" s="2" t="str">
        <f t="shared" si="13"/>
        <v>Error?</v>
      </c>
    </row>
    <row r="909" spans="1:4" x14ac:dyDescent="0.2">
      <c r="A909" s="5">
        <v>848</v>
      </c>
      <c r="B909" s="138">
        <f>'Expenditures 15-22'!F55</f>
        <v>995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995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8572</v>
      </c>
      <c r="C929" s="2" t="s">
        <v>594</v>
      </c>
      <c r="D929" s="2" t="str">
        <f t="shared" si="13"/>
        <v>Error?</v>
      </c>
    </row>
    <row r="930" spans="1:4" x14ac:dyDescent="0.2">
      <c r="A930" s="5">
        <v>869</v>
      </c>
      <c r="B930" s="138">
        <f>'Expenditures 15-22'!F75</f>
        <v>119</v>
      </c>
      <c r="D930" s="2" t="str">
        <f t="shared" si="13"/>
        <v>Error?</v>
      </c>
    </row>
    <row r="931" spans="1:4" x14ac:dyDescent="0.2">
      <c r="A931" s="5">
        <v>870</v>
      </c>
      <c r="B931" s="138">
        <f>'Expenditures 15-22'!F114</f>
        <v>88452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27626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6099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33725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33725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8126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2017</v>
      </c>
      <c r="D1022" s="2" t="str">
        <f t="shared" si="14"/>
        <v>Error?</v>
      </c>
    </row>
    <row r="1023" spans="1:4" x14ac:dyDescent="0.2">
      <c r="A1023" s="5">
        <v>962</v>
      </c>
      <c r="B1023" s="138">
        <f>'Expenditures 15-22'!H50</f>
        <v>813</v>
      </c>
      <c r="D1023" s="2" t="str">
        <f t="shared" ref="D1023:D1086" si="15">IF(ISBLANK(B1023),"OK",IF(A1023-B1023=0,"OK","Error?"))</f>
        <v>Error?</v>
      </c>
    </row>
    <row r="1024" spans="1:4" x14ac:dyDescent="0.2">
      <c r="A1024" s="5">
        <v>963</v>
      </c>
      <c r="B1024" s="138">
        <f>'Expenditures 15-22'!H53</f>
        <v>2830</v>
      </c>
      <c r="C1024" s="2" t="s">
        <v>594</v>
      </c>
      <c r="D1024" s="2" t="str">
        <f t="shared" si="15"/>
        <v>Error?</v>
      </c>
    </row>
    <row r="1025" spans="1:4" x14ac:dyDescent="0.2">
      <c r="A1025" s="5">
        <v>964</v>
      </c>
      <c r="B1025" s="138">
        <f>'Expenditures 15-22'!H55</f>
        <v>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2969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38707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49802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1044724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171793</v>
      </c>
      <c r="C1105" s="2" t="s">
        <v>594</v>
      </c>
      <c r="D1105" s="2" t="str">
        <f t="shared" si="16"/>
        <v>Error?</v>
      </c>
    </row>
    <row r="1106" spans="1:4" x14ac:dyDescent="0.2">
      <c r="A1106" s="5">
        <v>1045</v>
      </c>
      <c r="B1106" s="138">
        <f>'Expenditures 15-22'!K14</f>
        <v>45055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1509917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22326</v>
      </c>
      <c r="C1110" s="2" t="s">
        <v>594</v>
      </c>
      <c r="D1110" s="2" t="str">
        <f t="shared" si="16"/>
        <v>Error?</v>
      </c>
    </row>
    <row r="1111" spans="1:4" x14ac:dyDescent="0.2">
      <c r="A1111" s="5">
        <v>1050</v>
      </c>
      <c r="B1111" s="138">
        <f>'Expenditures 15-22'!K38</f>
        <v>31319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13436</v>
      </c>
      <c r="C1113" s="2" t="s">
        <v>594</v>
      </c>
      <c r="D1113" s="2" t="str">
        <f t="shared" si="16"/>
        <v>Error?</v>
      </c>
    </row>
    <row r="1114" spans="1:4" x14ac:dyDescent="0.2">
      <c r="A1114" s="5">
        <v>1053</v>
      </c>
      <c r="B1114" s="138">
        <f>'Expenditures 15-22'!K41</f>
        <v>2845</v>
      </c>
      <c r="C1114" s="2" t="s">
        <v>594</v>
      </c>
      <c r="D1114" s="2" t="str">
        <f t="shared" si="16"/>
        <v>Error?</v>
      </c>
    </row>
    <row r="1115" spans="1:4" x14ac:dyDescent="0.2">
      <c r="A1115" s="5">
        <v>1054</v>
      </c>
      <c r="B1115" s="138">
        <f>'Expenditures 15-22'!K42</f>
        <v>69926</v>
      </c>
      <c r="C1115" s="2" t="s">
        <v>594</v>
      </c>
      <c r="D1115" s="2" t="str">
        <f t="shared" si="16"/>
        <v>Error?</v>
      </c>
    </row>
    <row r="1116" spans="1:4" x14ac:dyDescent="0.2">
      <c r="A1116" s="5">
        <v>1055</v>
      </c>
      <c r="B1116" s="138">
        <f>'Expenditures 15-22'!K44</f>
        <v>2110</v>
      </c>
      <c r="C1116" s="2" t="s">
        <v>594</v>
      </c>
      <c r="D1116" s="2" t="str">
        <f t="shared" si="16"/>
        <v>Error?</v>
      </c>
    </row>
    <row r="1117" spans="1:4" x14ac:dyDescent="0.2">
      <c r="A1117" s="5">
        <v>1056</v>
      </c>
      <c r="B1117" s="138">
        <f>'Expenditures 15-22'!K45</f>
        <v>1228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3338</v>
      </c>
      <c r="C1119" s="2" t="s">
        <v>594</v>
      </c>
      <c r="D1119" s="2" t="str">
        <f t="shared" si="16"/>
        <v>Error?</v>
      </c>
    </row>
    <row r="1120" spans="1:4" x14ac:dyDescent="0.2">
      <c r="A1120" s="5">
        <v>1059</v>
      </c>
      <c r="B1120" s="138">
        <f>'Expenditures 15-22'!K49</f>
        <v>14883</v>
      </c>
      <c r="C1120" s="2" t="s">
        <v>594</v>
      </c>
      <c r="D1120" s="2" t="str">
        <f t="shared" si="16"/>
        <v>Error?</v>
      </c>
    </row>
    <row r="1121" spans="1:4" x14ac:dyDescent="0.2">
      <c r="A1121" s="5">
        <v>1060</v>
      </c>
      <c r="B1121" s="138">
        <f>'Expenditures 15-22'!K50</f>
        <v>103248</v>
      </c>
      <c r="C1121" s="2" t="s">
        <v>594</v>
      </c>
      <c r="D1121" s="2" t="str">
        <f t="shared" si="16"/>
        <v>Error?</v>
      </c>
    </row>
    <row r="1122" spans="1:4" x14ac:dyDescent="0.2">
      <c r="A1122" s="5">
        <v>1061</v>
      </c>
      <c r="B1122" s="138">
        <f>'Expenditures 15-22'!K53</f>
        <v>118131</v>
      </c>
      <c r="C1122" s="2" t="s">
        <v>594</v>
      </c>
      <c r="D1122" s="2" t="str">
        <f t="shared" si="16"/>
        <v>Error?</v>
      </c>
    </row>
    <row r="1123" spans="1:4" x14ac:dyDescent="0.2">
      <c r="A1123" s="5">
        <v>1062</v>
      </c>
      <c r="B1123" s="138">
        <f>'Expenditures 15-22'!K55</f>
        <v>158671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158671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55872</v>
      </c>
      <c r="C1127" s="2" t="s">
        <v>594</v>
      </c>
      <c r="D1127" s="2" t="str">
        <f t="shared" si="16"/>
        <v>Error?</v>
      </c>
    </row>
    <row r="1128" spans="1:4" x14ac:dyDescent="0.2">
      <c r="A1128" s="5">
        <v>1067</v>
      </c>
      <c r="B1128" s="138">
        <f>'Expenditures 15-22'!K61</f>
        <v>92469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136854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285195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635261</v>
      </c>
      <c r="C1143" s="2" t="s">
        <v>594</v>
      </c>
      <c r="D1143" s="2" t="str">
        <f t="shared" si="16"/>
        <v>Error?</v>
      </c>
    </row>
    <row r="1144" spans="1:4" x14ac:dyDescent="0.2">
      <c r="A1144" s="5">
        <v>1083</v>
      </c>
      <c r="B1144" s="138">
        <f>'Expenditures 15-22'!K75</f>
        <v>119</v>
      </c>
      <c r="C1144" s="2" t="s">
        <v>594</v>
      </c>
      <c r="D1144" s="2" t="str">
        <f t="shared" si="16"/>
        <v>Error?</v>
      </c>
    </row>
    <row r="1145" spans="1:4" x14ac:dyDescent="0.2">
      <c r="A1145" s="5">
        <v>1084</v>
      </c>
      <c r="B1145" s="138">
        <f>'Expenditures 15-22'!K102</f>
        <v>38707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2184004</v>
      </c>
      <c r="C1152" s="2" t="s">
        <v>594</v>
      </c>
      <c r="D1152" s="2" t="str">
        <f t="shared" si="17"/>
        <v>Error?</v>
      </c>
    </row>
    <row r="1153" spans="1:4" x14ac:dyDescent="0.2">
      <c r="A1153" s="5">
        <v>1092</v>
      </c>
      <c r="B1153" s="138">
        <f>'Expenditures 15-22'!K115</f>
        <v>353537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32136</v>
      </c>
      <c r="D1237" s="2" t="str">
        <f t="shared" si="18"/>
        <v>Error?</v>
      </c>
    </row>
    <row r="1238" spans="1:4" x14ac:dyDescent="0.2">
      <c r="A1238" s="10">
        <v>1177</v>
      </c>
      <c r="D1238" s="2" t="str">
        <f t="shared" si="18"/>
        <v>OK</v>
      </c>
    </row>
    <row r="1239" spans="1:4" x14ac:dyDescent="0.2">
      <c r="A1239" s="5">
        <v>1178</v>
      </c>
      <c r="B1239" s="138">
        <f>'Expenditures 15-22'!E127</f>
        <v>32136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32136</v>
      </c>
      <c r="C1241" s="2" t="s">
        <v>594</v>
      </c>
      <c r="D1241" s="2" t="str">
        <f t="shared" si="18"/>
        <v>Error?</v>
      </c>
    </row>
    <row r="1242" spans="1:4" x14ac:dyDescent="0.2">
      <c r="A1242" s="5">
        <v>1181</v>
      </c>
      <c r="B1242" s="138">
        <f>'Expenditures 15-22'!E151</f>
        <v>32136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73533</v>
      </c>
      <c r="D1245" s="2" t="str">
        <f t="shared" si="18"/>
        <v>Error?</v>
      </c>
    </row>
    <row r="1246" spans="1:4" x14ac:dyDescent="0.2">
      <c r="A1246" s="10">
        <v>1185</v>
      </c>
      <c r="D1246" s="2" t="str">
        <f t="shared" si="18"/>
        <v>OK</v>
      </c>
    </row>
    <row r="1247" spans="1:4" x14ac:dyDescent="0.2">
      <c r="A1247" s="5">
        <v>1186</v>
      </c>
      <c r="B1247" s="138">
        <f>'Expenditures 15-22'!F127</f>
        <v>73533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73533</v>
      </c>
      <c r="C1249" s="2" t="s">
        <v>594</v>
      </c>
      <c r="D1249" s="2" t="str">
        <f t="shared" si="18"/>
        <v>Error?</v>
      </c>
    </row>
    <row r="1250" spans="1:4" x14ac:dyDescent="0.2">
      <c r="A1250" s="5">
        <v>1189</v>
      </c>
      <c r="B1250" s="138">
        <f>'Expenditures 15-22'!F151</f>
        <v>73533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105669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105669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105669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105669</v>
      </c>
      <c r="C1288" s="2" t="s">
        <v>594</v>
      </c>
      <c r="D1288" s="2" t="str">
        <f t="shared" si="19"/>
        <v>Error?</v>
      </c>
    </row>
    <row r="1289" spans="1:4" x14ac:dyDescent="0.2">
      <c r="A1289" s="5">
        <v>1228</v>
      </c>
      <c r="B1289" s="138">
        <f>'Expenditures 15-22'!K152</f>
        <v>3918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58070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155400</v>
      </c>
      <c r="D1315" s="2" t="str">
        <f t="shared" si="19"/>
        <v>Error?</v>
      </c>
    </row>
    <row r="1316" spans="1:4" x14ac:dyDescent="0.2">
      <c r="A1316" s="5">
        <v>1255</v>
      </c>
      <c r="B1316" s="138">
        <f>'Expenditures 15-22'!H171</f>
        <v>636</v>
      </c>
      <c r="D1316" s="2" t="str">
        <f t="shared" si="19"/>
        <v>Error?</v>
      </c>
    </row>
    <row r="1317" spans="1:4" x14ac:dyDescent="0.2">
      <c r="A1317" s="5">
        <v>1256</v>
      </c>
      <c r="B1317" s="138">
        <f>'Expenditures 15-22'!H172</f>
        <v>214106</v>
      </c>
      <c r="C1317" s="2" t="s">
        <v>594</v>
      </c>
      <c r="D1317" s="2" t="str">
        <f t="shared" si="19"/>
        <v>Error?</v>
      </c>
    </row>
    <row r="1318" spans="1:4" x14ac:dyDescent="0.2">
      <c r="A1318" s="5">
        <v>1257</v>
      </c>
      <c r="B1318" s="138">
        <f>'Expenditures 15-22'!H174</f>
        <v>214106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58070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155400</v>
      </c>
      <c r="C1329" s="2" t="s">
        <v>594</v>
      </c>
      <c r="D1329" s="2" t="str">
        <f t="shared" si="19"/>
        <v>Error?</v>
      </c>
    </row>
    <row r="1330" spans="1:4" x14ac:dyDescent="0.2">
      <c r="A1330" s="5">
        <v>1269</v>
      </c>
      <c r="B1330" s="138">
        <f>'Expenditures 15-22'!K171</f>
        <v>636</v>
      </c>
      <c r="C1330" s="2" t="s">
        <v>594</v>
      </c>
      <c r="D1330" s="2" t="str">
        <f t="shared" si="19"/>
        <v>Error?</v>
      </c>
    </row>
    <row r="1331" spans="1:4" x14ac:dyDescent="0.2">
      <c r="A1331" s="5">
        <v>1270</v>
      </c>
      <c r="B1331" s="138">
        <f>'Expenditures 15-22'!K172</f>
        <v>214106</v>
      </c>
      <c r="C1331" s="2" t="s">
        <v>594</v>
      </c>
      <c r="D1331" s="2" t="str">
        <f t="shared" si="19"/>
        <v>Error?</v>
      </c>
    </row>
    <row r="1332" spans="1:4" x14ac:dyDescent="0.2">
      <c r="A1332" s="5">
        <v>1271</v>
      </c>
      <c r="B1332" s="138">
        <f>'Expenditures 15-22'!K174</f>
        <v>214106</v>
      </c>
      <c r="C1332" s="2" t="s">
        <v>594</v>
      </c>
      <c r="D1332" s="2" t="str">
        <f t="shared" si="19"/>
        <v>Error?</v>
      </c>
    </row>
    <row r="1333" spans="1:4" x14ac:dyDescent="0.2">
      <c r="A1333" s="5">
        <v>1272</v>
      </c>
      <c r="B1333" s="138">
        <f>'Expenditures 15-22'!K175</f>
        <v>2911</v>
      </c>
      <c r="C1333" s="2" t="s">
        <v>594</v>
      </c>
      <c r="D1333" s="2" t="str">
        <f t="shared" si="19"/>
        <v>Error?</v>
      </c>
    </row>
    <row r="1334" spans="1:4" x14ac:dyDescent="0.2">
      <c r="A1334" s="10">
        <v>1273</v>
      </c>
      <c r="D1334" s="2" t="str">
        <f t="shared" si="19"/>
        <v>OK</v>
      </c>
    </row>
    <row r="1335" spans="1:4" x14ac:dyDescent="0.2">
      <c r="A1335" s="5">
        <v>1274</v>
      </c>
      <c r="B1335" s="138">
        <f>'Expenditures 15-22'!C182</f>
        <v>66357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66357</v>
      </c>
      <c r="C1339" s="2" t="s">
        <v>594</v>
      </c>
      <c r="D1339" s="2" t="str">
        <f t="shared" si="19"/>
        <v>Error?</v>
      </c>
    </row>
    <row r="1340" spans="1:4" x14ac:dyDescent="0.2">
      <c r="A1340" s="5">
        <v>1279</v>
      </c>
      <c r="B1340" s="138">
        <f>'Expenditures 15-22'!C210</f>
        <v>66357</v>
      </c>
      <c r="C1340" s="2" t="s">
        <v>594</v>
      </c>
      <c r="D1340" s="2" t="str">
        <f t="shared" si="19"/>
        <v>Error?</v>
      </c>
    </row>
    <row r="1341" spans="1:4" x14ac:dyDescent="0.2">
      <c r="A1341" s="5">
        <v>1280</v>
      </c>
      <c r="B1341" s="138">
        <f>'Expenditures 15-22'!D182</f>
        <v>3618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3618</v>
      </c>
      <c r="C1345" s="2" t="s">
        <v>594</v>
      </c>
      <c r="D1345" s="2" t="str">
        <f t="shared" si="20"/>
        <v>Error?</v>
      </c>
    </row>
    <row r="1346" spans="1:4" x14ac:dyDescent="0.2">
      <c r="A1346" s="5">
        <v>1285</v>
      </c>
      <c r="B1346" s="138">
        <f>'Expenditures 15-22'!D210</f>
        <v>3618</v>
      </c>
      <c r="C1346" s="2" t="s">
        <v>594</v>
      </c>
      <c r="D1346" s="2" t="str">
        <f t="shared" si="20"/>
        <v>Error?</v>
      </c>
    </row>
    <row r="1347" spans="1:4" x14ac:dyDescent="0.2">
      <c r="A1347" s="5">
        <v>1286</v>
      </c>
      <c r="B1347" s="138">
        <f>'Expenditures 15-22'!E182</f>
        <v>13600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13600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13600</v>
      </c>
      <c r="C1353" s="2" t="s">
        <v>594</v>
      </c>
      <c r="D1353" s="2" t="str">
        <f t="shared" si="20"/>
        <v>Error?</v>
      </c>
    </row>
    <row r="1354" spans="1:4" x14ac:dyDescent="0.2">
      <c r="A1354" s="5">
        <v>1293</v>
      </c>
      <c r="B1354" s="138">
        <f>'Expenditures 15-22'!F182</f>
        <v>12525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12525</v>
      </c>
      <c r="C1358" s="2" t="s">
        <v>594</v>
      </c>
      <c r="D1358" s="2" t="str">
        <f t="shared" si="20"/>
        <v>Error?</v>
      </c>
    </row>
    <row r="1359" spans="1:4" x14ac:dyDescent="0.2">
      <c r="A1359" s="5">
        <v>1298</v>
      </c>
      <c r="B1359" s="138">
        <f>'Expenditures 15-22'!F210</f>
        <v>12525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39408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39408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39408</v>
      </c>
      <c r="C1376" s="2" t="s">
        <v>594</v>
      </c>
      <c r="D1376" s="2" t="str">
        <f t="shared" si="20"/>
        <v>Error?</v>
      </c>
    </row>
    <row r="1377" spans="1:4" x14ac:dyDescent="0.2">
      <c r="A1377" s="5">
        <v>1316</v>
      </c>
      <c r="B1377" s="138">
        <f>'Expenditures 15-22'!K182</f>
        <v>135508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135508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135508</v>
      </c>
      <c r="C1388" s="2" t="s">
        <v>594</v>
      </c>
      <c r="D1388" s="2" t="str">
        <f t="shared" si="20"/>
        <v>Error?</v>
      </c>
    </row>
    <row r="1389" spans="1:4" x14ac:dyDescent="0.2">
      <c r="A1389" s="5">
        <v>1328</v>
      </c>
      <c r="B1389" s="138">
        <f>'Expenditures 15-22'!K211</f>
        <v>13019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1951</v>
      </c>
      <c r="D1407" s="2" t="str">
        <f t="shared" ref="D1407:D1470" si="21">IF(ISBLANK(B1407),"OK",IF(A1407-B1407=0,"OK","Error?"))</f>
        <v>Error?</v>
      </c>
    </row>
    <row r="1408" spans="1:4" x14ac:dyDescent="0.2">
      <c r="A1408" s="5">
        <v>1347</v>
      </c>
      <c r="B1408" s="138">
        <f>'Expenditures 15-22'!D223</f>
        <v>1318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38750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323</v>
      </c>
      <c r="D1412" s="2" t="str">
        <f t="shared" si="21"/>
        <v>Error?</v>
      </c>
    </row>
    <row r="1413" spans="1:4" x14ac:dyDescent="0.2">
      <c r="A1413" s="5">
        <v>1352</v>
      </c>
      <c r="B1413" s="138">
        <f>'Expenditures 15-22'!D234</f>
        <v>5985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191</v>
      </c>
      <c r="D1416" s="2" t="str">
        <f t="shared" si="21"/>
        <v>Error?</v>
      </c>
    </row>
    <row r="1417" spans="1:4" x14ac:dyDescent="0.2">
      <c r="A1417" s="5">
        <v>1356</v>
      </c>
      <c r="B1417" s="138">
        <f>'Expenditures 15-22'!D238</f>
        <v>6499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2608</v>
      </c>
      <c r="D1422" s="2" t="str">
        <f t="shared" si="21"/>
        <v>Error?</v>
      </c>
    </row>
    <row r="1423" spans="1:4" x14ac:dyDescent="0.2">
      <c r="A1423" s="5">
        <v>1362</v>
      </c>
      <c r="B1423" s="138">
        <f>'Expenditures 15-22'!D246</f>
        <v>1249</v>
      </c>
      <c r="D1423" s="2" t="str">
        <f t="shared" si="21"/>
        <v>Error?</v>
      </c>
    </row>
    <row r="1424" spans="1:4" x14ac:dyDescent="0.2">
      <c r="A1424" s="5">
        <v>1363</v>
      </c>
      <c r="B1424" s="138">
        <f>'Expenditures 15-22'!D257</f>
        <v>5812</v>
      </c>
      <c r="C1424" s="2" t="s">
        <v>594</v>
      </c>
      <c r="D1424" s="2" t="str">
        <f t="shared" si="21"/>
        <v>Error?</v>
      </c>
    </row>
    <row r="1425" spans="1:4" x14ac:dyDescent="0.2">
      <c r="A1425" s="5">
        <v>1364</v>
      </c>
      <c r="B1425" s="138">
        <f>'Expenditures 15-22'!D259</f>
        <v>12113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12113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10598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20038</v>
      </c>
      <c r="D1431" s="2" t="str">
        <f t="shared" si="21"/>
        <v>Error?</v>
      </c>
    </row>
    <row r="1432" spans="1:4" x14ac:dyDescent="0.2">
      <c r="A1432" s="5">
        <v>1371</v>
      </c>
      <c r="B1432" s="138">
        <f>'Expenditures 15-22'!D267</f>
        <v>14032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44668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69092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107842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1951</v>
      </c>
      <c r="C1471" s="2" t="s">
        <v>594</v>
      </c>
      <c r="D1471" s="2" t="str">
        <f t="shared" ref="D1471:D1534" si="22">IF(ISBLANK(B1471),"OK",IF(A1471-B1471=0,"OK","Error?"))</f>
        <v>Error?</v>
      </c>
    </row>
    <row r="1472" spans="1:4" x14ac:dyDescent="0.2">
      <c r="A1472" s="5">
        <v>1411</v>
      </c>
      <c r="B1472" s="138">
        <f>'Expenditures 15-22'!K223</f>
        <v>1318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38750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323</v>
      </c>
      <c r="C1476" s="2" t="s">
        <v>594</v>
      </c>
      <c r="D1476" s="2" t="str">
        <f t="shared" si="22"/>
        <v>Error?</v>
      </c>
    </row>
    <row r="1477" spans="1:4" x14ac:dyDescent="0.2">
      <c r="A1477" s="5">
        <v>1416</v>
      </c>
      <c r="B1477" s="138">
        <f>'Expenditures 15-22'!K234</f>
        <v>5985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191</v>
      </c>
      <c r="C1480" s="2" t="s">
        <v>594</v>
      </c>
      <c r="D1480" s="2" t="str">
        <f t="shared" si="22"/>
        <v>Error?</v>
      </c>
    </row>
    <row r="1481" spans="1:4" x14ac:dyDescent="0.2">
      <c r="A1481" s="5">
        <v>1420</v>
      </c>
      <c r="B1481" s="138">
        <f>'Expenditures 15-22'!K238</f>
        <v>6499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2608</v>
      </c>
      <c r="C1486" s="2" t="s">
        <v>594</v>
      </c>
      <c r="D1486" s="2" t="str">
        <f t="shared" si="22"/>
        <v>Error?</v>
      </c>
    </row>
    <row r="1487" spans="1:4" x14ac:dyDescent="0.2">
      <c r="A1487" s="5">
        <v>1426</v>
      </c>
      <c r="B1487" s="138">
        <f>'Expenditures 15-22'!K246</f>
        <v>1249</v>
      </c>
      <c r="C1487" s="2" t="s">
        <v>594</v>
      </c>
      <c r="D1487" s="2" t="str">
        <f t="shared" si="22"/>
        <v>Error?</v>
      </c>
    </row>
    <row r="1488" spans="1:4" x14ac:dyDescent="0.2">
      <c r="A1488" s="5">
        <v>1427</v>
      </c>
      <c r="B1488" s="138">
        <f>'Expenditures 15-22'!K257</f>
        <v>5812</v>
      </c>
      <c r="C1488" s="2" t="s">
        <v>594</v>
      </c>
      <c r="D1488" s="2" t="str">
        <f t="shared" si="22"/>
        <v>Error?</v>
      </c>
    </row>
    <row r="1489" spans="1:4" x14ac:dyDescent="0.2">
      <c r="A1489" s="5">
        <v>1428</v>
      </c>
      <c r="B1489" s="138">
        <f>'Expenditures 15-22'!K259</f>
        <v>12113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12113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10598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20038</v>
      </c>
      <c r="C1495" s="2" t="s">
        <v>594</v>
      </c>
      <c r="D1495" s="2" t="str">
        <f t="shared" si="22"/>
        <v>Error?</v>
      </c>
    </row>
    <row r="1496" spans="1:4" x14ac:dyDescent="0.2">
      <c r="A1496" s="5">
        <v>1435</v>
      </c>
      <c r="B1496" s="138">
        <f>'Expenditures 15-22'!K267</f>
        <v>14032</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44668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69092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107842</v>
      </c>
      <c r="C1517" s="2" t="s">
        <v>594</v>
      </c>
      <c r="D1517" s="2" t="str">
        <f t="shared" si="22"/>
        <v>Error?</v>
      </c>
    </row>
    <row r="1518" spans="1:4" x14ac:dyDescent="0.2">
      <c r="A1518" s="5">
        <v>1457</v>
      </c>
      <c r="B1518" s="138">
        <f>'Expenditures 15-22'!K296</f>
        <v>-7661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7278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7278</v>
      </c>
      <c r="C1535" s="2" t="s">
        <v>594</v>
      </c>
      <c r="D1535" s="2" t="str">
        <f t="shared" ref="D1535:D1598" si="23">IF(ISBLANK(B1535),"OK",IF(A1535-B1535=0,"OK","Error?"))</f>
        <v>Error?</v>
      </c>
    </row>
    <row r="1536" spans="1:4" x14ac:dyDescent="0.2">
      <c r="A1536" s="5">
        <v>1475</v>
      </c>
      <c r="B1536" s="138">
        <f>'Expenditures 15-22'!E312</f>
        <v>7278</v>
      </c>
      <c r="C1536" s="2" t="s">
        <v>594</v>
      </c>
      <c r="D1536" s="2" t="str">
        <f t="shared" si="23"/>
        <v>Error?</v>
      </c>
    </row>
    <row r="1537" spans="1:4" x14ac:dyDescent="0.2">
      <c r="A1537" s="5">
        <v>1476</v>
      </c>
      <c r="B1537" s="138">
        <f>'Expenditures 15-22'!F301</f>
        <v>2665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2665</v>
      </c>
      <c r="C1541" s="2" t="s">
        <v>594</v>
      </c>
      <c r="D1541" s="2" t="str">
        <f t="shared" si="23"/>
        <v>Error?</v>
      </c>
    </row>
    <row r="1542" spans="1:4" x14ac:dyDescent="0.2">
      <c r="A1542" s="5">
        <v>1481</v>
      </c>
      <c r="B1542" s="138">
        <f>'Expenditures 15-22'!F312</f>
        <v>2665</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9943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9943</v>
      </c>
      <c r="C1559" s="2" t="s">
        <v>594</v>
      </c>
      <c r="D1559" s="2" t="str">
        <f t="shared" si="23"/>
        <v>Error?</v>
      </c>
    </row>
    <row r="1560" spans="1:4" x14ac:dyDescent="0.2">
      <c r="A1560" s="5">
        <v>1499</v>
      </c>
      <c r="B1560" s="138">
        <f>'Expenditures 15-22'!K312</f>
        <v>9943</v>
      </c>
      <c r="C1560" s="2" t="s">
        <v>594</v>
      </c>
      <c r="D1560" s="2" t="str">
        <f t="shared" si="23"/>
        <v>Error?</v>
      </c>
    </row>
    <row r="1561" spans="1:4" x14ac:dyDescent="0.2">
      <c r="A1561" s="5">
        <v>1500</v>
      </c>
      <c r="B1561" s="138">
        <f>'Expenditures 15-22'!K313</f>
        <v>17747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570471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924008</v>
      </c>
      <c r="C1630" s="2" t="s">
        <v>594</v>
      </c>
      <c r="D1630" s="2" t="str">
        <f t="shared" si="24"/>
        <v>Error?</v>
      </c>
    </row>
    <row r="1631" spans="1:4" x14ac:dyDescent="0.2">
      <c r="A1631" s="5">
        <v>1570</v>
      </c>
      <c r="B1631" s="138">
        <f>'Acct Summary 7-8'!D79</f>
        <v>27582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31500</v>
      </c>
      <c r="C1644" s="2" t="s">
        <v>594</v>
      </c>
      <c r="D1644" s="2" t="str">
        <f t="shared" si="24"/>
        <v>Error?</v>
      </c>
    </row>
    <row r="1645" spans="1:4" x14ac:dyDescent="0.2">
      <c r="A1645" s="5">
        <v>1584</v>
      </c>
      <c r="B1645" s="138">
        <f>'Acct Summary 7-8'!E79</f>
        <v>13344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16255</v>
      </c>
      <c r="C1658" s="2" t="s">
        <v>594</v>
      </c>
      <c r="D1658" s="2" t="str">
        <f t="shared" si="24"/>
        <v>Error?</v>
      </c>
    </row>
    <row r="1659" spans="1:4" x14ac:dyDescent="0.2">
      <c r="A1659" s="5">
        <v>1598</v>
      </c>
      <c r="B1659" s="138">
        <f>'Acct Summary 7-8'!F79</f>
        <v>36136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49155</v>
      </c>
      <c r="C1672" s="2" t="s">
        <v>594</v>
      </c>
      <c r="D1672" s="2" t="str">
        <f t="shared" si="25"/>
        <v>Error?</v>
      </c>
    </row>
    <row r="1673" spans="1:4" x14ac:dyDescent="0.2">
      <c r="A1673" s="5">
        <v>1612</v>
      </c>
      <c r="B1673" s="138">
        <f>'Acct Summary 7-8'!G79</f>
        <v>21772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14111</v>
      </c>
      <c r="C1686" s="2" t="s">
        <v>594</v>
      </c>
      <c r="D1686" s="2" t="str">
        <f t="shared" si="25"/>
        <v>Error?</v>
      </c>
    </row>
    <row r="1687" spans="1:4" x14ac:dyDescent="0.2">
      <c r="A1687" s="5">
        <v>1626</v>
      </c>
      <c r="B1687" s="138">
        <f>'Acct Summary 7-8'!H79</f>
        <v>99003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116750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389551</v>
      </c>
      <c r="C1744" s="2" t="s">
        <v>594</v>
      </c>
      <c r="D1744" s="2" t="str">
        <f t="shared" si="26"/>
        <v>Error?</v>
      </c>
    </row>
    <row r="1745" spans="1:5" x14ac:dyDescent="0.2">
      <c r="A1745" s="5">
        <v>1684</v>
      </c>
      <c r="B1745" s="138">
        <f>'Tax Sched 23'!B5</f>
        <v>97394</v>
      </c>
      <c r="C1745" s="2" t="s">
        <v>594</v>
      </c>
      <c r="D1745" s="2" t="str">
        <f t="shared" si="26"/>
        <v>Error?</v>
      </c>
    </row>
    <row r="1746" spans="1:5" x14ac:dyDescent="0.2">
      <c r="A1746" s="5">
        <v>1685</v>
      </c>
      <c r="B1746" s="138">
        <f>'Tax Sched 23'!B6</f>
        <v>119680</v>
      </c>
      <c r="C1746" s="2" t="s">
        <v>594</v>
      </c>
      <c r="D1746" s="2" t="str">
        <f t="shared" si="26"/>
        <v>Error?</v>
      </c>
    </row>
    <row r="1747" spans="1:5" x14ac:dyDescent="0.2">
      <c r="A1747" s="5">
        <v>1686</v>
      </c>
      <c r="B1747" s="138">
        <f>'Tax Sched 23'!B7</f>
        <v>46749</v>
      </c>
      <c r="C1747" s="2" t="s">
        <v>594</v>
      </c>
      <c r="D1747" s="2" t="str">
        <f t="shared" si="26"/>
        <v>Error?</v>
      </c>
    </row>
    <row r="1748" spans="1:5" x14ac:dyDescent="0.2">
      <c r="A1748" s="5">
        <v>1687</v>
      </c>
      <c r="B1748" s="138">
        <f>'Tax Sched 23'!B8</f>
        <v>54845</v>
      </c>
      <c r="C1748" s="2" t="s">
        <v>594</v>
      </c>
      <c r="D1748" s="2" t="str">
        <f t="shared" si="26"/>
        <v>Error?</v>
      </c>
    </row>
    <row r="1749" spans="1:5" x14ac:dyDescent="0.2">
      <c r="A1749" s="5">
        <v>1688</v>
      </c>
      <c r="B1749" s="138">
        <f>'Tax Sched 23'!B10</f>
        <v>9739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79774</v>
      </c>
      <c r="C1752" s="2" t="s">
        <v>594</v>
      </c>
      <c r="D1752" s="2" t="str">
        <f t="shared" si="26"/>
        <v>Error?</v>
      </c>
    </row>
    <row r="1753" spans="1:5" x14ac:dyDescent="0.2">
      <c r="A1753" s="5">
        <v>1692</v>
      </c>
      <c r="B1753" s="138">
        <f>'Tax Sched 23'!B12</f>
        <v>9740</v>
      </c>
      <c r="C1753" s="2" t="s">
        <v>594</v>
      </c>
      <c r="D1753" s="2" t="str">
        <f t="shared" si="26"/>
        <v>Error?</v>
      </c>
    </row>
    <row r="1754" spans="1:5" x14ac:dyDescent="0.2">
      <c r="A1754" s="5">
        <v>1693</v>
      </c>
      <c r="B1754" s="138">
        <f>'Tax Sched 23'!B14</f>
        <v>7791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867031</v>
      </c>
      <c r="C1759" s="2" t="s">
        <v>594</v>
      </c>
      <c r="D1759" s="2" t="str">
        <f t="shared" si="26"/>
        <v>Error?</v>
      </c>
    </row>
    <row r="1760" spans="1:5" x14ac:dyDescent="0.2">
      <c r="A1760" s="5">
        <v>1699</v>
      </c>
      <c r="B1760" s="138">
        <f>'Tax Sched 23'!D4</f>
        <v>389551</v>
      </c>
      <c r="C1760" s="2" t="s">
        <v>594</v>
      </c>
      <c r="D1760" s="2" t="str">
        <f t="shared" si="26"/>
        <v>Error?</v>
      </c>
    </row>
    <row r="1761" spans="1:5" x14ac:dyDescent="0.2">
      <c r="A1761" s="5">
        <v>1700</v>
      </c>
      <c r="B1761" s="138">
        <f>'Tax Sched 23'!D5</f>
        <v>97394</v>
      </c>
      <c r="C1761" s="2" t="s">
        <v>594</v>
      </c>
      <c r="D1761" s="2" t="str">
        <f t="shared" si="26"/>
        <v>Error?</v>
      </c>
    </row>
    <row r="1762" spans="1:5" s="8" customFormat="1" x14ac:dyDescent="0.2">
      <c r="A1762" s="5">
        <v>1701</v>
      </c>
      <c r="B1762" s="138">
        <f>'Tax Sched 23'!D6</f>
        <v>119680</v>
      </c>
      <c r="C1762" s="2" t="s">
        <v>594</v>
      </c>
      <c r="D1762" s="2" t="str">
        <f t="shared" si="26"/>
        <v>Error?</v>
      </c>
      <c r="E1762" s="9"/>
    </row>
    <row r="1763" spans="1:5" x14ac:dyDescent="0.2">
      <c r="A1763" s="5">
        <v>1702</v>
      </c>
      <c r="B1763" s="138">
        <f>'Tax Sched 23'!D7</f>
        <v>46749</v>
      </c>
      <c r="C1763" s="2" t="s">
        <v>594</v>
      </c>
      <c r="D1763" s="2" t="str">
        <f t="shared" si="26"/>
        <v>Error?</v>
      </c>
    </row>
    <row r="1764" spans="1:5" x14ac:dyDescent="0.2">
      <c r="A1764" s="5">
        <v>1703</v>
      </c>
      <c r="B1764" s="138">
        <f>'Tax Sched 23'!D8</f>
        <v>54845</v>
      </c>
      <c r="C1764" s="2" t="s">
        <v>594</v>
      </c>
      <c r="D1764" s="2" t="str">
        <f t="shared" si="26"/>
        <v>Error?</v>
      </c>
    </row>
    <row r="1765" spans="1:5" x14ac:dyDescent="0.2">
      <c r="A1765" s="5">
        <v>1704</v>
      </c>
      <c r="B1765" s="138">
        <f>'Tax Sched 23'!D10</f>
        <v>9739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79774</v>
      </c>
      <c r="C1768" s="2" t="s">
        <v>594</v>
      </c>
      <c r="D1768" s="2" t="str">
        <f t="shared" si="26"/>
        <v>Error?</v>
      </c>
    </row>
    <row r="1769" spans="1:5" x14ac:dyDescent="0.2">
      <c r="A1769" s="5">
        <v>1708</v>
      </c>
      <c r="B1769" s="138">
        <f>'Tax Sched 23'!D12</f>
        <v>9740</v>
      </c>
      <c r="C1769" s="2" t="s">
        <v>594</v>
      </c>
      <c r="D1769" s="2" t="str">
        <f t="shared" si="26"/>
        <v>Error?</v>
      </c>
    </row>
    <row r="1770" spans="1:5" x14ac:dyDescent="0.2">
      <c r="A1770" s="5">
        <v>1709</v>
      </c>
      <c r="B1770" s="138">
        <f>'Tax Sched 23'!D14</f>
        <v>7791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867031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409150</v>
      </c>
      <c r="C1792" s="2" t="s">
        <v>594</v>
      </c>
      <c r="D1792" s="2" t="str">
        <f t="shared" si="27"/>
        <v>Error?</v>
      </c>
    </row>
    <row r="1793" spans="1:4" x14ac:dyDescent="0.2">
      <c r="A1793" s="5">
        <v>1732</v>
      </c>
      <c r="B1793" s="138">
        <f>'Tax Sched 23'!F5</f>
        <v>102282</v>
      </c>
      <c r="C1793" s="2" t="s">
        <v>594</v>
      </c>
      <c r="D1793" s="2" t="str">
        <f t="shared" si="27"/>
        <v>Error?</v>
      </c>
    </row>
    <row r="1794" spans="1:4" x14ac:dyDescent="0.2">
      <c r="A1794" s="5">
        <v>1733</v>
      </c>
      <c r="B1794" s="138">
        <f>'Tax Sched 23'!F6</f>
        <v>120097</v>
      </c>
      <c r="C1794" s="2" t="s">
        <v>594</v>
      </c>
      <c r="D1794" s="2" t="str">
        <f t="shared" si="27"/>
        <v>Error?</v>
      </c>
    </row>
    <row r="1795" spans="1:4" x14ac:dyDescent="0.2">
      <c r="A1795" s="5">
        <v>1734</v>
      </c>
      <c r="B1795" s="138">
        <f>'Tax Sched 23'!F7</f>
        <v>49088</v>
      </c>
      <c r="C1795" s="2" t="s">
        <v>594</v>
      </c>
      <c r="D1795" s="2" t="str">
        <f t="shared" si="27"/>
        <v>Error?</v>
      </c>
    </row>
    <row r="1796" spans="1:4" x14ac:dyDescent="0.2">
      <c r="A1796" s="5">
        <v>1735</v>
      </c>
      <c r="B1796" s="138">
        <f>'Tax Sched 23'!F8</f>
        <v>59996</v>
      </c>
      <c r="C1796" s="2" t="s">
        <v>594</v>
      </c>
      <c r="D1796" s="2" t="str">
        <f t="shared" si="27"/>
        <v>Error?</v>
      </c>
    </row>
    <row r="1797" spans="1:4" x14ac:dyDescent="0.2">
      <c r="A1797" s="5">
        <v>1736</v>
      </c>
      <c r="B1797" s="138">
        <f>'Tax Sched 23'!F10</f>
        <v>10224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69992</v>
      </c>
      <c r="C1800" s="2" t="s">
        <v>594</v>
      </c>
      <c r="D1800" s="2" t="str">
        <f t="shared" si="27"/>
        <v>Error?</v>
      </c>
    </row>
    <row r="1801" spans="1:4" x14ac:dyDescent="0.2">
      <c r="A1801" s="5">
        <v>1740</v>
      </c>
      <c r="B1801" s="138">
        <f>'Tax Sched 23'!F12</f>
        <v>10224</v>
      </c>
      <c r="C1801" s="2" t="s">
        <v>594</v>
      </c>
      <c r="D1801" s="2" t="str">
        <f t="shared" si="27"/>
        <v>Error?</v>
      </c>
    </row>
    <row r="1802" spans="1:4" x14ac:dyDescent="0.2">
      <c r="A1802" s="5">
        <v>1741</v>
      </c>
      <c r="B1802" s="138">
        <f>'Tax Sched 23'!F14</f>
        <v>8192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897479</v>
      </c>
      <c r="C1807" s="2" t="s">
        <v>594</v>
      </c>
      <c r="D1807" s="2" t="str">
        <f t="shared" si="27"/>
        <v>Error?</v>
      </c>
    </row>
    <row r="1808" spans="1:4" x14ac:dyDescent="0.2">
      <c r="A1808" s="5">
        <v>1747</v>
      </c>
      <c r="B1808" s="138">
        <f>'Tax Sched 23'!E4</f>
        <v>409150</v>
      </c>
      <c r="D1808" s="2" t="str">
        <f t="shared" si="27"/>
        <v>Error?</v>
      </c>
    </row>
    <row r="1809" spans="1:4" x14ac:dyDescent="0.2">
      <c r="A1809" s="5">
        <v>1748</v>
      </c>
      <c r="B1809" s="138">
        <f>'Tax Sched 23'!E5</f>
        <v>102282</v>
      </c>
      <c r="D1809" s="2" t="str">
        <f t="shared" si="27"/>
        <v>Error?</v>
      </c>
    </row>
    <row r="1810" spans="1:4" x14ac:dyDescent="0.2">
      <c r="A1810" s="5">
        <v>1749</v>
      </c>
      <c r="B1810" s="138">
        <f>'Tax Sched 23'!E6</f>
        <v>120097</v>
      </c>
      <c r="D1810" s="2" t="str">
        <f t="shared" si="27"/>
        <v>Error?</v>
      </c>
    </row>
    <row r="1811" spans="1:4" x14ac:dyDescent="0.2">
      <c r="A1811" s="5">
        <v>1750</v>
      </c>
      <c r="B1811" s="138">
        <f>'Tax Sched 23'!E7</f>
        <v>49088</v>
      </c>
      <c r="D1811" s="2" t="str">
        <f t="shared" si="27"/>
        <v>Error?</v>
      </c>
    </row>
    <row r="1812" spans="1:4" x14ac:dyDescent="0.2">
      <c r="A1812" s="5">
        <v>1751</v>
      </c>
      <c r="B1812" s="138">
        <f>'Tax Sched 23'!E8</f>
        <v>59996</v>
      </c>
      <c r="D1812" s="2" t="str">
        <f t="shared" si="27"/>
        <v>Error?</v>
      </c>
    </row>
    <row r="1813" spans="1:4" x14ac:dyDescent="0.2">
      <c r="A1813" s="5">
        <v>1752</v>
      </c>
      <c r="B1813" s="138">
        <f>'Tax Sched 23'!E10</f>
        <v>10224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69992</v>
      </c>
      <c r="D1816" s="2" t="str">
        <f t="shared" si="27"/>
        <v>Error?</v>
      </c>
    </row>
    <row r="1817" spans="1:4" x14ac:dyDescent="0.2">
      <c r="A1817" s="5">
        <v>1756</v>
      </c>
      <c r="B1817" s="138">
        <f>'Tax Sched 23'!E12</f>
        <v>10224</v>
      </c>
      <c r="D1817" s="2" t="str">
        <f t="shared" si="27"/>
        <v>Error?</v>
      </c>
    </row>
    <row r="1818" spans="1:4" x14ac:dyDescent="0.2">
      <c r="A1818" s="5">
        <v>1757</v>
      </c>
      <c r="B1818" s="138">
        <f>'Tax Sched 23'!E14</f>
        <v>8192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897479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7791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7791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7791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3775072</v>
      </c>
      <c r="D2009" s="2" t="str">
        <f t="shared" si="30"/>
        <v>Error?</v>
      </c>
    </row>
    <row r="2010" spans="1:4" x14ac:dyDescent="0.2">
      <c r="A2010" s="5">
        <v>1949</v>
      </c>
      <c r="B2010" s="138">
        <f>'Cap Outlay Deprec 26'!C10</f>
        <v>255955</v>
      </c>
      <c r="D2010" s="2" t="str">
        <f t="shared" si="30"/>
        <v>Error?</v>
      </c>
    </row>
    <row r="2011" spans="1:4" x14ac:dyDescent="0.2">
      <c r="A2011" s="5">
        <v>1950</v>
      </c>
      <c r="B2011" s="138">
        <f>'Cap Outlay Deprec 26'!C12</f>
        <v>934784</v>
      </c>
      <c r="D2011" s="2" t="str">
        <f t="shared" si="30"/>
        <v>Error?</v>
      </c>
    </row>
    <row r="2012" spans="1:4" x14ac:dyDescent="0.2">
      <c r="A2012" s="5">
        <v>1951</v>
      </c>
      <c r="B2012" s="138">
        <f>'Cap Outlay Deprec 26'!C13</f>
        <v>207290</v>
      </c>
      <c r="D2012" s="2" t="str">
        <f t="shared" si="30"/>
        <v>Error?</v>
      </c>
    </row>
    <row r="2013" spans="1:4" x14ac:dyDescent="0.2">
      <c r="A2013" s="5">
        <v>1952</v>
      </c>
      <c r="B2013" s="138">
        <f>'Cap Outlay Deprec 26'!C16</f>
        <v>5176101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341571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33725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375296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517195</v>
      </c>
      <c r="D2023" s="2" t="str">
        <f t="shared" si="30"/>
        <v>Error?</v>
      </c>
    </row>
    <row r="2024" spans="1:4" x14ac:dyDescent="0.2">
      <c r="A2024" s="5">
        <v>1963</v>
      </c>
      <c r="B2024" s="138">
        <f>'Cap Outlay Deprec 26'!E13</f>
        <v>172316</v>
      </c>
      <c r="D2024" s="2" t="str">
        <f t="shared" si="30"/>
        <v>Error?</v>
      </c>
    </row>
    <row r="2025" spans="1:4" x14ac:dyDescent="0.2">
      <c r="A2025" s="5">
        <v>1964</v>
      </c>
      <c r="B2025" s="138">
        <f>'Cap Outlay Deprec 26'!E16</f>
        <v>689511</v>
      </c>
      <c r="C2025" s="2" t="s">
        <v>594</v>
      </c>
      <c r="D2025" s="2" t="str">
        <f t="shared" si="30"/>
        <v>Error?</v>
      </c>
    </row>
    <row r="2026" spans="1:4" x14ac:dyDescent="0.2">
      <c r="A2026" s="5">
        <v>1965</v>
      </c>
      <c r="B2026" s="138">
        <f>'Cap Outlay Deprec 26'!F5</f>
        <v>3000</v>
      </c>
      <c r="C2026" s="2" t="s">
        <v>594</v>
      </c>
      <c r="D2026" s="2" t="str">
        <f t="shared" si="30"/>
        <v>Error?</v>
      </c>
    </row>
    <row r="2027" spans="1:4" x14ac:dyDescent="0.2">
      <c r="A2027" s="5">
        <v>1966</v>
      </c>
      <c r="B2027" s="138">
        <f>'Cap Outlay Deprec 26'!F8</f>
        <v>4116643</v>
      </c>
      <c r="C2027" s="2" t="s">
        <v>594</v>
      </c>
      <c r="D2027" s="2" t="str">
        <f t="shared" si="30"/>
        <v>Error?</v>
      </c>
    </row>
    <row r="2028" spans="1:4" x14ac:dyDescent="0.2">
      <c r="A2028" s="5">
        <v>1967</v>
      </c>
      <c r="B2028" s="138">
        <f>'Cap Outlay Deprec 26'!F10</f>
        <v>255955</v>
      </c>
      <c r="C2028" s="2" t="s">
        <v>594</v>
      </c>
      <c r="D2028" s="2" t="str">
        <f t="shared" si="30"/>
        <v>Error?</v>
      </c>
    </row>
    <row r="2029" spans="1:4" x14ac:dyDescent="0.2">
      <c r="A2029" s="5">
        <v>1968</v>
      </c>
      <c r="B2029" s="138">
        <f>'Cap Outlay Deprec 26'!F12</f>
        <v>451314</v>
      </c>
      <c r="C2029" s="2" t="s">
        <v>594</v>
      </c>
      <c r="D2029" s="2" t="str">
        <f t="shared" si="30"/>
        <v>Error?</v>
      </c>
    </row>
    <row r="2030" spans="1:4" x14ac:dyDescent="0.2">
      <c r="A2030" s="5">
        <v>1969</v>
      </c>
      <c r="B2030" s="138">
        <f>'Cap Outlay Deprec 26'!F13</f>
        <v>34974</v>
      </c>
      <c r="C2030" s="2" t="s">
        <v>594</v>
      </c>
      <c r="D2030" s="2" t="str">
        <f t="shared" si="30"/>
        <v>Error?</v>
      </c>
    </row>
    <row r="2031" spans="1:4" x14ac:dyDescent="0.2">
      <c r="A2031" s="5">
        <v>1970</v>
      </c>
      <c r="B2031" s="138">
        <f>'Cap Outlay Deprec 26'!F16</f>
        <v>4861886</v>
      </c>
      <c r="C2031" s="2" t="s">
        <v>594</v>
      </c>
      <c r="D2031" s="2" t="str">
        <f t="shared" si="30"/>
        <v>Error?</v>
      </c>
    </row>
    <row r="2032" spans="1:4" x14ac:dyDescent="0.2">
      <c r="A2032" s="10">
        <v>1971</v>
      </c>
      <c r="D2032" s="2" t="str">
        <f t="shared" si="30"/>
        <v>OK</v>
      </c>
    </row>
    <row r="2033" spans="1:4" x14ac:dyDescent="0.2">
      <c r="A2033" s="5">
        <v>1972</v>
      </c>
      <c r="B2033" s="138">
        <f>'Cap Outlay Deprec 26'!H8</f>
        <v>1734390</v>
      </c>
      <c r="D2033" s="2" t="str">
        <f t="shared" si="30"/>
        <v>Error?</v>
      </c>
    </row>
    <row r="2034" spans="1:4" x14ac:dyDescent="0.2">
      <c r="A2034" s="5">
        <v>1973</v>
      </c>
      <c r="B2034" s="138">
        <f>'Cap Outlay Deprec 26'!H10</f>
        <v>163157</v>
      </c>
      <c r="D2034" s="2" t="str">
        <f t="shared" si="30"/>
        <v>Error?</v>
      </c>
    </row>
    <row r="2035" spans="1:4" x14ac:dyDescent="0.2">
      <c r="A2035" s="5">
        <v>1974</v>
      </c>
      <c r="B2035" s="138">
        <f>'Cap Outlay Deprec 26'!H12</f>
        <v>784102</v>
      </c>
      <c r="D2035" s="2" t="str">
        <f t="shared" si="30"/>
        <v>Error?</v>
      </c>
    </row>
    <row r="2036" spans="1:4" x14ac:dyDescent="0.2">
      <c r="A2036" s="5">
        <v>1975</v>
      </c>
      <c r="B2036" s="138">
        <f>'Cap Outlay Deprec 26'!H13</f>
        <v>187056</v>
      </c>
      <c r="D2036" s="2" t="str">
        <f t="shared" si="30"/>
        <v>Error?</v>
      </c>
    </row>
    <row r="2037" spans="1:4" x14ac:dyDescent="0.2">
      <c r="A2037" s="5">
        <v>1976</v>
      </c>
      <c r="B2037" s="138">
        <f>'Cap Outlay Deprec 26'!H16</f>
        <v>2868705</v>
      </c>
      <c r="C2037" s="2" t="s">
        <v>594</v>
      </c>
      <c r="D2037" s="2" t="str">
        <f t="shared" si="30"/>
        <v>Error?</v>
      </c>
    </row>
    <row r="2038" spans="1:4" x14ac:dyDescent="0.2">
      <c r="A2038" s="10">
        <v>1977</v>
      </c>
      <c r="D2038" s="2" t="str">
        <f t="shared" si="30"/>
        <v>OK</v>
      </c>
    </row>
    <row r="2039" spans="1:4" x14ac:dyDescent="0.2">
      <c r="A2039" s="5">
        <v>1978</v>
      </c>
      <c r="B2039" s="138">
        <f>'Cap Outlay Deprec 26'!I8</f>
        <v>82333</v>
      </c>
      <c r="D2039" s="2" t="str">
        <f t="shared" si="30"/>
        <v>Error?</v>
      </c>
    </row>
    <row r="2040" spans="1:4" x14ac:dyDescent="0.2">
      <c r="A2040" s="5">
        <v>1979</v>
      </c>
      <c r="B2040" s="138">
        <f>'Cap Outlay Deprec 26'!I10</f>
        <v>12798</v>
      </c>
      <c r="D2040" s="2" t="str">
        <f t="shared" si="30"/>
        <v>Error?</v>
      </c>
    </row>
    <row r="2041" spans="1:4" x14ac:dyDescent="0.2">
      <c r="A2041" s="5">
        <v>1980</v>
      </c>
      <c r="B2041" s="138">
        <f>'Cap Outlay Deprec 26'!I12</f>
        <v>46576</v>
      </c>
      <c r="D2041" s="2" t="str">
        <f t="shared" si="30"/>
        <v>Error?</v>
      </c>
    </row>
    <row r="2042" spans="1:4" x14ac:dyDescent="0.2">
      <c r="A2042" s="5">
        <v>1981</v>
      </c>
      <c r="B2042" s="138">
        <f>'Cap Outlay Deprec 26'!I13</f>
        <v>6995</v>
      </c>
      <c r="D2042" s="2" t="str">
        <f t="shared" si="30"/>
        <v>Error?</v>
      </c>
    </row>
    <row r="2043" spans="1:4" x14ac:dyDescent="0.2">
      <c r="A2043" s="5">
        <v>1982</v>
      </c>
      <c r="B2043" s="138">
        <f>'Cap Outlay Deprec 26'!I16</f>
        <v>148702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517195</v>
      </c>
      <c r="D2047" s="2" t="str">
        <f t="shared" ref="D2047:D2110" si="31">IF(ISBLANK(B2047),"OK",IF(A2047-B2047=0,"OK","Error?"))</f>
        <v>Error?</v>
      </c>
    </row>
    <row r="2048" spans="1:4" x14ac:dyDescent="0.2">
      <c r="A2048" s="5">
        <v>1987</v>
      </c>
      <c r="B2048" s="138">
        <f>'Cap Outlay Deprec 26'!J13</f>
        <v>172316</v>
      </c>
      <c r="D2048" s="2" t="str">
        <f t="shared" si="31"/>
        <v>Error?</v>
      </c>
    </row>
    <row r="2049" spans="1:4" x14ac:dyDescent="0.2">
      <c r="A2049" s="5">
        <v>1988</v>
      </c>
      <c r="B2049" s="138">
        <f>'Cap Outlay Deprec 26'!J16</f>
        <v>689511</v>
      </c>
      <c r="C2049" s="2" t="s">
        <v>594</v>
      </c>
      <c r="D2049" s="2" t="str">
        <f t="shared" si="31"/>
        <v>Error?</v>
      </c>
    </row>
    <row r="2050" spans="1:4" x14ac:dyDescent="0.2">
      <c r="A2050" s="10">
        <v>1989</v>
      </c>
      <c r="D2050" s="2" t="str">
        <f t="shared" si="31"/>
        <v>OK</v>
      </c>
    </row>
    <row r="2051" spans="1:4" x14ac:dyDescent="0.2">
      <c r="A2051" s="5">
        <v>1990</v>
      </c>
      <c r="B2051" s="138">
        <f>'Cap Outlay Deprec 26'!K8</f>
        <v>1816723</v>
      </c>
      <c r="C2051" s="2" t="s">
        <v>594</v>
      </c>
      <c r="D2051" s="2" t="str">
        <f t="shared" si="31"/>
        <v>Error?</v>
      </c>
    </row>
    <row r="2052" spans="1:4" x14ac:dyDescent="0.2">
      <c r="A2052" s="5">
        <v>1991</v>
      </c>
      <c r="B2052" s="138">
        <f>'Cap Outlay Deprec 26'!K10</f>
        <v>175955</v>
      </c>
      <c r="C2052" s="2" t="s">
        <v>594</v>
      </c>
      <c r="D2052" s="2" t="str">
        <f t="shared" si="31"/>
        <v>Error?</v>
      </c>
    </row>
    <row r="2053" spans="1:4" x14ac:dyDescent="0.2">
      <c r="A2053" s="5">
        <v>1992</v>
      </c>
      <c r="B2053" s="138">
        <f>'Cap Outlay Deprec 26'!K12</f>
        <v>313483</v>
      </c>
      <c r="C2053" s="2" t="s">
        <v>594</v>
      </c>
      <c r="D2053" s="2" t="str">
        <f t="shared" si="31"/>
        <v>Error?</v>
      </c>
    </row>
    <row r="2054" spans="1:4" x14ac:dyDescent="0.2">
      <c r="A2054" s="5">
        <v>1993</v>
      </c>
      <c r="B2054" s="138">
        <f>'Cap Outlay Deprec 26'!K13</f>
        <v>21735</v>
      </c>
      <c r="C2054" s="2" t="s">
        <v>594</v>
      </c>
      <c r="D2054" s="2" t="str">
        <f t="shared" si="31"/>
        <v>Error?</v>
      </c>
    </row>
    <row r="2055" spans="1:4" x14ac:dyDescent="0.2">
      <c r="A2055" s="5">
        <v>1994</v>
      </c>
      <c r="B2055" s="138">
        <f>'Cap Outlay Deprec 26'!K16</f>
        <v>2327896</v>
      </c>
      <c r="C2055" s="2" t="s">
        <v>594</v>
      </c>
      <c r="D2055" s="2" t="str">
        <f t="shared" si="31"/>
        <v>Error?</v>
      </c>
    </row>
    <row r="2056" spans="1:4" x14ac:dyDescent="0.2">
      <c r="A2056" s="5">
        <v>1995</v>
      </c>
      <c r="B2056" s="138">
        <f>'Cap Outlay Deprec 26'!L5</f>
        <v>3000</v>
      </c>
      <c r="C2056" s="2" t="s">
        <v>594</v>
      </c>
      <c r="D2056" s="2" t="str">
        <f t="shared" si="31"/>
        <v>Error?</v>
      </c>
    </row>
    <row r="2057" spans="1:4" x14ac:dyDescent="0.2">
      <c r="A2057" s="5">
        <v>1996</v>
      </c>
      <c r="B2057" s="138">
        <f>'Cap Outlay Deprec 26'!L8</f>
        <v>2299920</v>
      </c>
      <c r="C2057" s="2" t="s">
        <v>594</v>
      </c>
      <c r="D2057" s="2" t="str">
        <f t="shared" si="31"/>
        <v>Error?</v>
      </c>
    </row>
    <row r="2058" spans="1:4" x14ac:dyDescent="0.2">
      <c r="A2058" s="5">
        <v>1997</v>
      </c>
      <c r="B2058" s="138">
        <f>'Cap Outlay Deprec 26'!L10</f>
        <v>80000</v>
      </c>
      <c r="C2058" s="2" t="s">
        <v>594</v>
      </c>
      <c r="D2058" s="2" t="str">
        <f t="shared" si="31"/>
        <v>Error?</v>
      </c>
    </row>
    <row r="2059" spans="1:4" x14ac:dyDescent="0.2">
      <c r="A2059" s="5">
        <v>1998</v>
      </c>
      <c r="B2059" s="138">
        <f>'Cap Outlay Deprec 26'!L12</f>
        <v>137831</v>
      </c>
      <c r="C2059" s="2" t="s">
        <v>594</v>
      </c>
      <c r="D2059" s="2" t="str">
        <f t="shared" si="31"/>
        <v>Error?</v>
      </c>
    </row>
    <row r="2060" spans="1:4" x14ac:dyDescent="0.2">
      <c r="A2060" s="5">
        <v>1999</v>
      </c>
      <c r="B2060" s="138">
        <f>'Cap Outlay Deprec 26'!L13</f>
        <v>13239</v>
      </c>
      <c r="C2060" s="2" t="s">
        <v>594</v>
      </c>
      <c r="D2060" s="2" t="str">
        <f t="shared" si="31"/>
        <v>Error?</v>
      </c>
    </row>
    <row r="2061" spans="1:4" x14ac:dyDescent="0.2">
      <c r="A2061" s="5">
        <v>2000</v>
      </c>
      <c r="B2061" s="138">
        <f>'Cap Outlay Deprec 26'!L16</f>
        <v>2533990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35773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35773</v>
      </c>
      <c r="C2088" s="2" t="s">
        <v>594</v>
      </c>
      <c r="D2088" s="2" t="str">
        <f t="shared" si="31"/>
        <v>Error?</v>
      </c>
    </row>
    <row r="2089" spans="1:4" x14ac:dyDescent="0.2">
      <c r="A2089" s="5">
        <v>2028</v>
      </c>
      <c r="B2089" s="138">
        <f>'Expenditures 15-22'!K92</f>
        <v>2934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503545</v>
      </c>
      <c r="C2551" s="2" t="s">
        <v>594</v>
      </c>
      <c r="D2551" s="2" t="str">
        <f t="shared" si="38"/>
        <v>Error?</v>
      </c>
    </row>
    <row r="2552" spans="1:4" x14ac:dyDescent="0.2">
      <c r="A2552" s="10">
        <v>2491</v>
      </c>
      <c r="D2552" s="2" t="str">
        <f t="shared" si="38"/>
        <v>OK</v>
      </c>
    </row>
    <row r="2553" spans="1:4" x14ac:dyDescent="0.2">
      <c r="A2553" s="5">
        <v>2492</v>
      </c>
      <c r="B2553" s="138">
        <f>'Acct Summary 7-8'!C6</f>
        <v>1716806</v>
      </c>
      <c r="C2553" s="2" t="s">
        <v>594</v>
      </c>
      <c r="D2553" s="2" t="str">
        <f t="shared" si="38"/>
        <v>Error?</v>
      </c>
    </row>
    <row r="2554" spans="1:4" x14ac:dyDescent="0.2">
      <c r="A2554" s="5">
        <v>2493</v>
      </c>
      <c r="B2554" s="138">
        <f>'Acct Summary 7-8'!C7</f>
        <v>297712</v>
      </c>
      <c r="C2554" s="2" t="s">
        <v>594</v>
      </c>
      <c r="D2554" s="2" t="str">
        <f t="shared" si="38"/>
        <v>Error?</v>
      </c>
    </row>
    <row r="2555" spans="1:4" x14ac:dyDescent="0.2">
      <c r="A2555" s="5">
        <v>2494</v>
      </c>
      <c r="B2555" s="138">
        <f>'Acct Summary 7-8'!C8</f>
        <v>2537541</v>
      </c>
      <c r="C2555" s="2" t="s">
        <v>594</v>
      </c>
      <c r="D2555" s="2" t="str">
        <f t="shared" si="38"/>
        <v>Error?</v>
      </c>
    </row>
    <row r="2556" spans="1:4" x14ac:dyDescent="0.2">
      <c r="A2556" s="5">
        <v>2495</v>
      </c>
      <c r="B2556" s="138">
        <f>'Acct Summary 7-8'!C12</f>
        <v>1509917</v>
      </c>
      <c r="C2556" s="2" t="s">
        <v>594</v>
      </c>
      <c r="D2556" s="2" t="str">
        <f t="shared" si="38"/>
        <v>Error?</v>
      </c>
    </row>
    <row r="2557" spans="1:4" x14ac:dyDescent="0.2">
      <c r="A2557" s="5">
        <v>2496</v>
      </c>
      <c r="B2557" s="138">
        <f>'Acct Summary 7-8'!C13</f>
        <v>635261</v>
      </c>
      <c r="C2557" s="2" t="s">
        <v>594</v>
      </c>
      <c r="D2557" s="2" t="str">
        <f t="shared" si="38"/>
        <v>Error?</v>
      </c>
    </row>
    <row r="2558" spans="1:4" x14ac:dyDescent="0.2">
      <c r="A2558" s="5">
        <v>2497</v>
      </c>
      <c r="B2558" s="138">
        <f>'Acct Summary 7-8'!C14</f>
        <v>119</v>
      </c>
      <c r="C2558" s="2" t="s">
        <v>594</v>
      </c>
      <c r="D2558" s="2" t="str">
        <f t="shared" si="38"/>
        <v>Error?</v>
      </c>
    </row>
    <row r="2559" spans="1:4" x14ac:dyDescent="0.2">
      <c r="A2559" s="5">
        <v>2498</v>
      </c>
      <c r="B2559" s="138">
        <f>'Acct Summary 7-8'!C15</f>
        <v>38707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2184004</v>
      </c>
      <c r="C2561" s="2" t="s">
        <v>594</v>
      </c>
      <c r="D2561" s="2" t="str">
        <f t="shared" si="39"/>
        <v>Error?</v>
      </c>
    </row>
    <row r="2562" spans="1:4" x14ac:dyDescent="0.2">
      <c r="A2562" s="5">
        <v>2501</v>
      </c>
      <c r="B2562" s="138">
        <f>'Acct Summary 7-8'!C20</f>
        <v>353537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109587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109587</v>
      </c>
      <c r="C2568" s="2" t="s">
        <v>594</v>
      </c>
      <c r="D2568" s="2" t="str">
        <f t="shared" si="39"/>
        <v>Error?</v>
      </c>
    </row>
    <row r="2569" spans="1:4" x14ac:dyDescent="0.2">
      <c r="A2569" s="5">
        <v>2508</v>
      </c>
      <c r="B2569" s="138">
        <f>'Acct Summary 7-8'!D13</f>
        <v>105669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105669</v>
      </c>
      <c r="C2573" s="2" t="s">
        <v>594</v>
      </c>
      <c r="D2573" s="2" t="str">
        <f t="shared" si="39"/>
        <v>Error?</v>
      </c>
    </row>
    <row r="2574" spans="1:4" x14ac:dyDescent="0.2">
      <c r="A2574" s="5">
        <v>2513</v>
      </c>
      <c r="B2574" s="138">
        <f>'Acct Summary 7-8'!D20</f>
        <v>3918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47342</v>
      </c>
      <c r="C2591" s="2" t="s">
        <v>594</v>
      </c>
      <c r="D2591" s="2" t="str">
        <f t="shared" si="39"/>
        <v>Error?</v>
      </c>
    </row>
    <row r="2592" spans="1:4" x14ac:dyDescent="0.2">
      <c r="A2592" s="10">
        <v>2531</v>
      </c>
      <c r="D2592" s="2" t="str">
        <f t="shared" si="39"/>
        <v>OK</v>
      </c>
    </row>
    <row r="2593" spans="1:4" x14ac:dyDescent="0.2">
      <c r="A2593" s="5">
        <v>2532</v>
      </c>
      <c r="B2593" s="138">
        <f>'Acct Summary 7-8'!F6</f>
        <v>101185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148527</v>
      </c>
      <c r="C2595" s="2" t="s">
        <v>594</v>
      </c>
      <c r="D2595" s="2" t="str">
        <f t="shared" si="39"/>
        <v>Error?</v>
      </c>
    </row>
    <row r="2596" spans="1:4" x14ac:dyDescent="0.2">
      <c r="A2596" s="5">
        <v>2535</v>
      </c>
      <c r="B2596" s="138">
        <f>'Acct Summary 7-8'!F13</f>
        <v>135508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135508</v>
      </c>
      <c r="C2600" s="2" t="s">
        <v>594</v>
      </c>
      <c r="D2600" s="2" t="str">
        <f t="shared" si="39"/>
        <v>Error?</v>
      </c>
    </row>
    <row r="2601" spans="1:4" x14ac:dyDescent="0.2">
      <c r="A2601" s="5">
        <v>2540</v>
      </c>
      <c r="B2601" s="138">
        <f>'Acct Summary 7-8'!F20</f>
        <v>13019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100181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100181</v>
      </c>
      <c r="C2606" s="2" t="s">
        <v>594</v>
      </c>
      <c r="D2606" s="2" t="str">
        <f t="shared" si="39"/>
        <v>Error?</v>
      </c>
    </row>
    <row r="2607" spans="1:4" x14ac:dyDescent="0.2">
      <c r="A2607" s="5">
        <v>2546</v>
      </c>
      <c r="B2607" s="138">
        <f>'Acct Summary 7-8'!G12</f>
        <v>38750</v>
      </c>
      <c r="C2607" s="2" t="s">
        <v>594</v>
      </c>
      <c r="D2607" s="2" t="str">
        <f t="shared" si="39"/>
        <v>Error?</v>
      </c>
    </row>
    <row r="2608" spans="1:4" x14ac:dyDescent="0.2">
      <c r="A2608" s="5">
        <v>2547</v>
      </c>
      <c r="B2608" s="138">
        <f>'Acct Summary 7-8'!G13</f>
        <v>69092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107842</v>
      </c>
      <c r="C2612" s="2" t="s">
        <v>594</v>
      </c>
      <c r="D2612" s="2" t="str">
        <f t="shared" si="39"/>
        <v>Error?</v>
      </c>
    </row>
    <row r="2613" spans="1:4" x14ac:dyDescent="0.2">
      <c r="A2613" s="5">
        <v>2552</v>
      </c>
      <c r="B2613" s="138">
        <f>'Acct Summary 7-8'!G20</f>
        <v>-7661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217017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217017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214106</v>
      </c>
      <c r="C2634" s="2" t="s">
        <v>594</v>
      </c>
      <c r="D2634" s="2" t="str">
        <f t="shared" si="40"/>
        <v>Error?</v>
      </c>
    </row>
    <row r="2635" spans="1:4" x14ac:dyDescent="0.2">
      <c r="A2635" s="5">
        <v>2574</v>
      </c>
      <c r="B2635" s="138">
        <f>'Acct Summary 7-8'!E17</f>
        <v>214106</v>
      </c>
      <c r="C2635" s="2" t="s">
        <v>594</v>
      </c>
      <c r="D2635" s="2" t="str">
        <f t="shared" si="40"/>
        <v>Error?</v>
      </c>
    </row>
    <row r="2636" spans="1:4" x14ac:dyDescent="0.2">
      <c r="A2636" s="5">
        <v>2575</v>
      </c>
      <c r="B2636" s="138">
        <f>'Acct Summary 7-8'!E20</f>
        <v>2911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27690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27690</v>
      </c>
      <c r="C2658" s="2" t="s">
        <v>594</v>
      </c>
      <c r="D2658" s="2" t="str">
        <f t="shared" si="40"/>
        <v>Error?</v>
      </c>
    </row>
    <row r="2659" spans="1:4" x14ac:dyDescent="0.2">
      <c r="A2659" s="5">
        <v>2598</v>
      </c>
      <c r="B2659" s="138">
        <f>'Acct Summary 7-8'!H13</f>
        <v>9943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9943</v>
      </c>
      <c r="C2661" s="2" t="s">
        <v>594</v>
      </c>
      <c r="D2661" s="2" t="str">
        <f t="shared" si="40"/>
        <v>Error?</v>
      </c>
    </row>
    <row r="2662" spans="1:4" x14ac:dyDescent="0.2">
      <c r="A2662" s="5">
        <v>2601</v>
      </c>
      <c r="B2662" s="138">
        <f>'Acct Summary 7-8'!H20</f>
        <v>17747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336370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346240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51153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346240</v>
      </c>
      <c r="D2912" s="2" t="str">
        <f t="shared" si="44"/>
        <v>Error?</v>
      </c>
    </row>
    <row r="2913" spans="1:4" x14ac:dyDescent="0.2">
      <c r="A2913" s="5">
        <v>2852</v>
      </c>
      <c r="B2913" s="138">
        <f>'Assets-Liab 5-6'!I41</f>
        <v>346240</v>
      </c>
      <c r="C2913" s="2" t="s">
        <v>594</v>
      </c>
      <c r="D2913" s="2" t="str">
        <f t="shared" si="44"/>
        <v>Error?</v>
      </c>
    </row>
    <row r="2914" spans="1:4" x14ac:dyDescent="0.2">
      <c r="A2914" s="5">
        <v>2853</v>
      </c>
      <c r="B2914" s="138">
        <f>'Assets-Liab 5-6'!L33</f>
        <v>51153</v>
      </c>
      <c r="D2914" s="2" t="str">
        <f t="shared" si="44"/>
        <v>Error?</v>
      </c>
    </row>
    <row r="2915" spans="1:4" x14ac:dyDescent="0.2">
      <c r="A2915" s="10">
        <v>2854</v>
      </c>
      <c r="D2915" s="2" t="str">
        <f t="shared" si="44"/>
        <v>OK</v>
      </c>
    </row>
    <row r="2916" spans="1:4" x14ac:dyDescent="0.2">
      <c r="A2916" s="5">
        <v>2855</v>
      </c>
      <c r="B2916" s="138">
        <f>'Assets-Liab 5-6'!L34</f>
        <v>51153</v>
      </c>
      <c r="C2916" s="2" t="s">
        <v>594</v>
      </c>
      <c r="D2916" s="2" t="str">
        <f t="shared" si="44"/>
        <v>Error?</v>
      </c>
    </row>
    <row r="2917" spans="1:4" x14ac:dyDescent="0.2">
      <c r="A2917" s="5">
        <v>2856</v>
      </c>
      <c r="B2917" s="138">
        <f>'Assets-Liab 5-6'!L41</f>
        <v>51153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34333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1440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34333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1440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46341</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46341</v>
      </c>
      <c r="C3062" s="2" t="s">
        <v>594</v>
      </c>
      <c r="D3062" s="2" t="str">
        <f t="shared" si="46"/>
        <v>Error?</v>
      </c>
    </row>
    <row r="3063" spans="1:4" x14ac:dyDescent="0.2">
      <c r="A3063" s="10">
        <v>3002</v>
      </c>
      <c r="D3063" s="2" t="str">
        <f t="shared" si="46"/>
        <v>OK</v>
      </c>
    </row>
    <row r="3064" spans="1:4" x14ac:dyDescent="0.2">
      <c r="A3064" s="5">
        <v>3003</v>
      </c>
      <c r="B3064" s="138">
        <f>'Expenditures 15-22'!D219</f>
        <v>11347</v>
      </c>
      <c r="D3064" s="2" t="str">
        <f t="shared" si="46"/>
        <v>Error?</v>
      </c>
    </row>
    <row r="3065" spans="1:4" x14ac:dyDescent="0.2">
      <c r="A3065" s="5">
        <v>3004</v>
      </c>
      <c r="B3065" s="138">
        <f>'Expenditures 15-22'!K219</f>
        <v>11347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11554</v>
      </c>
      <c r="C3225" s="2" t="s">
        <v>594</v>
      </c>
      <c r="D3225" s="2" t="str">
        <f t="shared" si="49"/>
        <v>Error?</v>
      </c>
    </row>
    <row r="3226" spans="1:4" x14ac:dyDescent="0.2">
      <c r="A3226" s="5">
        <v>3165</v>
      </c>
      <c r="B3226" s="138">
        <f>'Acct Summary 7-8'!I8</f>
        <v>11554</v>
      </c>
      <c r="C3226" s="2" t="s">
        <v>594</v>
      </c>
      <c r="D3226" s="2" t="str">
        <f t="shared" si="49"/>
        <v>Error?</v>
      </c>
    </row>
    <row r="3227" spans="1:4" x14ac:dyDescent="0.2">
      <c r="A3227" s="5">
        <v>3166</v>
      </c>
      <c r="B3227" s="138">
        <f>'Acct Summary 7-8'!I20</f>
        <v>11554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353537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13019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-7661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2911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17747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11554</v>
      </c>
      <c r="C3320" s="2" t="s">
        <v>594</v>
      </c>
      <c r="D3320" s="2" t="str">
        <f t="shared" si="50"/>
        <v>Error?</v>
      </c>
    </row>
    <row r="3321" spans="1:4" x14ac:dyDescent="0.2">
      <c r="A3321" s="5">
        <v>3260</v>
      </c>
      <c r="B3321" s="138">
        <f>'Acct Summary 7-8'!I79</f>
        <v>334686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346240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167535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186287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13510</v>
      </c>
      <c r="D3387" s="2" t="str">
        <f t="shared" si="51"/>
        <v>Error?</v>
      </c>
    </row>
    <row r="3388" spans="1:4" x14ac:dyDescent="0.2">
      <c r="A3388" s="5">
        <v>3327</v>
      </c>
      <c r="B3388" s="138">
        <f>'Expenditures 15-22'!D217</f>
        <v>10458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13510</v>
      </c>
      <c r="C3390" s="2" t="s">
        <v>594</v>
      </c>
      <c r="D3390" s="2" t="str">
        <f t="shared" si="51"/>
        <v>Error?</v>
      </c>
    </row>
    <row r="3391" spans="1:4" x14ac:dyDescent="0.2">
      <c r="A3391" s="5">
        <v>3330</v>
      </c>
      <c r="B3391" s="138">
        <f>'Expenditures 15-22'!K217</f>
        <v>10458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19478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620758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31500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16255</v>
      </c>
      <c r="D3417" s="2" t="str">
        <f t="shared" si="52"/>
        <v>Error?</v>
      </c>
    </row>
    <row r="3418" spans="1:4" x14ac:dyDescent="0.2">
      <c r="A3418" s="10">
        <v>3357</v>
      </c>
      <c r="D3418" s="2" t="str">
        <f t="shared" si="52"/>
        <v>OK</v>
      </c>
    </row>
    <row r="3419" spans="1:4" x14ac:dyDescent="0.2">
      <c r="A3419" s="5">
        <v>3358</v>
      </c>
      <c r="B3419" s="138">
        <f>'Assets-Liab 5-6'!F4</f>
        <v>49155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46398</v>
      </c>
      <c r="D3425" s="2" t="str">
        <f t="shared" si="52"/>
        <v>Error?</v>
      </c>
    </row>
    <row r="3426" spans="1:4" x14ac:dyDescent="0.2">
      <c r="A3426" s="10">
        <v>3365</v>
      </c>
      <c r="D3426" s="2" t="str">
        <f t="shared" si="52"/>
        <v>OK</v>
      </c>
    </row>
    <row r="3427" spans="1:4" x14ac:dyDescent="0.2">
      <c r="A3427" s="5">
        <v>3366</v>
      </c>
      <c r="B3427" s="138">
        <f>'Assets-Liab 5-6'!I4</f>
        <v>9870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51153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41874</v>
      </c>
      <c r="C3446" s="2" t="s">
        <v>594</v>
      </c>
      <c r="D3446" s="2" t="str">
        <f t="shared" si="52"/>
        <v>Error?</v>
      </c>
    </row>
    <row r="3447" spans="1:4" x14ac:dyDescent="0.2">
      <c r="A3447" s="5">
        <v>3386</v>
      </c>
      <c r="B3447" s="138">
        <f>'Tax Sched 23'!D16</f>
        <v>41874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48010</v>
      </c>
      <c r="C3449" s="2" t="s">
        <v>594</v>
      </c>
      <c r="D3449" s="2" t="str">
        <f t="shared" si="52"/>
        <v>Error?</v>
      </c>
    </row>
    <row r="3450" spans="1:4" x14ac:dyDescent="0.2">
      <c r="A3450" s="5">
        <v>3389</v>
      </c>
      <c r="B3450" s="138">
        <f>'Tax Sched 23'!E16</f>
        <v>48010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110591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110591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110591</v>
      </c>
      <c r="D3567" s="2" t="str">
        <f t="shared" si="54"/>
        <v>Error?</v>
      </c>
    </row>
    <row r="3568" spans="1:4" x14ac:dyDescent="0.2">
      <c r="A3568" s="5">
        <v>3507</v>
      </c>
      <c r="B3568" s="138">
        <f>'Assets-Liab 5-6'!K41</f>
        <v>110591</v>
      </c>
      <c r="C3568" s="2" t="s">
        <v>594</v>
      </c>
      <c r="D3568" s="2" t="str">
        <f t="shared" si="54"/>
        <v>Error?</v>
      </c>
    </row>
    <row r="3569" spans="1:4" x14ac:dyDescent="0.2">
      <c r="A3569" s="5">
        <v>3508</v>
      </c>
      <c r="B3569" s="138">
        <f>'Acct Summary 7-8'!K4</f>
        <v>10435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10435</v>
      </c>
      <c r="C3571" s="2" t="s">
        <v>594</v>
      </c>
      <c r="D3571" s="2" t="str">
        <f t="shared" si="54"/>
        <v>Error?</v>
      </c>
    </row>
    <row r="3572" spans="1:4" x14ac:dyDescent="0.2">
      <c r="A3572" s="5">
        <v>3511</v>
      </c>
      <c r="B3572" s="138">
        <f>'Acct Summary 7-8'!K13</f>
        <v>370827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370827</v>
      </c>
      <c r="C3575" s="2" t="s">
        <v>594</v>
      </c>
      <c r="D3575" s="2" t="str">
        <f t="shared" si="54"/>
        <v>Error?</v>
      </c>
    </row>
    <row r="3576" spans="1:4" x14ac:dyDescent="0.2">
      <c r="A3576" s="5">
        <v>3515</v>
      </c>
      <c r="B3576" s="138">
        <f>'Acct Summary 7-8'!K20</f>
        <v>-360392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-360392</v>
      </c>
      <c r="C3588" s="2" t="s">
        <v>594</v>
      </c>
      <c r="D3588" s="2" t="str">
        <f t="shared" si="55"/>
        <v>Error?</v>
      </c>
    </row>
    <row r="3589" spans="1:4" x14ac:dyDescent="0.2">
      <c r="A3589" s="5">
        <v>3528</v>
      </c>
      <c r="B3589" s="138">
        <f>'Acct Summary 7-8'!K79</f>
        <v>470983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110591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28664</v>
      </c>
      <c r="D3632" s="2" t="str">
        <f t="shared" si="55"/>
        <v>Error?</v>
      </c>
    </row>
    <row r="3633" spans="1:4" x14ac:dyDescent="0.2">
      <c r="A3633" s="5">
        <v>3572</v>
      </c>
      <c r="B3633" s="138">
        <f>'Expenditures 15-22'!E350</f>
        <v>28664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28664</v>
      </c>
      <c r="C3635" s="2" t="s">
        <v>594</v>
      </c>
      <c r="D3635" s="2" t="str">
        <f t="shared" si="55"/>
        <v>Error?</v>
      </c>
    </row>
    <row r="3636" spans="1:4" x14ac:dyDescent="0.2">
      <c r="A3636" s="5">
        <v>3575</v>
      </c>
      <c r="B3636" s="138">
        <f>'Expenditures 15-22'!E367</f>
        <v>28664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592</v>
      </c>
      <c r="D3639" s="2" t="str">
        <f t="shared" si="55"/>
        <v>Error?</v>
      </c>
    </row>
    <row r="3640" spans="1:4" x14ac:dyDescent="0.2">
      <c r="A3640" s="5">
        <v>3579</v>
      </c>
      <c r="B3640" s="138">
        <f>'Expenditures 15-22'!F350</f>
        <v>592</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592</v>
      </c>
      <c r="C3642" s="2" t="s">
        <v>594</v>
      </c>
      <c r="D3642" s="2" t="str">
        <f t="shared" si="55"/>
        <v>Error?</v>
      </c>
    </row>
    <row r="3643" spans="1:4" x14ac:dyDescent="0.2">
      <c r="A3643" s="5">
        <v>3582</v>
      </c>
      <c r="B3643" s="138">
        <f>'Expenditures 15-22'!F367</f>
        <v>592</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341571</v>
      </c>
      <c r="D3646" s="2" t="str">
        <f t="shared" si="55"/>
        <v>Error?</v>
      </c>
    </row>
    <row r="3647" spans="1:4" x14ac:dyDescent="0.2">
      <c r="A3647" s="5">
        <v>3586</v>
      </c>
      <c r="B3647" s="138">
        <f>'Expenditures 15-22'!G350</f>
        <v>341571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341571</v>
      </c>
      <c r="C3649" s="2" t="s">
        <v>594</v>
      </c>
      <c r="D3649" s="2" t="str">
        <f t="shared" si="56"/>
        <v>Error?</v>
      </c>
    </row>
    <row r="3650" spans="1:4" x14ac:dyDescent="0.2">
      <c r="A3650" s="5">
        <v>3589</v>
      </c>
      <c r="B3650" s="138">
        <f>'Expenditures 15-22'!G367</f>
        <v>341571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370827</v>
      </c>
      <c r="C3669" s="2" t="s">
        <v>594</v>
      </c>
      <c r="D3669" s="2" t="str">
        <f t="shared" si="56"/>
        <v>Error?</v>
      </c>
    </row>
    <row r="3670" spans="1:4" x14ac:dyDescent="0.2">
      <c r="A3670" s="5">
        <v>3609</v>
      </c>
      <c r="B3670" s="138">
        <f>'Expenditures 15-22'!K350</f>
        <v>370827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370827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370827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-360392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9894</v>
      </c>
      <c r="C3725" s="2" t="s">
        <v>594</v>
      </c>
      <c r="D3725" s="2" t="str">
        <f t="shared" si="57"/>
        <v>Error?</v>
      </c>
    </row>
    <row r="3726" spans="1:4" x14ac:dyDescent="0.2">
      <c r="A3726" s="5">
        <v>3665</v>
      </c>
      <c r="B3726" s="138">
        <f>'Tax Sched 23'!D13</f>
        <v>9894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10224</v>
      </c>
      <c r="C3728" s="2" t="s">
        <v>594</v>
      </c>
      <c r="D3728" s="2" t="str">
        <f t="shared" si="57"/>
        <v>Error?</v>
      </c>
    </row>
    <row r="3729" spans="1:4" x14ac:dyDescent="0.2">
      <c r="A3729" s="5">
        <v>3668</v>
      </c>
      <c r="B3729" s="138">
        <f>'Tax Sched 23'!E13</f>
        <v>10224</v>
      </c>
      <c r="D3729" s="2" t="str">
        <f t="shared" si="57"/>
        <v>Error?</v>
      </c>
    </row>
    <row r="3730" spans="1:4" x14ac:dyDescent="0.2">
      <c r="A3730" s="5">
        <v>3669</v>
      </c>
      <c r="B3730" s="138">
        <f>'ICR Computation 30'!E10</f>
        <v>136854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153079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2690620</v>
      </c>
      <c r="C4122" s="2" t="s">
        <v>594</v>
      </c>
      <c r="D4122" s="2" t="str">
        <f t="shared" si="63"/>
        <v>Error?</v>
      </c>
    </row>
    <row r="4123" spans="1:4" x14ac:dyDescent="0.2">
      <c r="A4123" s="5">
        <v>4062</v>
      </c>
      <c r="B4123" s="138">
        <f>'Acct Summary 7-8'!D10</f>
        <v>109587</v>
      </c>
      <c r="C4123" s="2" t="s">
        <v>594</v>
      </c>
      <c r="D4123" s="2" t="str">
        <f t="shared" si="63"/>
        <v>Error?</v>
      </c>
    </row>
    <row r="4124" spans="1:4" x14ac:dyDescent="0.2">
      <c r="A4124" s="5">
        <v>4063</v>
      </c>
      <c r="B4124" s="138">
        <f>'Acct Summary 7-8'!E10</f>
        <v>217017</v>
      </c>
      <c r="C4124" s="2" t="s">
        <v>594</v>
      </c>
      <c r="D4124" s="2" t="str">
        <f t="shared" si="63"/>
        <v>Error?</v>
      </c>
    </row>
    <row r="4125" spans="1:4" x14ac:dyDescent="0.2">
      <c r="A4125" s="5">
        <v>4064</v>
      </c>
      <c r="B4125" s="138">
        <f>'Acct Summary 7-8'!F10</f>
        <v>148527</v>
      </c>
      <c r="C4125" s="2" t="s">
        <v>594</v>
      </c>
      <c r="D4125" s="2" t="str">
        <f t="shared" si="63"/>
        <v>Error?</v>
      </c>
    </row>
    <row r="4126" spans="1:4" x14ac:dyDescent="0.2">
      <c r="A4126" s="5">
        <v>4065</v>
      </c>
      <c r="B4126" s="138">
        <f>'Acct Summary 7-8'!G10</f>
        <v>100181</v>
      </c>
      <c r="C4126" s="2" t="s">
        <v>594</v>
      </c>
      <c r="D4126" s="2" t="str">
        <f t="shared" si="63"/>
        <v>Error?</v>
      </c>
    </row>
    <row r="4127" spans="1:4" x14ac:dyDescent="0.2">
      <c r="A4127" s="5">
        <v>4066</v>
      </c>
      <c r="B4127" s="138">
        <f>'Acct Summary 7-8'!H10</f>
        <v>27690</v>
      </c>
      <c r="C4127" s="2" t="s">
        <v>594</v>
      </c>
      <c r="D4127" s="2" t="str">
        <f t="shared" si="63"/>
        <v>Error?</v>
      </c>
    </row>
    <row r="4128" spans="1:4" x14ac:dyDescent="0.2">
      <c r="A4128" s="5">
        <v>4067</v>
      </c>
      <c r="B4128" s="138">
        <f>'Acct Summary 7-8'!I10</f>
        <v>11554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10435</v>
      </c>
      <c r="C4130" s="2" t="s">
        <v>594</v>
      </c>
      <c r="D4130" s="2" t="str">
        <f t="shared" si="63"/>
        <v>Error?</v>
      </c>
    </row>
    <row r="4131" spans="1:4" x14ac:dyDescent="0.2">
      <c r="A4131" s="5">
        <v>4070</v>
      </c>
      <c r="B4131" s="138">
        <f>'Acct Summary 7-8'!C18</f>
        <v>153079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2337083</v>
      </c>
      <c r="C4136" s="2" t="s">
        <v>594</v>
      </c>
      <c r="D4136" s="2" t="str">
        <f t="shared" si="63"/>
        <v>Error?</v>
      </c>
    </row>
    <row r="4137" spans="1:4" x14ac:dyDescent="0.2">
      <c r="A4137" s="5">
        <v>4076</v>
      </c>
      <c r="B4137" s="138">
        <f>'Acct Summary 7-8'!D19</f>
        <v>105669</v>
      </c>
      <c r="C4137" s="2" t="s">
        <v>594</v>
      </c>
      <c r="D4137" s="2" t="str">
        <f t="shared" si="63"/>
        <v>Error?</v>
      </c>
    </row>
    <row r="4138" spans="1:4" x14ac:dyDescent="0.2">
      <c r="A4138" s="5">
        <v>4077</v>
      </c>
      <c r="B4138" s="138">
        <f>'Acct Summary 7-8'!E19</f>
        <v>214106</v>
      </c>
      <c r="C4138" s="2" t="s">
        <v>594</v>
      </c>
      <c r="D4138" s="2" t="str">
        <f t="shared" si="63"/>
        <v>Error?</v>
      </c>
    </row>
    <row r="4139" spans="1:4" x14ac:dyDescent="0.2">
      <c r="A4139" s="5">
        <v>4078</v>
      </c>
      <c r="B4139" s="138">
        <f>'Acct Summary 7-8'!F19</f>
        <v>135508</v>
      </c>
      <c r="C4139" s="2" t="s">
        <v>594</v>
      </c>
      <c r="D4139" s="2" t="str">
        <f t="shared" si="63"/>
        <v>Error?</v>
      </c>
    </row>
    <row r="4140" spans="1:4" x14ac:dyDescent="0.2">
      <c r="A4140" s="5">
        <v>4079</v>
      </c>
      <c r="B4140" s="138">
        <f>'Acct Summary 7-8'!G19</f>
        <v>107842</v>
      </c>
      <c r="C4140" s="2" t="s">
        <v>594</v>
      </c>
      <c r="D4140" s="2" t="str">
        <f t="shared" si="63"/>
        <v>Error?</v>
      </c>
    </row>
    <row r="4141" spans="1:4" x14ac:dyDescent="0.2">
      <c r="A4141" s="5">
        <v>4080</v>
      </c>
      <c r="B4141" s="138">
        <f>'Acct Summary 7-8'!H19</f>
        <v>9943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370827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1413600</v>
      </c>
      <c r="C4171" s="2" t="s">
        <v>594</v>
      </c>
      <c r="D4171" s="2" t="str">
        <f t="shared" si="64"/>
        <v>Error?</v>
      </c>
    </row>
    <row r="4172" spans="1:4" x14ac:dyDescent="0.2">
      <c r="A4172" s="5">
        <v>4111</v>
      </c>
      <c r="B4172" s="138">
        <f>'Short-Term Long-Term Debt 24'!J49</f>
        <v>1397345</v>
      </c>
      <c r="C4172" s="2" t="s">
        <v>594</v>
      </c>
      <c r="D4172" s="2" t="str">
        <f t="shared" si="64"/>
        <v>Error?</v>
      </c>
    </row>
    <row r="4173" spans="1:4" x14ac:dyDescent="0.2">
      <c r="A4173" s="5">
        <v>4112</v>
      </c>
      <c r="B4173" s="138">
        <f>'Short-Term Long-Term Debt 24'!H49</f>
        <v>155400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1972.9</v>
      </c>
      <c r="C4265" s="2" t="s">
        <v>594</v>
      </c>
      <c r="D4265" s="2" t="str">
        <f t="shared" si="65"/>
        <v>Error?</v>
      </c>
      <c r="E4265" s="128"/>
    </row>
    <row r="4266" spans="1:5" x14ac:dyDescent="0.2">
      <c r="A4266" s="12">
        <v>4205</v>
      </c>
      <c r="B4266" s="138">
        <f>('FP Info 3'!F10)*100000</f>
        <v>493.2</v>
      </c>
      <c r="C4266" s="2" t="s">
        <v>594</v>
      </c>
      <c r="D4266" s="2" t="str">
        <f t="shared" si="65"/>
        <v>Error?</v>
      </c>
      <c r="E4266" s="128"/>
    </row>
    <row r="4267" spans="1:5" x14ac:dyDescent="0.2">
      <c r="A4267" s="12">
        <v>4206</v>
      </c>
      <c r="B4267" s="138">
        <f>('FP Info 3'!H10)*100000</f>
        <v>236.70000000000002</v>
      </c>
      <c r="C4267" s="2" t="s">
        <v>594</v>
      </c>
      <c r="D4267" s="2" t="str">
        <f t="shared" si="65"/>
        <v>Error?</v>
      </c>
      <c r="E4267" s="128"/>
    </row>
    <row r="4268" spans="1:5" x14ac:dyDescent="0.2">
      <c r="A4268" s="12">
        <v>4207</v>
      </c>
      <c r="B4268" s="138">
        <f>('FP Info 3'!J10)*100000</f>
        <v>2703</v>
      </c>
      <c r="C4268" s="2" t="s">
        <v>594</v>
      </c>
      <c r="D4268" s="2" t="str">
        <f t="shared" si="65"/>
        <v>Error?</v>
      </c>
    </row>
    <row r="4269" spans="1:5" x14ac:dyDescent="0.2">
      <c r="A4269" s="12">
        <v>4208</v>
      </c>
      <c r="B4269" s="138">
        <f>'FP Info 3'!J16</f>
        <v>1350903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19168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5550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647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19263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19263</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20738485</v>
      </c>
      <c r="D4995" s="2" t="str">
        <f t="shared" si="77"/>
        <v>Error?</v>
      </c>
    </row>
    <row r="4996" spans="1:4" x14ac:dyDescent="0.2">
      <c r="A4996" s="12">
        <v>4935</v>
      </c>
      <c r="B4996" s="138">
        <f>'FP Info 3'!H31</f>
        <v>2861910.93</v>
      </c>
      <c r="D4996" s="2" t="str">
        <f t="shared" si="77"/>
        <v>Error?</v>
      </c>
    </row>
    <row r="4997" spans="1:4" x14ac:dyDescent="0.2">
      <c r="A4997" s="12">
        <v>4936</v>
      </c>
      <c r="B4997" s="138">
        <f>'FP Info 3'!H37</f>
        <v>1413600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9894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389551</v>
      </c>
      <c r="D5061" s="2" t="str">
        <f t="shared" si="78"/>
        <v>Error?</v>
      </c>
    </row>
    <row r="5062" spans="1:4" x14ac:dyDescent="0.2">
      <c r="A5062" s="10">
        <v>5001</v>
      </c>
      <c r="D5062" s="2" t="str">
        <f t="shared" si="78"/>
        <v>OK</v>
      </c>
    </row>
    <row r="5063" spans="1:4" x14ac:dyDescent="0.2">
      <c r="A5063" s="5">
        <v>5002</v>
      </c>
      <c r="B5063" s="138">
        <f>'Revenues 9-14'!C7</f>
        <v>7791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407236</v>
      </c>
      <c r="C5066" s="2" t="s">
        <v>594</v>
      </c>
      <c r="D5066" s="2" t="str">
        <f t="shared" si="78"/>
        <v>Error?</v>
      </c>
    </row>
    <row r="5067" spans="1:4" x14ac:dyDescent="0.2">
      <c r="A5067" s="5">
        <v>5006</v>
      </c>
      <c r="B5067" s="138">
        <f>'Revenues 9-14'!C14</f>
        <v>4008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41488</v>
      </c>
      <c r="D5069" s="2" t="str">
        <f t="shared" si="78"/>
        <v>Error?</v>
      </c>
    </row>
    <row r="5070" spans="1:4" x14ac:dyDescent="0.2">
      <c r="A5070" s="5">
        <v>5009</v>
      </c>
      <c r="B5070" s="138">
        <f>'Revenues 9-14'!C17</f>
        <v>449</v>
      </c>
      <c r="D5070" s="2" t="str">
        <f t="shared" si="78"/>
        <v>Error?</v>
      </c>
    </row>
    <row r="5071" spans="1:4" x14ac:dyDescent="0.2">
      <c r="A5071" s="5">
        <v>5010</v>
      </c>
      <c r="B5071" s="138">
        <f>'Revenues 9-14'!C18</f>
        <v>45945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2941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3441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3441</v>
      </c>
      <c r="C5096" s="2" t="s">
        <v>594</v>
      </c>
      <c r="D5096" s="2" t="str">
        <f t="shared" si="78"/>
        <v>Error?</v>
      </c>
    </row>
    <row r="5097" spans="1:4" x14ac:dyDescent="0.2">
      <c r="A5097" s="5">
        <v>5036</v>
      </c>
      <c r="B5097" s="138">
        <f>'Revenues 9-14'!C77</f>
        <v>13541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14195</v>
      </c>
      <c r="C5102" s="2" t="s">
        <v>594</v>
      </c>
      <c r="D5102" s="2" t="str">
        <f t="shared" si="78"/>
        <v>Error?</v>
      </c>
    </row>
    <row r="5103" spans="1:4" x14ac:dyDescent="0.2">
      <c r="A5103" s="5">
        <v>5042</v>
      </c>
      <c r="B5103" s="138">
        <f>'Revenues 9-14'!C84</f>
        <v>6290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6290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10739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11760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98</v>
      </c>
      <c r="D5119" s="2" t="str">
        <f t="shared" ref="D5119:D5182" si="79">IF(ISBLANK(B5119),"OK",IF(A5119-B5119=0,"OK","Error?"))</f>
        <v>Error?</v>
      </c>
    </row>
    <row r="5120" spans="1:4" x14ac:dyDescent="0.2">
      <c r="A5120" s="5">
        <v>5059</v>
      </c>
      <c r="B5120" s="138">
        <f>'Revenues 9-14'!C108</f>
        <v>23497</v>
      </c>
      <c r="C5120" s="2" t="s">
        <v>594</v>
      </c>
      <c r="D5120" s="2" t="str">
        <f t="shared" si="79"/>
        <v>Error?</v>
      </c>
    </row>
    <row r="5121" spans="1:4" x14ac:dyDescent="0.2">
      <c r="A5121" s="5">
        <v>5060</v>
      </c>
      <c r="B5121" s="138">
        <f>'Revenues 9-14'!C109</f>
        <v>503545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19478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19478</v>
      </c>
      <c r="C5125" s="2" t="s">
        <v>594</v>
      </c>
      <c r="D5125" s="2" t="str">
        <f t="shared" si="79"/>
        <v>Error?</v>
      </c>
    </row>
    <row r="5126" spans="1:4" x14ac:dyDescent="0.2">
      <c r="A5126" s="5">
        <v>5065</v>
      </c>
      <c r="B5126" s="138">
        <f>'Revenues 9-14'!C117</f>
        <v>1658971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1658971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21720</v>
      </c>
      <c r="D5134" s="2" t="str">
        <f t="shared" si="79"/>
        <v>Error?</v>
      </c>
    </row>
    <row r="5135" spans="1:4" x14ac:dyDescent="0.2">
      <c r="A5135" s="5">
        <v>5074</v>
      </c>
      <c r="B5135" s="138">
        <f>'Revenues 9-14'!C126</f>
        <v>16041</v>
      </c>
      <c r="D5135" s="2" t="str">
        <f t="shared" si="79"/>
        <v>Error?</v>
      </c>
    </row>
    <row r="5136" spans="1:4" x14ac:dyDescent="0.2">
      <c r="A5136" s="10">
        <v>5075</v>
      </c>
      <c r="D5136" s="2" t="str">
        <f t="shared" si="79"/>
        <v>OK</v>
      </c>
    </row>
    <row r="5137" spans="1:4" x14ac:dyDescent="0.2">
      <c r="A5137" s="5">
        <v>5076</v>
      </c>
      <c r="B5137" s="138">
        <f>'Revenues 9-14'!C127</f>
        <v>6849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44610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2671</v>
      </c>
      <c r="D5167" s="2" t="str">
        <f t="shared" si="79"/>
        <v>Error?</v>
      </c>
    </row>
    <row r="5168" spans="1:4" x14ac:dyDescent="0.2">
      <c r="A5168" s="5">
        <v>5107</v>
      </c>
      <c r="B5168" s="138">
        <f>'Revenues 9-14'!C147</f>
        <v>7317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57835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1716806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118988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35427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154415</v>
      </c>
      <c r="C5246" s="2" t="s">
        <v>594</v>
      </c>
      <c r="D5246" s="2" t="str">
        <f t="shared" si="80"/>
        <v>Error?</v>
      </c>
    </row>
    <row r="5247" spans="1:4" x14ac:dyDescent="0.2">
      <c r="A5247" s="5">
        <v>5186</v>
      </c>
      <c r="B5247" s="138">
        <f>'Revenues 9-14'!C203</f>
        <v>98669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98669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19168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297712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297712</v>
      </c>
      <c r="C5326" s="2" t="s">
        <v>594</v>
      </c>
      <c r="D5326" s="2" t="str">
        <f t="shared" si="82"/>
        <v>Error?</v>
      </c>
    </row>
    <row r="5327" spans="1:4" x14ac:dyDescent="0.2">
      <c r="A5327" s="5">
        <v>5266</v>
      </c>
      <c r="B5327" s="138">
        <f>'Revenues 9-14'!C275</f>
        <v>2537541</v>
      </c>
      <c r="C5327" s="2" t="s">
        <v>594</v>
      </c>
      <c r="D5327" s="2" t="str">
        <f t="shared" si="82"/>
        <v>Error?</v>
      </c>
    </row>
    <row r="5328" spans="1:4" x14ac:dyDescent="0.2">
      <c r="A5328" s="5">
        <v>5267</v>
      </c>
      <c r="B5328" s="138">
        <f>'Revenues 9-14'!D5</f>
        <v>97394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97394</v>
      </c>
      <c r="C5334" s="2" t="s">
        <v>594</v>
      </c>
      <c r="D5334" s="2" t="str">
        <f t="shared" si="82"/>
        <v>Error?</v>
      </c>
    </row>
    <row r="5335" spans="1:4" x14ac:dyDescent="0.2">
      <c r="A5335" s="5">
        <v>5274</v>
      </c>
      <c r="B5335" s="138">
        <f>'Revenues 9-14'!D14</f>
        <v>959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107</v>
      </c>
      <c r="D5338" s="2" t="str">
        <f t="shared" si="82"/>
        <v>Error?</v>
      </c>
    </row>
    <row r="5339" spans="1:4" x14ac:dyDescent="0.2">
      <c r="A5339" s="5">
        <v>5278</v>
      </c>
      <c r="B5339" s="138">
        <f>'Revenues 9-14'!D18</f>
        <v>1066</v>
      </c>
      <c r="C5339" s="2" t="s">
        <v>594</v>
      </c>
      <c r="D5339" s="2" t="str">
        <f t="shared" si="82"/>
        <v>Error?</v>
      </c>
    </row>
    <row r="5340" spans="1:4" x14ac:dyDescent="0.2">
      <c r="A5340" s="5">
        <v>5279</v>
      </c>
      <c r="B5340" s="138">
        <f>'Revenues 9-14'!D65</f>
        <v>179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10648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10948</v>
      </c>
      <c r="C5355" s="2" t="s">
        <v>594</v>
      </c>
      <c r="D5355" s="2" t="str">
        <f t="shared" si="82"/>
        <v>Error?</v>
      </c>
    </row>
    <row r="5356" spans="1:4" x14ac:dyDescent="0.2">
      <c r="A5356" s="5">
        <v>5295</v>
      </c>
      <c r="B5356" s="138">
        <f>'Revenues 9-14'!D109</f>
        <v>109587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109587</v>
      </c>
      <c r="C5508" s="2" t="s">
        <v>594</v>
      </c>
      <c r="D5508" s="2" t="str">
        <f t="shared" si="85"/>
        <v>Error?</v>
      </c>
    </row>
    <row r="5509" spans="1:4" x14ac:dyDescent="0.2">
      <c r="A5509" s="5">
        <v>5448</v>
      </c>
      <c r="B5509" s="138">
        <f>'Revenues 9-14'!E5</f>
        <v>119680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119680</v>
      </c>
      <c r="C5513" s="2" t="s">
        <v>594</v>
      </c>
      <c r="D5513" s="2" t="str">
        <f t="shared" si="85"/>
        <v>Error?</v>
      </c>
    </row>
    <row r="5514" spans="1:4" x14ac:dyDescent="0.2">
      <c r="A5514" s="5">
        <v>5453</v>
      </c>
      <c r="B5514" s="138">
        <f>'Revenues 9-14'!E14</f>
        <v>1178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2500</v>
      </c>
      <c r="D5516" s="2" t="str">
        <f t="shared" si="85"/>
        <v>Error?</v>
      </c>
    </row>
    <row r="5517" spans="1:4" x14ac:dyDescent="0.2">
      <c r="A5517" s="5">
        <v>5456</v>
      </c>
      <c r="B5517" s="138">
        <f>'Revenues 9-14'!E17</f>
        <v>132</v>
      </c>
      <c r="D5517" s="2" t="str">
        <f t="shared" si="85"/>
        <v>Error?</v>
      </c>
    </row>
    <row r="5518" spans="1:4" x14ac:dyDescent="0.2">
      <c r="A5518" s="5">
        <v>5457</v>
      </c>
      <c r="B5518" s="138">
        <f>'Revenues 9-14'!E18</f>
        <v>3810</v>
      </c>
      <c r="C5518" s="2" t="s">
        <v>594</v>
      </c>
      <c r="D5518" s="2" t="str">
        <f t="shared" si="85"/>
        <v>Error?</v>
      </c>
    </row>
    <row r="5519" spans="1:4" x14ac:dyDescent="0.2">
      <c r="A5519" s="5">
        <v>5458</v>
      </c>
      <c r="B5519" s="138">
        <f>'Revenues 9-14'!E65</f>
        <v>110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93417</v>
      </c>
      <c r="C5526" s="2" t="s">
        <v>594</v>
      </c>
      <c r="D5526" s="2" t="str">
        <f t="shared" si="85"/>
        <v>Error?</v>
      </c>
    </row>
    <row r="5527" spans="1:4" x14ac:dyDescent="0.2">
      <c r="A5527" s="5">
        <v>5466</v>
      </c>
      <c r="B5527" s="138">
        <f>'Revenues 9-14'!E109</f>
        <v>217017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217017</v>
      </c>
      <c r="C5552" s="2" t="s">
        <v>594</v>
      </c>
      <c r="D5552" s="2" t="str">
        <f t="shared" si="85"/>
        <v>Error?</v>
      </c>
    </row>
    <row r="5553" spans="1:4" x14ac:dyDescent="0.2">
      <c r="A5553" s="5">
        <v>5492</v>
      </c>
      <c r="B5553" s="138">
        <f>'Revenues 9-14'!F5</f>
        <v>46749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46749</v>
      </c>
      <c r="C5557" s="2" t="s">
        <v>594</v>
      </c>
      <c r="D5557" s="2" t="str">
        <f t="shared" si="85"/>
        <v>Error?</v>
      </c>
    </row>
    <row r="5558" spans="1:4" x14ac:dyDescent="0.2">
      <c r="A5558" s="5">
        <v>5497</v>
      </c>
      <c r="B5558" s="138">
        <f>'Revenues 9-14'!F14</f>
        <v>460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52</v>
      </c>
      <c r="D5561" s="2" t="str">
        <f t="shared" si="85"/>
        <v>Error?</v>
      </c>
    </row>
    <row r="5562" spans="1:4" x14ac:dyDescent="0.2">
      <c r="A5562" s="5">
        <v>5501</v>
      </c>
      <c r="B5562" s="138">
        <f>'Revenues 9-14'!F18</f>
        <v>512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47342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69187</v>
      </c>
      <c r="D5615" s="2" t="str">
        <f t="shared" si="86"/>
        <v>Error?</v>
      </c>
    </row>
    <row r="5616" spans="1:4" x14ac:dyDescent="0.2">
      <c r="A5616" s="10">
        <v>5555</v>
      </c>
      <c r="D5616" s="2" t="str">
        <f t="shared" si="86"/>
        <v>OK</v>
      </c>
    </row>
    <row r="5617" spans="1:4" x14ac:dyDescent="0.2">
      <c r="A5617" s="5">
        <v>5556</v>
      </c>
      <c r="B5617" s="138">
        <f>'Revenues 9-14'!F152</f>
        <v>16998</v>
      </c>
      <c r="D5617" s="2" t="str">
        <f t="shared" si="86"/>
        <v>Error?</v>
      </c>
    </row>
    <row r="5618" spans="1:4" x14ac:dyDescent="0.2">
      <c r="A5618" s="5">
        <v>5557</v>
      </c>
      <c r="B5618" s="138">
        <f>'Revenues 9-14'!F154</f>
        <v>86185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86185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101185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148527</v>
      </c>
      <c r="C5720" s="2" t="s">
        <v>594</v>
      </c>
      <c r="D5720" s="2" t="str">
        <f t="shared" si="88"/>
        <v>Error?</v>
      </c>
    </row>
    <row r="5721" spans="1:4" x14ac:dyDescent="0.2">
      <c r="A5721" s="5">
        <v>5660</v>
      </c>
      <c r="B5721" s="138">
        <f>'Revenues 9-14'!G5</f>
        <v>54845</v>
      </c>
      <c r="D5721" s="2" t="str">
        <f t="shared" si="88"/>
        <v>Error?</v>
      </c>
    </row>
    <row r="5722" spans="1:4" x14ac:dyDescent="0.2">
      <c r="A5722" s="5">
        <v>5661</v>
      </c>
      <c r="B5722" s="138">
        <f>'Revenues 9-14'!G7</f>
        <v>0</v>
      </c>
      <c r="D5722" s="2" t="str">
        <f t="shared" si="88"/>
        <v>Error?</v>
      </c>
    </row>
    <row r="5723" spans="1:4" x14ac:dyDescent="0.2">
      <c r="A5723" s="5">
        <v>5662</v>
      </c>
      <c r="B5723" s="138">
        <f>'Revenues 9-14'!G8</f>
        <v>41874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96719</v>
      </c>
      <c r="C5725" s="2" t="s">
        <v>594</v>
      </c>
      <c r="D5725" s="2" t="str">
        <f t="shared" si="88"/>
        <v>Error?</v>
      </c>
    </row>
    <row r="5726" spans="1:4" x14ac:dyDescent="0.2">
      <c r="A5726" s="5">
        <v>5665</v>
      </c>
      <c r="B5726" s="138">
        <f>'Revenues 9-14'!G14</f>
        <v>952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2250</v>
      </c>
      <c r="D5728" s="2" t="str">
        <f t="shared" si="88"/>
        <v>Error?</v>
      </c>
    </row>
    <row r="5729" spans="1:4" x14ac:dyDescent="0.2">
      <c r="A5729" s="5">
        <v>5668</v>
      </c>
      <c r="B5729" s="138">
        <f>'Revenues 9-14'!G17</f>
        <v>107</v>
      </c>
      <c r="D5729" s="2" t="str">
        <f t="shared" si="88"/>
        <v>Error?</v>
      </c>
    </row>
    <row r="5730" spans="1:4" x14ac:dyDescent="0.2">
      <c r="A5730" s="5">
        <v>5669</v>
      </c>
      <c r="B5730" s="138">
        <f>'Revenues 9-14'!G18</f>
        <v>3309</v>
      </c>
      <c r="C5730" s="2" t="s">
        <v>594</v>
      </c>
      <c r="D5730" s="2" t="str">
        <f t="shared" si="88"/>
        <v>Error?</v>
      </c>
    </row>
    <row r="5731" spans="1:4" x14ac:dyDescent="0.2">
      <c r="A5731" s="5">
        <v>5670</v>
      </c>
      <c r="B5731" s="138">
        <f>'Revenues 9-14'!G65</f>
        <v>153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100181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27260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27690</v>
      </c>
      <c r="C5915" s="2" t="s">
        <v>594</v>
      </c>
      <c r="D5915" s="2" t="str">
        <f t="shared" si="91"/>
        <v>Error?</v>
      </c>
    </row>
    <row r="5916" spans="1:4" x14ac:dyDescent="0.2">
      <c r="A5916" s="5">
        <v>5855</v>
      </c>
      <c r="B5916" s="138">
        <f>'Revenues 9-14'!I5</f>
        <v>9739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9739</v>
      </c>
      <c r="C5918" s="2" t="s">
        <v>594</v>
      </c>
      <c r="D5918" s="2" t="str">
        <f t="shared" si="91"/>
        <v>Error?</v>
      </c>
    </row>
    <row r="5919" spans="1:4" x14ac:dyDescent="0.2">
      <c r="A5919" s="5">
        <v>5858</v>
      </c>
      <c r="B5919" s="138">
        <f>'Revenues 9-14'!I14</f>
        <v>96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11</v>
      </c>
      <c r="D5922" s="2" t="str">
        <f t="shared" si="91"/>
        <v>Error?</v>
      </c>
    </row>
    <row r="5923" spans="1:4" x14ac:dyDescent="0.2">
      <c r="A5923" s="5">
        <v>5862</v>
      </c>
      <c r="B5923" s="138">
        <f>'Revenues 9-14'!I18</f>
        <v>107</v>
      </c>
      <c r="C5923" s="2" t="s">
        <v>594</v>
      </c>
      <c r="D5923" s="2" t="str">
        <f t="shared" si="91"/>
        <v>Error?</v>
      </c>
    </row>
    <row r="5924" spans="1:4" x14ac:dyDescent="0.2">
      <c r="A5924" s="5">
        <v>5863</v>
      </c>
      <c r="B5924" s="138">
        <f>'Revenues 9-14'!I65</f>
        <v>1708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1708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11554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9740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9740</v>
      </c>
      <c r="C5987" s="2" t="s">
        <v>594</v>
      </c>
      <c r="D5987" s="2" t="str">
        <f t="shared" si="92"/>
        <v>Error?</v>
      </c>
    </row>
    <row r="5988" spans="1:4" x14ac:dyDescent="0.2">
      <c r="A5988" s="5">
        <v>5927</v>
      </c>
      <c r="B5988" s="138">
        <f>'Revenues 9-14'!K14</f>
        <v>96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11</v>
      </c>
      <c r="D5991" s="2" t="str">
        <f t="shared" si="92"/>
        <v>Error?</v>
      </c>
    </row>
    <row r="5992" spans="1:4" x14ac:dyDescent="0.2">
      <c r="A5992" s="5">
        <v>5931</v>
      </c>
      <c r="B5992" s="138">
        <f>'Revenues 9-14'!K18</f>
        <v>107</v>
      </c>
      <c r="C5992" s="2" t="s">
        <v>594</v>
      </c>
      <c r="D5992" s="2" t="str">
        <f t="shared" si="92"/>
        <v>Error?</v>
      </c>
    </row>
    <row r="5993" spans="1:4" x14ac:dyDescent="0.2">
      <c r="A5993" s="5">
        <v>5932</v>
      </c>
      <c r="B5993" s="138">
        <f>'Revenues 9-14'!K65</f>
        <v>588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10435</v>
      </c>
      <c r="C6023" s="2" t="s">
        <v>594</v>
      </c>
      <c r="D6023" s="2" t="str">
        <f t="shared" si="93"/>
        <v>Error?</v>
      </c>
    </row>
    <row r="6024" spans="1:5" x14ac:dyDescent="0.2">
      <c r="A6024" s="5">
        <v>5963</v>
      </c>
      <c r="B6024" s="138">
        <f>'Revenues 9-14'!G109</f>
        <v>100181</v>
      </c>
      <c r="C6024" s="2" t="s">
        <v>594</v>
      </c>
      <c r="D6024" s="2" t="str">
        <f t="shared" si="93"/>
        <v>Error?</v>
      </c>
    </row>
    <row r="6025" spans="1:5" x14ac:dyDescent="0.2">
      <c r="A6025" s="5">
        <v>5964</v>
      </c>
      <c r="B6025" s="138">
        <f>'Revenues 9-14'!H109</f>
        <v>27690</v>
      </c>
      <c r="C6025" s="2" t="s">
        <v>594</v>
      </c>
      <c r="D6025" s="2" t="str">
        <f t="shared" si="93"/>
        <v>Error?</v>
      </c>
    </row>
    <row r="6026" spans="1:5" x14ac:dyDescent="0.2">
      <c r="A6026" s="5">
        <v>5965</v>
      </c>
      <c r="B6026" s="138">
        <f>'Revenues 9-14'!I109</f>
        <v>11554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10435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13138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319.77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544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128910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128910</v>
      </c>
      <c r="D6215" s="2" t="str">
        <f t="shared" si="96"/>
        <v>Error?</v>
      </c>
      <c r="E6215" s="2" t="s">
        <v>199</v>
      </c>
    </row>
    <row r="6216" spans="1:5" x14ac:dyDescent="0.2">
      <c r="A6216">
        <v>6155</v>
      </c>
      <c r="B6216" s="138">
        <f>'Assets-Liab 5-6'!J41</f>
        <v>128910</v>
      </c>
      <c r="D6216" s="2" t="str">
        <f t="shared" si="96"/>
        <v>Error?</v>
      </c>
      <c r="E6216" s="2" t="s">
        <v>199</v>
      </c>
    </row>
    <row r="6217" spans="1:5" x14ac:dyDescent="0.2">
      <c r="A6217">
        <v>6156</v>
      </c>
      <c r="B6217" s="138">
        <f>'Assets-Liab 5-6'!J4</f>
        <v>52155</v>
      </c>
      <c r="D6217" s="2" t="str">
        <f t="shared" si="96"/>
        <v>Error?</v>
      </c>
      <c r="E6217" s="2" t="s">
        <v>199</v>
      </c>
    </row>
    <row r="6218" spans="1:5" x14ac:dyDescent="0.2">
      <c r="A6218">
        <v>6157</v>
      </c>
      <c r="B6218" s="138">
        <f>'Assets-Liab 5-6'!J5</f>
        <v>76755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81187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81187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81187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79272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79272</v>
      </c>
      <c r="D6229" s="2" t="str">
        <f t="shared" si="96"/>
        <v>Error?</v>
      </c>
      <c r="E6229" s="2" t="s">
        <v>199</v>
      </c>
    </row>
    <row r="6230" spans="1:5" x14ac:dyDescent="0.2">
      <c r="A6230">
        <v>6169</v>
      </c>
      <c r="B6230" s="138">
        <f>'Acct Summary 7-8'!J20</f>
        <v>1915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1915</v>
      </c>
      <c r="D6263" s="2" t="str">
        <f t="shared" si="96"/>
        <v>Error?</v>
      </c>
      <c r="E6263" s="2" t="s">
        <v>199</v>
      </c>
    </row>
    <row r="6264" spans="1:5" x14ac:dyDescent="0.2">
      <c r="A6264">
        <v>6203</v>
      </c>
      <c r="B6264" s="138">
        <f>'Acct Summary 7-8'!J79</f>
        <v>126995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128910</v>
      </c>
      <c r="D6266" s="2" t="str">
        <f t="shared" si="96"/>
        <v>Error?</v>
      </c>
      <c r="E6266" s="2" t="s">
        <v>199</v>
      </c>
    </row>
    <row r="6267" spans="1:5" x14ac:dyDescent="0.2">
      <c r="A6267">
        <v>6206</v>
      </c>
      <c r="B6267" s="138">
        <f>'Acct Summary 7-8'!C82</f>
        <v>353537</v>
      </c>
      <c r="D6267" s="2" t="str">
        <f t="shared" si="96"/>
        <v>Error?</v>
      </c>
      <c r="E6267" s="2" t="s">
        <v>199</v>
      </c>
    </row>
    <row r="6268" spans="1:5" x14ac:dyDescent="0.2">
      <c r="A6268">
        <v>6207</v>
      </c>
      <c r="B6268" s="138">
        <f>'Acct Summary 7-8'!D82</f>
        <v>3918</v>
      </c>
      <c r="D6268" s="2" t="str">
        <f t="shared" si="96"/>
        <v>Error?</v>
      </c>
      <c r="E6268" s="2" t="s">
        <v>199</v>
      </c>
    </row>
    <row r="6269" spans="1:5" x14ac:dyDescent="0.2">
      <c r="A6269">
        <v>6208</v>
      </c>
      <c r="B6269" s="138">
        <f>'Acct Summary 7-8'!E82</f>
        <v>2911</v>
      </c>
      <c r="D6269" s="2" t="str">
        <f t="shared" si="96"/>
        <v>Error?</v>
      </c>
      <c r="E6269" s="2" t="s">
        <v>199</v>
      </c>
    </row>
    <row r="6270" spans="1:5" x14ac:dyDescent="0.2">
      <c r="A6270">
        <v>6209</v>
      </c>
      <c r="B6270" s="138">
        <f>'Acct Summary 7-8'!F82</f>
        <v>13019</v>
      </c>
      <c r="D6270" s="2" t="str">
        <f t="shared" si="96"/>
        <v>Error?</v>
      </c>
      <c r="E6270" s="2" t="s">
        <v>199</v>
      </c>
    </row>
    <row r="6271" spans="1:5" x14ac:dyDescent="0.2">
      <c r="A6271">
        <v>6210</v>
      </c>
      <c r="B6271" s="138">
        <f>'Acct Summary 7-8'!G82</f>
        <v>-7661</v>
      </c>
      <c r="D6271" s="2" t="str">
        <f t="shared" ref="D6271:D6334" si="97">IF(ISBLANK(B6271),"OK",IF(A6271-B6271=0,"OK","Error?"))</f>
        <v>Error?</v>
      </c>
      <c r="E6271" s="2" t="s">
        <v>199</v>
      </c>
    </row>
    <row r="6272" spans="1:5" x14ac:dyDescent="0.2">
      <c r="A6272">
        <v>6211</v>
      </c>
      <c r="B6272" s="138">
        <f>'Acct Summary 7-8'!H82</f>
        <v>17747</v>
      </c>
      <c r="D6272" s="2" t="str">
        <f t="shared" si="97"/>
        <v>Error?</v>
      </c>
      <c r="E6272" s="2" t="s">
        <v>199</v>
      </c>
    </row>
    <row r="6273" spans="1:5" x14ac:dyDescent="0.2">
      <c r="A6273">
        <v>6212</v>
      </c>
      <c r="B6273" s="138">
        <f>'Acct Summary 7-8'!I82</f>
        <v>11554</v>
      </c>
      <c r="D6273" s="2" t="str">
        <f t="shared" si="97"/>
        <v>Error?</v>
      </c>
      <c r="E6273" s="2" t="s">
        <v>199</v>
      </c>
    </row>
    <row r="6274" spans="1:5" x14ac:dyDescent="0.2">
      <c r="A6274">
        <v>6213</v>
      </c>
      <c r="B6274" s="138">
        <f>'Acct Summary 7-8'!J82</f>
        <v>1915</v>
      </c>
      <c r="D6274" s="2" t="str">
        <f t="shared" si="97"/>
        <v>Error?</v>
      </c>
      <c r="E6274" s="2" t="s">
        <v>199</v>
      </c>
    </row>
    <row r="6275" spans="1:5" x14ac:dyDescent="0.2">
      <c r="A6275">
        <v>6214</v>
      </c>
      <c r="B6275" s="138">
        <f>'Acct Summary 7-8'!K82</f>
        <v>-360392</v>
      </c>
      <c r="D6275" s="2" t="str">
        <f t="shared" si="97"/>
        <v>Error?</v>
      </c>
      <c r="E6275" s="2" t="s">
        <v>199</v>
      </c>
    </row>
    <row r="6276" spans="1:5" x14ac:dyDescent="0.2">
      <c r="A6276">
        <v>6215</v>
      </c>
      <c r="B6276" s="138">
        <f>'Acct Summary 7-8'!C83</f>
        <v>0.38261248820356536</v>
      </c>
      <c r="D6276" s="2" t="str">
        <f t="shared" si="97"/>
        <v>Error?</v>
      </c>
      <c r="E6276" s="2" t="s">
        <v>199</v>
      </c>
    </row>
    <row r="6277" spans="1:5" x14ac:dyDescent="0.2">
      <c r="A6277">
        <v>6216</v>
      </c>
      <c r="B6277" s="138">
        <f>'Acct Summary 7-8'!D83</f>
        <v>0.12438095238095238</v>
      </c>
      <c r="D6277" s="2" t="str">
        <f t="shared" si="97"/>
        <v>Error?</v>
      </c>
      <c r="E6277" s="2" t="s">
        <v>199</v>
      </c>
    </row>
    <row r="6278" spans="1:5" x14ac:dyDescent="0.2">
      <c r="A6278">
        <v>6217</v>
      </c>
      <c r="B6278" s="138">
        <f>'Acct Summary 7-8'!E83</f>
        <v>0.17908335896647185</v>
      </c>
      <c r="D6278" s="2" t="str">
        <f t="shared" si="97"/>
        <v>Error?</v>
      </c>
      <c r="E6278" s="2" t="s">
        <v>199</v>
      </c>
    </row>
    <row r="6279" spans="1:5" x14ac:dyDescent="0.2">
      <c r="A6279">
        <v>6218</v>
      </c>
      <c r="B6279" s="138">
        <f>'Acct Summary 7-8'!F83</f>
        <v>0.26485606754145052</v>
      </c>
      <c r="D6279" s="2" t="str">
        <f t="shared" si="97"/>
        <v>Error?</v>
      </c>
      <c r="E6279" s="2" t="s">
        <v>199</v>
      </c>
    </row>
    <row r="6280" spans="1:5" x14ac:dyDescent="0.2">
      <c r="A6280">
        <v>6219</v>
      </c>
      <c r="B6280" s="138">
        <f>'Acct Summary 7-8'!G83</f>
        <v>-0.5429097866912338</v>
      </c>
      <c r="D6280" s="2" t="str">
        <f t="shared" si="97"/>
        <v>Error?</v>
      </c>
      <c r="E6280" s="2" t="s">
        <v>199</v>
      </c>
    </row>
    <row r="6281" spans="1:5" x14ac:dyDescent="0.2">
      <c r="A6281">
        <v>6220</v>
      </c>
      <c r="B6281" s="138">
        <f>'Acct Summary 7-8'!H83</f>
        <v>0.1520085653104925</v>
      </c>
      <c r="D6281" s="2" t="str">
        <f t="shared" si="97"/>
        <v>Error?</v>
      </c>
      <c r="E6281" s="2" t="s">
        <v>199</v>
      </c>
    </row>
    <row r="6282" spans="1:5" x14ac:dyDescent="0.2">
      <c r="A6282">
        <v>6221</v>
      </c>
      <c r="B6282" s="138">
        <f>'Acct Summary 7-8'!I83</f>
        <v>3.3369916820702401E-2</v>
      </c>
      <c r="D6282" s="2" t="str">
        <f t="shared" si="97"/>
        <v>Error?</v>
      </c>
      <c r="E6282" s="2" t="s">
        <v>199</v>
      </c>
    </row>
    <row r="6283" spans="1:5" x14ac:dyDescent="0.2">
      <c r="A6283">
        <v>6222</v>
      </c>
      <c r="B6283" s="138">
        <f>'Acct Summary 7-8'!J83</f>
        <v>1.4855325420836242E-2</v>
      </c>
      <c r="D6283" s="2" t="str">
        <f t="shared" si="97"/>
        <v>Error?</v>
      </c>
      <c r="E6283" s="2" t="s">
        <v>199</v>
      </c>
    </row>
    <row r="6284" spans="1:5" x14ac:dyDescent="0.2">
      <c r="A6284">
        <v>6223</v>
      </c>
      <c r="B6284" s="138">
        <f>'Acct Summary 7-8'!K83</f>
        <v>-3.2587823602282282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79774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79774</v>
      </c>
      <c r="D6301" s="2" t="str">
        <f t="shared" si="97"/>
        <v>Error?</v>
      </c>
      <c r="E6301" s="2" t="s">
        <v>199</v>
      </c>
    </row>
    <row r="6302" spans="1:5" x14ac:dyDescent="0.2">
      <c r="A6302">
        <v>6241</v>
      </c>
      <c r="B6302" s="138">
        <f>'Revenues 9-14'!J14</f>
        <v>1040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88</v>
      </c>
      <c r="D6305" s="2" t="str">
        <f t="shared" si="97"/>
        <v>Error?</v>
      </c>
      <c r="E6305" s="2" t="s">
        <v>199</v>
      </c>
    </row>
    <row r="6306" spans="1:5" x14ac:dyDescent="0.2">
      <c r="A6306">
        <v>6245</v>
      </c>
      <c r="B6306" s="138">
        <f>'Revenues 9-14'!J18</f>
        <v>1128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285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285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900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81187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1737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15717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2304</v>
      </c>
      <c r="D6981" s="2" t="str">
        <f t="shared" si="108"/>
        <v>Error?</v>
      </c>
    </row>
    <row r="6982" spans="1:4" x14ac:dyDescent="0.2">
      <c r="A6982">
        <v>6921</v>
      </c>
      <c r="B6982" s="138">
        <f>'Expenditures 15-22'!K85</f>
        <v>2304</v>
      </c>
      <c r="D6982" s="2" t="str">
        <f t="shared" si="108"/>
        <v>Error?</v>
      </c>
    </row>
    <row r="6983" spans="1:4" x14ac:dyDescent="0.2">
      <c r="A6983">
        <v>6922</v>
      </c>
      <c r="B6983" s="138">
        <f>'Expenditures 15-22'!H86</f>
        <v>630</v>
      </c>
      <c r="D6983" s="2" t="str">
        <f t="shared" si="108"/>
        <v>Error?</v>
      </c>
    </row>
    <row r="6984" spans="1:4" x14ac:dyDescent="0.2">
      <c r="A6984">
        <v>6923</v>
      </c>
      <c r="B6984" s="138">
        <f>'Expenditures 15-22'!K86</f>
        <v>630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79272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81187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166</v>
      </c>
      <c r="D7079" s="2" t="str">
        <f t="shared" si="109"/>
        <v>Error?</v>
      </c>
    </row>
    <row r="7080" spans="1:4" x14ac:dyDescent="0.2">
      <c r="A7080">
        <v>7019</v>
      </c>
      <c r="B7080" s="138">
        <f>'Expenditures 15-22'!K226</f>
        <v>166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1955</v>
      </c>
      <c r="D7093" s="2" t="str">
        <f t="shared" si="109"/>
        <v>Error?</v>
      </c>
    </row>
    <row r="7094" spans="1:4" x14ac:dyDescent="0.2">
      <c r="A7094">
        <v>7033</v>
      </c>
      <c r="B7094" s="138">
        <f>'Expenditures 15-22'!K254</f>
        <v>1955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17463</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17463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8404</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8404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25418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25418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10930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7706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18636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9351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9351</v>
      </c>
      <c r="D7198" s="2" t="str">
        <f t="shared" si="111"/>
        <v>Error?</v>
      </c>
    </row>
    <row r="7199" spans="1:4" x14ac:dyDescent="0.2">
      <c r="A7199">
        <v>7138</v>
      </c>
      <c r="B7199" s="138">
        <f>'Expenditures 15-22'!C330</f>
        <v>10930</v>
      </c>
      <c r="D7199" s="2" t="str">
        <f t="shared" si="111"/>
        <v>Error?</v>
      </c>
    </row>
    <row r="7200" spans="1:4" x14ac:dyDescent="0.2">
      <c r="A7200">
        <v>7139</v>
      </c>
      <c r="B7200" s="138">
        <f>'Expenditures 15-22'!D330</f>
        <v>25867</v>
      </c>
      <c r="D7200" s="2" t="str">
        <f t="shared" si="111"/>
        <v>Error?</v>
      </c>
    </row>
    <row r="7201" spans="1:4" x14ac:dyDescent="0.2">
      <c r="A7201">
        <v>7140</v>
      </c>
      <c r="B7201" s="138">
        <f>'Expenditures 15-22'!E330</f>
        <v>42475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79272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10930</v>
      </c>
      <c r="D7216" s="2" t="str">
        <f t="shared" si="111"/>
        <v>Error?</v>
      </c>
    </row>
    <row r="7217" spans="1:4" x14ac:dyDescent="0.2">
      <c r="A7217">
        <v>7156</v>
      </c>
      <c r="B7217" s="138">
        <f>'Expenditures 15-22'!D342</f>
        <v>25867</v>
      </c>
      <c r="D7217" s="2" t="str">
        <f t="shared" si="111"/>
        <v>Error?</v>
      </c>
    </row>
    <row r="7218" spans="1:4" x14ac:dyDescent="0.2">
      <c r="A7218">
        <v>7157</v>
      </c>
      <c r="B7218" s="138">
        <f>'Expenditures 15-22'!E342</f>
        <v>42475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79272</v>
      </c>
      <c r="D7224" s="2" t="str">
        <f t="shared" si="111"/>
        <v>Error?</v>
      </c>
    </row>
    <row r="7225" spans="1:4" x14ac:dyDescent="0.2">
      <c r="A7225">
        <v>7164</v>
      </c>
      <c r="B7225" s="138">
        <f>'Expenditures 15-22'!K343</f>
        <v>1915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12554</v>
      </c>
      <c r="D7263" s="2" t="str">
        <f t="shared" si="112"/>
        <v>Error?</v>
      </c>
    </row>
    <row r="7264" spans="1:4" x14ac:dyDescent="0.2">
      <c r="A7264">
        <f t="shared" si="113"/>
        <v>7203</v>
      </c>
      <c r="B7264" s="138">
        <f>'Expenditures 15-22'!D17</f>
        <v>2437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656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70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148702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900</v>
      </c>
      <c r="D7712" s="2" t="str">
        <f t="shared" si="126"/>
        <v>Error?</v>
      </c>
      <c r="E7712" s="2" t="s">
        <v>881</v>
      </c>
    </row>
    <row r="7713" spans="1:6" x14ac:dyDescent="0.2">
      <c r="A7713">
        <v>7652</v>
      </c>
      <c r="B7713" s="138">
        <f>'Rest Tax Levies-Tort Im 25'!J8</f>
        <v>120677</v>
      </c>
      <c r="D7713" s="2" t="str">
        <f t="shared" si="126"/>
        <v>Error?</v>
      </c>
      <c r="E7713" s="2" t="s">
        <v>881</v>
      </c>
    </row>
    <row r="7714" spans="1:6" x14ac:dyDescent="0.2">
      <c r="A7714">
        <v>7653</v>
      </c>
      <c r="B7714" s="138">
        <f>'Rest Tax Levies-Tort Im 25'!K9</f>
        <v>7317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120677</v>
      </c>
      <c r="D7718" s="2" t="str">
        <f t="shared" si="126"/>
        <v>Error?</v>
      </c>
      <c r="E7718" s="2" t="s">
        <v>881</v>
      </c>
    </row>
    <row r="7719" spans="1:6" x14ac:dyDescent="0.2">
      <c r="A7719">
        <v>7658</v>
      </c>
      <c r="B7719" s="138">
        <f>'Rest Tax Levies-Tort Im 25'!K12</f>
        <v>8217</v>
      </c>
      <c r="D7719" s="2" t="str">
        <f t="shared" si="126"/>
        <v>Error?</v>
      </c>
      <c r="E7719" s="2" t="s">
        <v>881</v>
      </c>
    </row>
    <row r="7720" spans="1:6" x14ac:dyDescent="0.2">
      <c r="A7720">
        <v>7659</v>
      </c>
      <c r="B7720" s="138">
        <f>'Rest Tax Levies-Tort Im 25'!H14</f>
        <v>7791</v>
      </c>
      <c r="D7720" s="2" t="str">
        <f t="shared" si="126"/>
        <v>Error?</v>
      </c>
      <c r="E7720" s="2" t="s">
        <v>881</v>
      </c>
    </row>
    <row r="7721" spans="1:6" x14ac:dyDescent="0.2">
      <c r="A7721">
        <v>7660</v>
      </c>
      <c r="B7721" s="138">
        <f>'Rest Tax Levies-Tort Im 25'!K14</f>
        <v>8217</v>
      </c>
      <c r="D7721" s="2" t="str">
        <f t="shared" si="126"/>
        <v>Error?</v>
      </c>
      <c r="E7721" s="2" t="s">
        <v>881</v>
      </c>
    </row>
    <row r="7722" spans="1:6" x14ac:dyDescent="0.2">
      <c r="A7722">
        <v>7661</v>
      </c>
      <c r="B7722" s="138">
        <f>'Rest Tax Levies-Tort Im 25'!J15</f>
        <v>9943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31419</v>
      </c>
      <c r="D7724" s="2" t="str">
        <f t="shared" si="126"/>
        <v>Error?</v>
      </c>
      <c r="E7724" s="2" t="s">
        <v>881</v>
      </c>
      <c r="F7724" s="2"/>
    </row>
    <row r="7725" spans="1:6" x14ac:dyDescent="0.2">
      <c r="A7725">
        <v>7664</v>
      </c>
      <c r="B7725" s="138">
        <f>'Rest Tax Levies-Tort Im 25'!J19</f>
        <v>62000</v>
      </c>
      <c r="D7725" s="2" t="str">
        <f t="shared" si="126"/>
        <v>Error?</v>
      </c>
      <c r="E7725" s="2" t="s">
        <v>881</v>
      </c>
    </row>
    <row r="7726" spans="1:6" x14ac:dyDescent="0.2">
      <c r="A7726">
        <v>7665</v>
      </c>
      <c r="B7726" s="138">
        <f>'Rest Tax Levies-Tort Im 25'!J20</f>
        <v>318</v>
      </c>
      <c r="D7726" s="2" t="str">
        <f t="shared" si="126"/>
        <v>Error?</v>
      </c>
      <c r="E7726" s="2" t="s">
        <v>881</v>
      </c>
    </row>
    <row r="7727" spans="1:6" x14ac:dyDescent="0.2">
      <c r="A7727">
        <v>7666</v>
      </c>
      <c r="B7727" s="138">
        <f>'Rest Tax Levies-Tort Im 25'!J21</f>
        <v>93737</v>
      </c>
      <c r="D7727" s="2" t="str">
        <f t="shared" si="126"/>
        <v>Error?</v>
      </c>
      <c r="E7727" s="2" t="s">
        <v>881</v>
      </c>
    </row>
    <row r="7728" spans="1:6" x14ac:dyDescent="0.2">
      <c r="A7728">
        <v>7667</v>
      </c>
      <c r="B7728" s="138">
        <f>'Revenues 9-14'!E103</f>
        <v>93417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104422</v>
      </c>
      <c r="D7730" s="2" t="str">
        <f t="shared" si="126"/>
        <v>Error?</v>
      </c>
      <c r="E7730" s="2" t="s">
        <v>881</v>
      </c>
    </row>
    <row r="7731" spans="1:6" x14ac:dyDescent="0.2">
      <c r="A7731">
        <v>7670</v>
      </c>
      <c r="B7731" s="138">
        <f>'Revenues 9-14'!H103</f>
        <v>27260</v>
      </c>
      <c r="D7731" s="2" t="str">
        <f t="shared" si="126"/>
        <v>Error?</v>
      </c>
      <c r="E7731" s="2" t="s">
        <v>881</v>
      </c>
    </row>
    <row r="7732" spans="1:6" x14ac:dyDescent="0.2">
      <c r="A7732">
        <v>7671</v>
      </c>
      <c r="B7732" s="138">
        <f>'Rest Tax Levies-Tort Im 25'!J24</f>
        <v>16255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16255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742</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29'!D24</f>
        <v>218431</v>
      </c>
      <c r="D7797" s="2" t="str">
        <f t="shared" si="127"/>
        <v>Error?</v>
      </c>
      <c r="E7797" s="4" t="s">
        <v>2019</v>
      </c>
    </row>
    <row r="7798" spans="1:5" x14ac:dyDescent="0.2">
      <c r="A7798">
        <v>7737</v>
      </c>
      <c r="B7798" s="138">
        <f>'Contracts Paid in CY 29'!F24</f>
        <v>75000</v>
      </c>
      <c r="D7798" s="2" t="str">
        <f t="shared" si="127"/>
        <v>Error?</v>
      </c>
      <c r="E7798" s="4" t="s">
        <v>2019</v>
      </c>
    </row>
    <row r="7799" spans="1:5" x14ac:dyDescent="0.2">
      <c r="A7799">
        <v>7738</v>
      </c>
      <c r="B7799" s="138">
        <f>'Contracts Paid in CY 29'!G24</f>
        <v>143431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24" sqref="G24"/>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80" t="str">
        <f>'Single Audit Cover'!A7</f>
        <v>Thompsonville Community Unit School District #174</v>
      </c>
      <c r="C1" s="2381"/>
      <c r="D1" s="2381"/>
      <c r="E1" s="2381"/>
      <c r="F1" s="2381"/>
      <c r="G1" s="2381"/>
      <c r="H1" s="2381"/>
      <c r="I1" s="2381"/>
      <c r="J1" s="1421"/>
    </row>
    <row r="2" spans="2:10" s="317" customFormat="1" ht="12.75" customHeight="1" x14ac:dyDescent="0.2">
      <c r="B2" s="2382">
        <f>'Single Audit Cover'!E7</f>
        <v>21028174026</v>
      </c>
      <c r="C2" s="2383"/>
      <c r="D2" s="2383"/>
      <c r="E2" s="2383"/>
      <c r="F2" s="2383"/>
      <c r="G2" s="2383"/>
      <c r="H2" s="2383"/>
      <c r="I2" s="2383"/>
      <c r="J2" s="1421"/>
    </row>
    <row r="3" spans="2:10" s="317" customFormat="1" ht="12.75" customHeight="1" x14ac:dyDescent="0.2">
      <c r="B3" s="2384" t="s">
        <v>1347</v>
      </c>
      <c r="C3" s="2385"/>
      <c r="D3" s="2385"/>
      <c r="E3" s="2385"/>
      <c r="F3" s="2385"/>
      <c r="G3" s="2385"/>
      <c r="H3" s="2385"/>
      <c r="I3" s="2385"/>
      <c r="J3" s="1422"/>
    </row>
    <row r="4" spans="2:10" s="317" customFormat="1" ht="12.75" customHeight="1" x14ac:dyDescent="0.2">
      <c r="B4" s="2384" t="str">
        <f>'Single Audit Cover'!A4</f>
        <v>Year Ending June 30, 2018</v>
      </c>
      <c r="C4" s="2385"/>
      <c r="D4" s="2385"/>
      <c r="E4" s="2385"/>
      <c r="F4" s="2385"/>
      <c r="G4" s="2385"/>
      <c r="H4" s="2385"/>
      <c r="I4" s="2385"/>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384" t="s">
        <v>1346</v>
      </c>
      <c r="C7" s="2385"/>
      <c r="D7" s="2385"/>
      <c r="E7" s="2385"/>
      <c r="F7" s="2385"/>
      <c r="G7" s="2385"/>
      <c r="H7" s="2385"/>
      <c r="I7" s="2385"/>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386" t="s">
        <v>1226</v>
      </c>
      <c r="D11" s="2386"/>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2076</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2076</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2076</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387"/>
      <c r="E29" s="2387"/>
      <c r="F29" s="2387"/>
      <c r="G29" s="2387"/>
      <c r="H29" s="2387"/>
      <c r="I29" s="2387"/>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388" t="s">
        <v>1854</v>
      </c>
      <c r="D37" s="2389"/>
      <c r="E37" s="2389"/>
      <c r="F37" s="2390"/>
      <c r="G37" s="2388" t="s">
        <v>1674</v>
      </c>
      <c r="H37" s="2389"/>
      <c r="I37" s="2390"/>
    </row>
    <row r="38" spans="2:9" ht="16.5" customHeight="1" x14ac:dyDescent="0.2">
      <c r="B38" s="1443"/>
      <c r="C38" s="2376"/>
      <c r="D38" s="2377"/>
      <c r="E38" s="2377"/>
      <c r="F38" s="2378"/>
      <c r="G38" s="2391"/>
      <c r="H38" s="2392"/>
      <c r="I38" s="2393"/>
    </row>
    <row r="39" spans="2:9" ht="16.5" customHeight="1" x14ac:dyDescent="0.2">
      <c r="B39" s="1443"/>
      <c r="C39" s="2376"/>
      <c r="D39" s="2377"/>
      <c r="E39" s="2377"/>
      <c r="F39" s="2378"/>
      <c r="G39" s="2379"/>
      <c r="H39" s="2379"/>
      <c r="I39" s="2379"/>
    </row>
    <row r="40" spans="2:9" ht="16.5" customHeight="1" x14ac:dyDescent="0.2">
      <c r="B40" s="1443"/>
      <c r="C40" s="2376"/>
      <c r="D40" s="2377"/>
      <c r="E40" s="2377"/>
      <c r="F40" s="2378"/>
      <c r="G40" s="2379"/>
      <c r="H40" s="2379"/>
      <c r="I40" s="2379"/>
    </row>
    <row r="41" spans="2:9" ht="16.5" customHeight="1" x14ac:dyDescent="0.2">
      <c r="B41" s="1443"/>
      <c r="C41" s="2376"/>
      <c r="D41" s="2377"/>
      <c r="E41" s="2377"/>
      <c r="F41" s="2378"/>
      <c r="G41" s="2379"/>
      <c r="H41" s="2379"/>
      <c r="I41" s="2379"/>
    </row>
    <row r="42" spans="2:9" ht="16.5" customHeight="1" x14ac:dyDescent="0.2">
      <c r="B42" s="1443"/>
      <c r="C42" s="2376"/>
      <c r="D42" s="2377"/>
      <c r="E42" s="2377"/>
      <c r="F42" s="2378"/>
      <c r="G42" s="2379"/>
      <c r="H42" s="2379"/>
      <c r="I42" s="2379"/>
    </row>
    <row r="43" spans="2:9" ht="16.5" customHeight="1" x14ac:dyDescent="0.2">
      <c r="B43" s="1443"/>
      <c r="C43" s="2394" t="s">
        <v>1675</v>
      </c>
      <c r="D43" s="2395"/>
      <c r="E43" s="2395"/>
      <c r="F43" s="2396"/>
      <c r="G43" s="2397">
        <f>SUM(G38:I42)</f>
        <v>0</v>
      </c>
      <c r="H43" s="2397"/>
      <c r="I43" s="2397"/>
    </row>
    <row r="44" spans="2:9" ht="12.75" customHeight="1" x14ac:dyDescent="0.2"/>
    <row r="45" spans="2:9" ht="12.75" customHeight="1" x14ac:dyDescent="0.2">
      <c r="B45" s="1434" t="s">
        <v>1951</v>
      </c>
      <c r="D45" s="2398">
        <v>0</v>
      </c>
      <c r="E45" s="239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00"/>
      <c r="F49" s="2400"/>
      <c r="G49" s="240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7"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4.25" customHeight="1" x14ac:dyDescent="0.2">
      <c r="B1" s="2380" t="str">
        <f>'Single Audit Cover'!A7</f>
        <v>Thompsonville Community Unit School District #174</v>
      </c>
      <c r="C1" s="2380"/>
      <c r="D1" s="2380"/>
      <c r="E1" s="2380"/>
      <c r="F1" s="2380"/>
      <c r="G1" s="2380"/>
      <c r="H1" s="2380"/>
      <c r="I1" s="2380"/>
      <c r="J1" s="2380"/>
      <c r="K1" s="2380"/>
      <c r="L1" s="1373"/>
      <c r="M1" s="1373"/>
    </row>
    <row r="2" spans="1:13" ht="12" customHeight="1" x14ac:dyDescent="0.2">
      <c r="B2" s="2382">
        <f>'Single Audit Cover'!E7</f>
        <v>21028174026</v>
      </c>
      <c r="C2" s="2382"/>
      <c r="D2" s="2382"/>
      <c r="E2" s="2382"/>
      <c r="F2" s="2382"/>
      <c r="G2" s="2382"/>
      <c r="H2" s="2382"/>
      <c r="I2" s="2382"/>
      <c r="J2" s="2382"/>
      <c r="K2" s="2382"/>
      <c r="L2" s="1374"/>
      <c r="M2" s="1375"/>
    </row>
    <row r="3" spans="1:13" ht="14.25" customHeight="1" x14ac:dyDescent="0.2">
      <c r="B3" s="2403" t="s">
        <v>1347</v>
      </c>
      <c r="C3" s="2403"/>
      <c r="D3" s="2403"/>
      <c r="E3" s="2403"/>
      <c r="F3" s="2403"/>
      <c r="G3" s="2403"/>
      <c r="H3" s="2403"/>
      <c r="I3" s="2403"/>
      <c r="J3" s="2403"/>
      <c r="K3" s="2403"/>
      <c r="L3" s="1376"/>
      <c r="M3" s="1376"/>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v>1</v>
      </c>
      <c r="E10" s="322"/>
      <c r="F10" s="1386" t="s">
        <v>1362</v>
      </c>
      <c r="G10" s="1387"/>
      <c r="H10" s="1388" t="s">
        <v>1361</v>
      </c>
      <c r="I10" s="1387" t="s">
        <v>2076</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x14ac:dyDescent="0.2">
      <c r="B14" s="2402" t="s">
        <v>2109</v>
      </c>
      <c r="C14" s="2402"/>
      <c r="D14" s="2402"/>
      <c r="E14" s="2402"/>
      <c r="F14" s="2402"/>
      <c r="G14" s="2402"/>
      <c r="H14" s="2402"/>
      <c r="I14" s="2402"/>
      <c r="J14" s="2402"/>
      <c r="K14" s="24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2" t="s">
        <v>2110</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x14ac:dyDescent="0.2">
      <c r="B20" s="2406" t="s">
        <v>2111</v>
      </c>
      <c r="C20" s="2406"/>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x14ac:dyDescent="0.2">
      <c r="B23" s="2402" t="s">
        <v>2112</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x14ac:dyDescent="0.2">
      <c r="B26" s="2402" t="s">
        <v>2113</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01" t="s">
        <v>2114</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30" customHeight="1" x14ac:dyDescent="0.2">
      <c r="B32" s="2401" t="s">
        <v>2115</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4.25" customHeight="1" x14ac:dyDescent="0.2">
      <c r="B1" s="2380" t="str">
        <f>'Single Audit Cover'!A7</f>
        <v>Thompsonville Community Unit School District #174</v>
      </c>
      <c r="C1" s="2380"/>
      <c r="D1" s="2380"/>
      <c r="E1" s="2380"/>
      <c r="F1" s="2380"/>
      <c r="G1" s="2380"/>
      <c r="H1" s="2380"/>
      <c r="I1" s="2380"/>
      <c r="J1" s="2380"/>
      <c r="K1" s="2380"/>
      <c r="L1" s="1373"/>
      <c r="M1" s="1373"/>
    </row>
    <row r="2" spans="1:13" ht="12" customHeight="1" x14ac:dyDescent="0.2">
      <c r="B2" s="2382">
        <f>'Single Audit Cover'!E7</f>
        <v>21028174026</v>
      </c>
      <c r="C2" s="2382"/>
      <c r="D2" s="2382"/>
      <c r="E2" s="2382"/>
      <c r="F2" s="2382"/>
      <c r="G2" s="2382"/>
      <c r="H2" s="2382"/>
      <c r="I2" s="2382"/>
      <c r="J2" s="2382"/>
      <c r="K2" s="2382"/>
      <c r="L2" s="1374"/>
      <c r="M2" s="1375"/>
    </row>
    <row r="3" spans="1:13" ht="14.25" customHeight="1" x14ac:dyDescent="0.2">
      <c r="B3" s="2403" t="s">
        <v>1347</v>
      </c>
      <c r="C3" s="2403"/>
      <c r="D3" s="2403"/>
      <c r="E3" s="2403"/>
      <c r="F3" s="2403"/>
      <c r="G3" s="2403"/>
      <c r="H3" s="2403"/>
      <c r="I3" s="2403"/>
      <c r="J3" s="2403"/>
      <c r="K3" s="2403"/>
      <c r="L3" s="1948"/>
      <c r="M3" s="1948"/>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v>2</v>
      </c>
      <c r="E10" s="322"/>
      <c r="F10" s="1386" t="s">
        <v>1362</v>
      </c>
      <c r="G10" s="1387"/>
      <c r="H10" s="1388" t="s">
        <v>1361</v>
      </c>
      <c r="I10" s="1387" t="s">
        <v>2076</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51.75" customHeight="1" x14ac:dyDescent="0.2">
      <c r="B14" s="2402" t="s">
        <v>2116</v>
      </c>
      <c r="C14" s="2402"/>
      <c r="D14" s="2402"/>
      <c r="E14" s="2402"/>
      <c r="F14" s="2402"/>
      <c r="G14" s="2402"/>
      <c r="H14" s="2402"/>
      <c r="I14" s="2402"/>
      <c r="J14" s="2402"/>
      <c r="K14" s="24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32.25" customHeight="1" x14ac:dyDescent="0.2">
      <c r="B17" s="2402" t="s">
        <v>2117</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x14ac:dyDescent="0.2">
      <c r="B20" s="2406" t="s">
        <v>2118</v>
      </c>
      <c r="C20" s="2406"/>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31.5" customHeight="1" x14ac:dyDescent="0.2">
      <c r="B23" s="2402" t="s">
        <v>2119</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x14ac:dyDescent="0.2">
      <c r="B26" s="2402" t="s">
        <v>2120</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71.25" customHeight="1" x14ac:dyDescent="0.2">
      <c r="B29" s="2401" t="s">
        <v>2121</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30" customHeight="1" x14ac:dyDescent="0.2">
      <c r="B32" s="2401" t="s">
        <v>2122</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9"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4.25" customHeight="1" x14ac:dyDescent="0.2">
      <c r="B1" s="2380" t="str">
        <f>'Single Audit Cover'!A7</f>
        <v>Thompsonville Community Unit School District #174</v>
      </c>
      <c r="C1" s="2380"/>
      <c r="D1" s="2380"/>
      <c r="E1" s="2380"/>
      <c r="F1" s="2380"/>
      <c r="G1" s="2380"/>
      <c r="H1" s="2380"/>
      <c r="I1" s="2380"/>
      <c r="J1" s="2380"/>
      <c r="K1" s="2380"/>
      <c r="L1" s="1373"/>
      <c r="M1" s="1373"/>
    </row>
    <row r="2" spans="1:13" ht="12" customHeight="1" x14ac:dyDescent="0.2">
      <c r="B2" s="2382">
        <f>'Single Audit Cover'!E7</f>
        <v>21028174026</v>
      </c>
      <c r="C2" s="2382"/>
      <c r="D2" s="2382"/>
      <c r="E2" s="2382"/>
      <c r="F2" s="2382"/>
      <c r="G2" s="2382"/>
      <c r="H2" s="2382"/>
      <c r="I2" s="2382"/>
      <c r="J2" s="2382"/>
      <c r="K2" s="2382"/>
      <c r="L2" s="1374"/>
      <c r="M2" s="1375"/>
    </row>
    <row r="3" spans="1:13" ht="14.25" customHeight="1" x14ac:dyDescent="0.2">
      <c r="B3" s="2403" t="s">
        <v>1347</v>
      </c>
      <c r="C3" s="2403"/>
      <c r="D3" s="2403"/>
      <c r="E3" s="2403"/>
      <c r="F3" s="2403"/>
      <c r="G3" s="2403"/>
      <c r="H3" s="2403"/>
      <c r="I3" s="2403"/>
      <c r="J3" s="2403"/>
      <c r="K3" s="2403"/>
      <c r="L3" s="1948"/>
      <c r="M3" s="1948"/>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v>3</v>
      </c>
      <c r="E10" s="322"/>
      <c r="F10" s="1386" t="s">
        <v>1362</v>
      </c>
      <c r="G10" s="1387" t="s">
        <v>2076</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20.25" customHeight="1" x14ac:dyDescent="0.2">
      <c r="B14" s="2402" t="s">
        <v>2125</v>
      </c>
      <c r="C14" s="2402"/>
      <c r="D14" s="2402"/>
      <c r="E14" s="2402"/>
      <c r="F14" s="2402"/>
      <c r="G14" s="2402"/>
      <c r="H14" s="2402"/>
      <c r="I14" s="2402"/>
      <c r="J14" s="2402"/>
      <c r="K14" s="24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21" customHeight="1" x14ac:dyDescent="0.2">
      <c r="B17" s="2402" t="s">
        <v>2126</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x14ac:dyDescent="0.2">
      <c r="B20" s="2406" t="s">
        <v>2127</v>
      </c>
      <c r="C20" s="2406"/>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x14ac:dyDescent="0.2">
      <c r="B23" s="2402" t="s">
        <v>2128</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x14ac:dyDescent="0.2">
      <c r="B26" s="2402" t="s">
        <v>2158</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 customHeight="1" x14ac:dyDescent="0.2">
      <c r="B29" s="2401" t="s">
        <v>2129</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30" customHeight="1" x14ac:dyDescent="0.2">
      <c r="B32" s="2401" t="s">
        <v>2130</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6"/>
  <sheetViews>
    <sheetView showGridLines="0" zoomScale="110" zoomScaleNormal="110" workbookViewId="0">
      <selection activeCell="C15" sqref="C15:C18"/>
    </sheetView>
  </sheetViews>
  <sheetFormatPr defaultColWidth="9.140625" defaultRowHeight="12.75" x14ac:dyDescent="0.2"/>
  <cols>
    <col min="1" max="1" width="1.5703125" style="317" customWidth="1"/>
    <col min="2" max="2" width="14.7109375" style="317" customWidth="1"/>
    <col min="3" max="3" width="40.7109375" style="317" customWidth="1"/>
    <col min="4" max="4" width="0.855468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380" t="str">
        <f>'Single Audit Cover'!A7</f>
        <v>Thompsonville Community Unit School District #174</v>
      </c>
      <c r="C1" s="2380"/>
      <c r="D1" s="2380"/>
      <c r="E1" s="2380"/>
      <c r="F1" s="1490"/>
    </row>
    <row r="2" spans="2:6" s="1281" customFormat="1" ht="12.75" customHeight="1" x14ac:dyDescent="0.2">
      <c r="B2" s="2382">
        <f>'Single Audit Cover'!E7</f>
        <v>21028174026</v>
      </c>
      <c r="C2" s="2382"/>
      <c r="D2" s="2382"/>
      <c r="E2" s="2382"/>
      <c r="F2" s="1491"/>
    </row>
    <row r="3" spans="2:6" ht="12.75" customHeight="1" x14ac:dyDescent="0.2">
      <c r="B3" s="2403" t="s">
        <v>1869</v>
      </c>
      <c r="C3" s="2403"/>
      <c r="D3" s="2403"/>
      <c r="E3" s="2403"/>
      <c r="F3" s="1273"/>
    </row>
    <row r="4" spans="2:6" s="1281" customFormat="1" ht="12.75" customHeight="1" x14ac:dyDescent="0.2">
      <c r="B4" s="2409" t="str">
        <f>'Single Audit Cover'!A4</f>
        <v>Year Ending June 30, 2018</v>
      </c>
      <c r="C4" s="2409"/>
      <c r="D4" s="2409"/>
      <c r="E4" s="2409"/>
      <c r="F4" s="1492"/>
    </row>
    <row r="5" spans="2:6" s="1281" customFormat="1" ht="40.15" customHeight="1" x14ac:dyDescent="0.2">
      <c r="B5" s="1493"/>
      <c r="C5" s="328"/>
      <c r="D5" s="328"/>
      <c r="E5" s="328"/>
      <c r="F5" s="328"/>
    </row>
    <row r="6" spans="2:6" s="1281" customFormat="1" ht="13.5" customHeight="1" x14ac:dyDescent="0.2">
      <c r="B6" s="1494" t="s">
        <v>1382</v>
      </c>
      <c r="C6" s="1494" t="s">
        <v>1381</v>
      </c>
      <c r="D6" s="1494"/>
      <c r="E6" s="1494" t="s">
        <v>1870</v>
      </c>
    </row>
    <row r="7" spans="2:6" ht="13.5" customHeight="1" x14ac:dyDescent="0.2">
      <c r="B7" s="1495"/>
      <c r="C7" s="324"/>
      <c r="D7" s="324"/>
      <c r="E7" s="324"/>
      <c r="F7" s="324"/>
    </row>
    <row r="8" spans="2:6" ht="13.5" customHeight="1" x14ac:dyDescent="0.2">
      <c r="B8" s="1495" t="s">
        <v>2140</v>
      </c>
      <c r="C8" s="2408" t="s">
        <v>2110</v>
      </c>
      <c r="D8" s="1950"/>
      <c r="E8" s="2408" t="s">
        <v>2131</v>
      </c>
      <c r="F8" s="324"/>
    </row>
    <row r="9" spans="2:6" ht="13.5" customHeight="1" x14ac:dyDescent="0.2">
      <c r="B9" s="1495"/>
      <c r="C9" s="2408"/>
      <c r="D9" s="1950"/>
      <c r="E9" s="2408"/>
      <c r="F9" s="324"/>
    </row>
    <row r="10" spans="2:6" ht="13.5" customHeight="1" x14ac:dyDescent="0.2">
      <c r="B10" s="1495"/>
      <c r="C10" s="2408"/>
      <c r="D10" s="1950"/>
      <c r="E10" s="2408"/>
      <c r="F10" s="324"/>
    </row>
    <row r="11" spans="2:6" ht="13.5" customHeight="1" x14ac:dyDescent="0.2">
      <c r="B11" s="1495"/>
      <c r="C11" s="2408"/>
      <c r="D11" s="1950"/>
      <c r="E11" s="2408"/>
      <c r="F11" s="324"/>
    </row>
    <row r="12" spans="2:6" ht="13.5" customHeight="1" x14ac:dyDescent="0.2">
      <c r="B12" s="1495"/>
      <c r="C12" s="2408"/>
      <c r="D12" s="1950"/>
      <c r="E12" s="2408"/>
      <c r="F12" s="324"/>
    </row>
    <row r="13" spans="2:6" ht="17.25" customHeight="1" x14ac:dyDescent="0.2">
      <c r="B13" s="1495"/>
      <c r="C13" s="2408"/>
      <c r="D13" s="1950"/>
      <c r="E13" s="2408"/>
      <c r="F13" s="324"/>
    </row>
    <row r="14" spans="2:6" ht="13.5" customHeight="1" x14ac:dyDescent="0.2">
      <c r="B14" s="1496"/>
      <c r="C14" s="323"/>
      <c r="D14" s="323"/>
      <c r="E14" s="323"/>
      <c r="F14" s="323"/>
    </row>
    <row r="15" spans="2:6" ht="13.5" customHeight="1" x14ac:dyDescent="0.2">
      <c r="B15" s="1495" t="s">
        <v>2141</v>
      </c>
      <c r="C15" s="2407" t="s">
        <v>2117</v>
      </c>
      <c r="D15" s="1949"/>
      <c r="E15" s="2407" t="s">
        <v>2132</v>
      </c>
      <c r="F15" s="323"/>
    </row>
    <row r="16" spans="2:6" ht="13.5" customHeight="1" x14ac:dyDescent="0.2">
      <c r="B16" s="1495"/>
      <c r="C16" s="2407"/>
      <c r="D16" s="1949"/>
      <c r="E16" s="2407"/>
      <c r="F16" s="323"/>
    </row>
    <row r="17" spans="2:6" ht="13.5" customHeight="1" x14ac:dyDescent="0.2">
      <c r="B17" s="1495"/>
      <c r="C17" s="2407"/>
      <c r="D17" s="1949"/>
      <c r="E17" s="2407"/>
      <c r="F17" s="323"/>
    </row>
    <row r="18" spans="2:6" ht="13.5" customHeight="1" x14ac:dyDescent="0.2">
      <c r="B18" s="1495"/>
      <c r="C18" s="2407"/>
      <c r="D18" s="1949"/>
      <c r="E18" s="2407"/>
      <c r="F18" s="323"/>
    </row>
    <row r="19" spans="2:6" ht="13.5" customHeight="1" x14ac:dyDescent="0.2">
      <c r="B19" s="1495"/>
      <c r="C19" s="323"/>
      <c r="D19" s="323"/>
      <c r="E19" s="2407"/>
      <c r="F19" s="323"/>
    </row>
    <row r="20" spans="2:6" ht="13.5" customHeight="1" x14ac:dyDescent="0.2">
      <c r="B20" s="1495"/>
      <c r="C20" s="323"/>
      <c r="D20" s="323"/>
      <c r="E20" s="2407"/>
      <c r="F20" s="323"/>
    </row>
    <row r="21" spans="2:6" ht="13.5" customHeight="1" x14ac:dyDescent="0.2">
      <c r="B21" s="1495"/>
      <c r="C21" s="323"/>
      <c r="D21" s="323"/>
      <c r="E21" s="2407"/>
      <c r="F21" s="323"/>
    </row>
    <row r="22" spans="2:6" ht="13.5" customHeight="1" x14ac:dyDescent="0.2">
      <c r="B22" s="1495"/>
      <c r="C22" s="323"/>
      <c r="D22" s="323"/>
      <c r="E22" s="2407"/>
      <c r="F22" s="323"/>
    </row>
    <row r="23" spans="2:6" ht="13.5" customHeight="1" x14ac:dyDescent="0.2">
      <c r="B23" s="1495"/>
      <c r="C23" s="2407"/>
      <c r="D23" s="1949"/>
      <c r="E23" s="2407"/>
      <c r="F23" s="323"/>
    </row>
    <row r="24" spans="2:6" ht="13.5" customHeight="1" x14ac:dyDescent="0.2">
      <c r="B24" s="1495"/>
      <c r="C24" s="2407"/>
      <c r="D24" s="1949"/>
      <c r="E24" s="2407"/>
      <c r="F24" s="323"/>
    </row>
    <row r="25" spans="2:6" ht="13.5" customHeight="1" x14ac:dyDescent="0.2">
      <c r="B25" s="1495"/>
      <c r="C25" s="2407"/>
      <c r="D25" s="1949"/>
      <c r="E25" s="2407"/>
      <c r="F25" s="323"/>
    </row>
    <row r="26" spans="2:6" ht="13.5" customHeight="1" x14ac:dyDescent="0.2">
      <c r="B26" s="1495"/>
      <c r="C26" s="323"/>
      <c r="D26" s="323"/>
      <c r="E26" s="2407"/>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5"/>
      <c r="C32" s="323"/>
      <c r="D32" s="323"/>
      <c r="E32" s="323"/>
      <c r="F32" s="323"/>
    </row>
    <row r="33" spans="2:6" ht="13.5" customHeight="1" x14ac:dyDescent="0.2">
      <c r="B33" s="1495"/>
      <c r="C33" s="323"/>
      <c r="D33" s="323"/>
      <c r="E33" s="323"/>
      <c r="F33" s="323"/>
    </row>
    <row r="34" spans="2:6" ht="13.5" customHeight="1" x14ac:dyDescent="0.2">
      <c r="B34" s="1495"/>
      <c r="C34" s="323"/>
      <c r="D34" s="323"/>
      <c r="E34" s="323"/>
      <c r="F34" s="323"/>
    </row>
    <row r="35" spans="2:6" ht="13.5" customHeight="1" x14ac:dyDescent="0.2">
      <c r="B35" s="1495"/>
      <c r="C35" s="323"/>
      <c r="D35" s="323"/>
      <c r="E35" s="323"/>
      <c r="F35" s="323"/>
    </row>
    <row r="36" spans="2:6" ht="13.5" customHeight="1" x14ac:dyDescent="0.2">
      <c r="B36" s="1495"/>
      <c r="C36" s="323"/>
      <c r="D36" s="323"/>
      <c r="E36" s="323"/>
      <c r="F36" s="323"/>
    </row>
    <row r="37" spans="2:6" ht="13.5" customHeight="1" x14ac:dyDescent="0.2">
      <c r="B37" s="1495"/>
      <c r="C37" s="323"/>
      <c r="D37" s="323"/>
      <c r="E37" s="323"/>
      <c r="F37" s="323"/>
    </row>
    <row r="38" spans="2:6" ht="13.5" customHeight="1" x14ac:dyDescent="0.2">
      <c r="B38" s="1495"/>
      <c r="C38" s="323"/>
      <c r="D38" s="323"/>
      <c r="E38" s="323"/>
      <c r="F38" s="323"/>
    </row>
    <row r="39" spans="2:6" ht="13.5" customHeight="1" x14ac:dyDescent="0.2">
      <c r="B39" s="1495"/>
      <c r="C39" s="323"/>
      <c r="D39" s="323"/>
      <c r="E39" s="323"/>
      <c r="F39" s="323"/>
    </row>
    <row r="40" spans="2:6" ht="13.5" customHeight="1" x14ac:dyDescent="0.2">
      <c r="B40" s="1495"/>
      <c r="C40" s="323"/>
      <c r="D40" s="323"/>
      <c r="E40" s="323"/>
      <c r="F40" s="323"/>
    </row>
    <row r="41" spans="2:6" ht="13.5" customHeight="1" x14ac:dyDescent="0.2">
      <c r="B41" s="1495"/>
      <c r="C41" s="323"/>
      <c r="D41" s="323"/>
      <c r="E41" s="323"/>
      <c r="F41" s="323"/>
    </row>
    <row r="42" spans="2:6" ht="13.5" customHeight="1" x14ac:dyDescent="0.2">
      <c r="B42" s="1498"/>
      <c r="C42" s="323"/>
      <c r="D42" s="323"/>
      <c r="E42" s="323"/>
      <c r="F42" s="323"/>
    </row>
    <row r="43" spans="2:6" ht="13.5" customHeight="1" x14ac:dyDescent="0.2">
      <c r="B43" s="1497"/>
      <c r="C43" s="323"/>
      <c r="D43" s="323"/>
      <c r="E43" s="323"/>
      <c r="F43" s="323"/>
    </row>
    <row r="44" spans="2:6" ht="13.5" customHeight="1" x14ac:dyDescent="0.2">
      <c r="B44" s="1499"/>
      <c r="C44" s="323"/>
      <c r="D44" s="323"/>
      <c r="E44" s="323"/>
      <c r="F44" s="323"/>
    </row>
    <row r="45" spans="2:6" ht="13.5" customHeight="1" x14ac:dyDescent="0.2">
      <c r="B45" s="1500"/>
      <c r="C45" s="323"/>
      <c r="D45" s="323"/>
      <c r="E45" s="323"/>
      <c r="F45" s="323"/>
    </row>
    <row r="46" spans="2:6" ht="12.75" customHeight="1" x14ac:dyDescent="0.2">
      <c r="B46" s="1501"/>
      <c r="C46" s="1502"/>
      <c r="D46" s="1502"/>
      <c r="E46" s="1502"/>
      <c r="F46" s="323"/>
    </row>
    <row r="47" spans="2:6" ht="12.2" customHeight="1" x14ac:dyDescent="0.2">
      <c r="B47" s="1256" t="s">
        <v>1380</v>
      </c>
      <c r="C47" s="322"/>
      <c r="D47" s="322"/>
    </row>
    <row r="48" spans="2:6" ht="12.2" customHeight="1" x14ac:dyDescent="0.2">
      <c r="B48" s="1503" t="s">
        <v>1871</v>
      </c>
    </row>
    <row r="49" spans="2:6" ht="12.2" customHeight="1" x14ac:dyDescent="0.2">
      <c r="B49" s="1503" t="s">
        <v>1872</v>
      </c>
    </row>
    <row r="50" spans="2:6" ht="12.2" customHeight="1" x14ac:dyDescent="0.2">
      <c r="B50" s="1504" t="s">
        <v>1379</v>
      </c>
    </row>
    <row r="51" spans="2:6" ht="12.2" customHeight="1" x14ac:dyDescent="0.2">
      <c r="B51" s="1504" t="s">
        <v>1378</v>
      </c>
    </row>
    <row r="52" spans="2:6" ht="12.2" customHeight="1" x14ac:dyDescent="0.2">
      <c r="B52" s="1504" t="s">
        <v>1377</v>
      </c>
    </row>
    <row r="53" spans="2:6" ht="12.2" customHeight="1" x14ac:dyDescent="0.2">
      <c r="B53" s="1504" t="s">
        <v>1376</v>
      </c>
    </row>
    <row r="56" spans="2:6" ht="12.75" customHeight="1" x14ac:dyDescent="0.2"/>
    <row r="57" spans="2:6" ht="12.75" customHeight="1" x14ac:dyDescent="0.2">
      <c r="B57" s="1266"/>
    </row>
    <row r="58" spans="2:6" ht="12.75" customHeight="1" x14ac:dyDescent="0.2"/>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4" spans="2:6" ht="12.75" customHeight="1" x14ac:dyDescent="0.2">
      <c r="B64" s="322"/>
      <c r="C64" s="322"/>
      <c r="D64" s="322"/>
      <c r="E64" s="322"/>
      <c r="F64" s="322"/>
    </row>
    <row r="65" spans="2:6" ht="12.75" customHeight="1" x14ac:dyDescent="0.2">
      <c r="B65" s="322"/>
      <c r="C65" s="322"/>
      <c r="D65" s="322"/>
      <c r="E65" s="322"/>
      <c r="F65" s="322"/>
    </row>
    <row r="66" spans="2:6" ht="12.75" customHeight="1" x14ac:dyDescent="0.2">
      <c r="B66" s="322"/>
      <c r="C66" s="322"/>
      <c r="D66" s="322"/>
      <c r="E66" s="322"/>
      <c r="F66" s="322"/>
    </row>
    <row r="70" spans="2:6" x14ac:dyDescent="0.2">
      <c r="B70" s="1418"/>
    </row>
    <row r="71" spans="2:6" x14ac:dyDescent="0.2">
      <c r="B71" s="1299"/>
    </row>
    <row r="72" spans="2:6" x14ac:dyDescent="0.2">
      <c r="B72" s="1299"/>
    </row>
    <row r="73" spans="2:6" x14ac:dyDescent="0.2">
      <c r="B73" s="1419"/>
    </row>
    <row r="74" spans="2:6" x14ac:dyDescent="0.2">
      <c r="B74" s="1419"/>
    </row>
    <row r="75" spans="2:6" x14ac:dyDescent="0.2">
      <c r="B75" s="1419"/>
    </row>
    <row r="76" spans="2:6" x14ac:dyDescent="0.2">
      <c r="B76" s="1299"/>
    </row>
  </sheetData>
  <mergeCells count="10">
    <mergeCell ref="B1:E1"/>
    <mergeCell ref="B2:E2"/>
    <mergeCell ref="B3:E3"/>
    <mergeCell ref="B4:E4"/>
    <mergeCell ref="C8:C13"/>
    <mergeCell ref="C15:C18"/>
    <mergeCell ref="C23:C25"/>
    <mergeCell ref="E8:E13"/>
    <mergeCell ref="E15:E22"/>
    <mergeCell ref="E23:E26"/>
  </mergeCells>
  <printOptions horizontalCentered="1"/>
  <pageMargins left="0.32" right="0.27" top="0.52" bottom="0.57999999999999996" header="0.26" footer="0.26"/>
  <pageSetup firstPageNumber="41" orientation="portrait" useFirstPageNumber="1" r:id="rId1"/>
  <headerFooter alignWithMargins="0">
    <oddHeader>&amp;L&amp;"Calibri,Regular"&amp;8Page &amp;P&amp;R&amp;"Calibri,Regular"&amp;8Page &amp;P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25" sqref="C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4"/>
      <c r="B2" s="1915"/>
      <c r="C2" s="1916"/>
      <c r="D2" s="1917"/>
    </row>
    <row r="3" spans="1:4" ht="36" customHeight="1" x14ac:dyDescent="0.2">
      <c r="A3" s="2410" t="s">
        <v>686</v>
      </c>
      <c r="B3" s="2411"/>
      <c r="C3" s="2411"/>
      <c r="D3" s="2412"/>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21" t="s">
        <v>1584</v>
      </c>
      <c r="D7" s="2422"/>
    </row>
    <row r="8" spans="1:4" s="669" customFormat="1" ht="12.75" x14ac:dyDescent="0.2">
      <c r="A8" s="1138"/>
      <c r="B8" s="1093"/>
      <c r="C8" s="1096" t="s">
        <v>1583</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13" t="s">
        <v>1065</v>
      </c>
      <c r="B15" s="2414"/>
      <c r="C15" s="2414"/>
      <c r="D15" s="2415"/>
    </row>
    <row r="16" spans="1:4" s="669" customFormat="1" ht="24" customHeight="1" x14ac:dyDescent="0.2">
      <c r="A16" s="2416" t="s">
        <v>684</v>
      </c>
      <c r="B16" s="2417"/>
      <c r="C16" s="2417"/>
      <c r="D16" s="2418"/>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25" t="s">
        <v>332</v>
      </c>
      <c r="D21" s="2426"/>
    </row>
    <row r="22" spans="1:10" ht="12.75" x14ac:dyDescent="0.2">
      <c r="A22" s="1139"/>
      <c r="B22" s="1140">
        <v>2</v>
      </c>
      <c r="C22" s="2423" t="s">
        <v>1605</v>
      </c>
      <c r="D22" s="242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27" t="s">
        <v>557</v>
      </c>
      <c r="D43" s="242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19" t="s">
        <v>817</v>
      </c>
      <c r="D56" s="242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1079</v>
      </c>
      <c r="D67" s="1125"/>
    </row>
    <row r="68" spans="1:4" x14ac:dyDescent="0.2">
      <c r="A68" s="1100"/>
      <c r="B68" s="1110"/>
      <c r="C68" s="1102" t="s">
        <v>2050</v>
      </c>
      <c r="D68" s="1124" t="str">
        <f>IF('Short-Term Long-Term Debt 24'!F49=SUM(,'Acct Summary 7-8'!C33:K33),"OK","ERROR!")</f>
        <v>OK</v>
      </c>
    </row>
    <row r="69" spans="1:4" x14ac:dyDescent="0.2">
      <c r="A69" s="1100"/>
      <c r="B69" s="1110"/>
      <c r="C69" s="1102" t="s">
        <v>2051</v>
      </c>
      <c r="D69" s="1124" t="str">
        <f>IF('Expenditures 15-22'!H170&lt;&gt;'Short-Term Long-Term Debt 24'!H49,"ERROR!","OK")</f>
        <v>OK</v>
      </c>
    </row>
    <row r="70" spans="1:4" x14ac:dyDescent="0.2">
      <c r="A70" s="1098"/>
      <c r="B70" s="1120">
        <f>B66+1</f>
        <v>9</v>
      </c>
      <c r="C70" s="2419" t="s">
        <v>1797</v>
      </c>
      <c r="D70" s="242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29'!D24&gt;0,"OK","PLEASE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51" right="0.2" top="0.55000000000000004" bottom="0.5" header="0.25" footer="0.25"/>
  <pageSetup scale="70" firstPageNumber="32" orientation="portrait" r:id="rId1"/>
  <headerFooter alignWithMargins="0">
    <oddFooter>&amp;L&amp;8School No: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Normal="10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2124</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2123</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39" bottom="0.33" header="0.19" footer="0.17"/>
  <pageSetup scale="88" firstPageNumber="2" fitToHeight="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3" sqref="A13:F1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52" t="s">
        <v>1253</v>
      </c>
      <c r="B2" s="2452"/>
      <c r="C2" s="2452"/>
      <c r="D2" s="2452"/>
      <c r="E2" s="2452"/>
      <c r="F2" s="2452"/>
      <c r="G2" s="2452"/>
      <c r="H2" s="2452"/>
      <c r="I2" s="2452"/>
      <c r="J2" s="2452"/>
      <c r="K2" s="2452"/>
      <c r="L2" s="2452"/>
    </row>
    <row r="3" spans="1:29" ht="13.5" customHeight="1" x14ac:dyDescent="0.2">
      <c r="A3" s="2438" t="s">
        <v>1252</v>
      </c>
      <c r="B3" s="2438"/>
      <c r="C3" s="2438"/>
      <c r="D3" s="2438"/>
      <c r="E3" s="2438"/>
      <c r="F3" s="2438"/>
      <c r="G3" s="2438"/>
      <c r="H3" s="2438"/>
      <c r="I3" s="2438"/>
      <c r="J3" s="2438"/>
      <c r="K3" s="2438"/>
      <c r="L3" s="2438"/>
    </row>
    <row r="4" spans="1:29" ht="13.5" customHeight="1" x14ac:dyDescent="0.2">
      <c r="A4" s="2452" t="s">
        <v>1799</v>
      </c>
      <c r="B4" s="2469"/>
      <c r="C4" s="2469"/>
      <c r="D4" s="2469"/>
      <c r="E4" s="2469"/>
      <c r="F4" s="2469"/>
      <c r="G4" s="2469"/>
      <c r="H4" s="2469"/>
      <c r="I4" s="2469"/>
      <c r="J4" s="2469"/>
      <c r="K4" s="2469"/>
      <c r="L4" s="246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2" t="str">
        <f>COVER!A17</f>
        <v>Thompsonville Community Unit School District #174</v>
      </c>
      <c r="B7" s="2433"/>
      <c r="C7" s="2433"/>
      <c r="D7" s="2470"/>
      <c r="E7" s="2471">
        <f>COVER!A13</f>
        <v>21028174026</v>
      </c>
      <c r="F7" s="2472"/>
      <c r="G7" s="2439" t="str">
        <f>COVER!T23</f>
        <v>055-012078</v>
      </c>
      <c r="H7" s="2440"/>
      <c r="I7" s="2440"/>
      <c r="J7" s="2440"/>
      <c r="K7" s="2440"/>
      <c r="L7" s="2441"/>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2"/>
      <c r="B9" s="2443"/>
      <c r="C9" s="2443"/>
      <c r="D9" s="2443"/>
      <c r="E9" s="2443"/>
      <c r="F9" s="2444"/>
      <c r="G9" s="2445" t="str">
        <f>COVER!T13</f>
        <v>Emling &amp; Hoffman, P.C.</v>
      </c>
      <c r="H9" s="2446"/>
      <c r="I9" s="2446"/>
      <c r="J9" s="2446"/>
      <c r="K9" s="2446"/>
      <c r="L9" s="2447"/>
    </row>
    <row r="10" spans="1:29" ht="13.5" customHeight="1" x14ac:dyDescent="0.2">
      <c r="A10" s="2429" t="str">
        <f>COVER!A38</f>
        <v>Brock Harris</v>
      </c>
      <c r="B10" s="2430"/>
      <c r="C10" s="2430"/>
      <c r="D10" s="2430"/>
      <c r="E10" s="2430"/>
      <c r="F10" s="2431"/>
      <c r="G10" s="2445" t="str">
        <f>COVER!T17</f>
        <v>105 East Main Street</v>
      </c>
      <c r="H10" s="2458"/>
      <c r="I10" s="2458"/>
      <c r="J10" s="2458"/>
      <c r="K10" s="2458"/>
      <c r="L10" s="2459"/>
    </row>
    <row r="11" spans="1:29" ht="13.5" customHeight="1" x14ac:dyDescent="0.2">
      <c r="A11" s="1184" t="s">
        <v>1599</v>
      </c>
      <c r="B11" s="1185"/>
      <c r="C11" s="1186"/>
      <c r="D11" s="1191"/>
      <c r="E11" s="1186"/>
      <c r="F11" s="1190"/>
      <c r="G11" s="2445" t="str">
        <f>COVER!T19</f>
        <v>Du Quoin</v>
      </c>
      <c r="H11" s="2458"/>
      <c r="I11" s="2458"/>
      <c r="J11" s="2458"/>
      <c r="K11" s="2458"/>
      <c r="L11" s="2459"/>
    </row>
    <row r="12" spans="1:29" ht="13.5" customHeight="1" x14ac:dyDescent="0.2">
      <c r="A12" s="2463" t="s">
        <v>1598</v>
      </c>
      <c r="B12" s="2464"/>
      <c r="C12" s="2464"/>
      <c r="D12" s="2464"/>
      <c r="E12" s="2464"/>
      <c r="F12" s="2465"/>
      <c r="G12" s="2460"/>
      <c r="H12" s="2461"/>
      <c r="I12" s="2461"/>
      <c r="J12" s="2461"/>
      <c r="K12" s="2461"/>
      <c r="L12" s="2462"/>
    </row>
    <row r="13" spans="1:29" ht="13.5" customHeight="1" x14ac:dyDescent="0.2">
      <c r="A13" s="2445"/>
      <c r="B13" s="2458"/>
      <c r="C13" s="2458"/>
      <c r="D13" s="2458"/>
      <c r="E13" s="2458"/>
      <c r="F13" s="2459"/>
      <c r="G13" s="2453" t="s">
        <v>1600</v>
      </c>
      <c r="H13" s="2454"/>
      <c r="I13" s="2466" t="str">
        <f>COVER!T25</f>
        <v>donhoffman@emlingcpa.com</v>
      </c>
      <c r="J13" s="2467"/>
      <c r="K13" s="2467"/>
      <c r="L13" s="2468"/>
    </row>
    <row r="14" spans="1:29" ht="13.5" customHeight="1" x14ac:dyDescent="0.2">
      <c r="A14" s="2445" t="str">
        <f>COVER!A19</f>
        <v>21191 Shawneetown Rd</v>
      </c>
      <c r="B14" s="2458"/>
      <c r="C14" s="2458"/>
      <c r="D14" s="2458"/>
      <c r="E14" s="2458"/>
      <c r="F14" s="2459"/>
      <c r="G14" s="1195" t="s">
        <v>1247</v>
      </c>
      <c r="H14" s="1193"/>
      <c r="I14" s="1193"/>
      <c r="J14" s="1193"/>
      <c r="K14" s="1193"/>
      <c r="L14" s="1194"/>
    </row>
    <row r="15" spans="1:29" ht="13.5" customHeight="1" x14ac:dyDescent="0.2">
      <c r="A15" s="2445" t="str">
        <f>COVER!A21</f>
        <v>Thompsonville</v>
      </c>
      <c r="B15" s="2458"/>
      <c r="C15" s="2458"/>
      <c r="D15" s="2458"/>
      <c r="E15" s="2458"/>
      <c r="F15" s="2459"/>
      <c r="G15" s="2455" t="str">
        <f>COVER!T15</f>
        <v>Donald L. Hoffman</v>
      </c>
      <c r="H15" s="2456"/>
      <c r="I15" s="2456"/>
      <c r="J15" s="2456"/>
      <c r="K15" s="2456"/>
      <c r="L15" s="2457"/>
    </row>
    <row r="16" spans="1:29" ht="12.2" customHeight="1" x14ac:dyDescent="0.2">
      <c r="A16" s="2435">
        <f>COVER!A25</f>
        <v>62890</v>
      </c>
      <c r="B16" s="2436"/>
      <c r="C16" s="2436"/>
      <c r="D16" s="2436"/>
      <c r="E16" s="2436"/>
      <c r="F16" s="2437"/>
      <c r="G16" s="2448"/>
      <c r="H16" s="2449"/>
      <c r="I16" s="2449"/>
      <c r="J16" s="2449"/>
      <c r="K16" s="2449"/>
      <c r="L16" s="2450"/>
    </row>
    <row r="17" spans="1:13" ht="12.2" customHeight="1" x14ac:dyDescent="0.2">
      <c r="A17" s="2451"/>
      <c r="B17" s="2436"/>
      <c r="C17" s="2436"/>
      <c r="D17" s="2436"/>
      <c r="E17" s="2436"/>
      <c r="F17" s="2437"/>
      <c r="G17" s="1195" t="s">
        <v>1246</v>
      </c>
      <c r="H17" s="1193"/>
      <c r="I17" s="1193"/>
      <c r="J17" s="1193"/>
      <c r="K17" s="1197" t="s">
        <v>1245</v>
      </c>
      <c r="L17" s="1190"/>
      <c r="M17" s="1183"/>
    </row>
    <row r="18" spans="1:13" ht="12.2" customHeight="1" x14ac:dyDescent="0.2">
      <c r="A18" s="2429"/>
      <c r="B18" s="2430"/>
      <c r="C18" s="2430"/>
      <c r="D18" s="2430"/>
      <c r="E18" s="2430"/>
      <c r="F18" s="2431"/>
      <c r="G18" s="2432" t="str">
        <f>COVER!T21</f>
        <v>618-542-4747</v>
      </c>
      <c r="H18" s="2433"/>
      <c r="I18" s="2433"/>
      <c r="J18" s="2433"/>
      <c r="K18" s="2432" t="str">
        <f>COVER!X21</f>
        <v>618-542-6141</v>
      </c>
      <c r="L18" s="243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73" t="str">
        <f>'Single Audit Cover'!A7</f>
        <v>Thompsonville Community Unit School District #174</v>
      </c>
      <c r="B1" s="2469"/>
      <c r="C1" s="2469"/>
      <c r="D1" s="2469"/>
    </row>
    <row r="2" spans="1:11" s="1214" customFormat="1" ht="12.75" x14ac:dyDescent="0.2">
      <c r="A2" s="2474">
        <f>'Single Audit Cover'!E7</f>
        <v>21028174026</v>
      </c>
      <c r="B2" s="2475"/>
      <c r="C2" s="2475"/>
      <c r="D2" s="2475"/>
    </row>
    <row r="3" spans="1:11" s="1214" customFormat="1" ht="12.75" x14ac:dyDescent="0.2">
      <c r="A3" s="2473" t="s">
        <v>1593</v>
      </c>
      <c r="B3" s="2469"/>
      <c r="C3" s="2469"/>
      <c r="D3" s="246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scale="64" firstPageNumber="36" orientation="portrait" useFirstPageNumber="1" r:id="rId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77" t="str">
        <f>'Single Audit Cover'!A7</f>
        <v>Thompsonville Community Unit School District #174</v>
      </c>
      <c r="B1" s="2477"/>
      <c r="C1" s="2477"/>
      <c r="D1" s="2477"/>
      <c r="E1" s="2477"/>
    </row>
    <row r="2" spans="1:5" x14ac:dyDescent="0.2">
      <c r="A2" s="2478">
        <f>'Single Audit Cover'!E7</f>
        <v>21028174026</v>
      </c>
      <c r="B2" s="2478"/>
      <c r="C2" s="2478"/>
      <c r="D2" s="2478"/>
      <c r="E2" s="2478"/>
    </row>
    <row r="3" spans="1:5" ht="4.5" customHeight="1" x14ac:dyDescent="0.2"/>
    <row r="4" spans="1:5" x14ac:dyDescent="0.2">
      <c r="A4" s="2477" t="s">
        <v>1307</v>
      </c>
      <c r="B4" s="2477"/>
      <c r="C4" s="2477"/>
      <c r="D4" s="2477"/>
      <c r="E4" s="2477"/>
    </row>
    <row r="5" spans="1:5" x14ac:dyDescent="0.2">
      <c r="A5" s="2480" t="str">
        <f>'Single Audit Cover'!A4</f>
        <v>Year Ending June 30, 2018</v>
      </c>
      <c r="B5" s="2480"/>
      <c r="C5" s="2480"/>
      <c r="D5" s="2480"/>
      <c r="E5" s="2480"/>
    </row>
    <row r="6" spans="1:5" x14ac:dyDescent="0.2">
      <c r="A6" s="2477" t="s">
        <v>1306</v>
      </c>
      <c r="B6" s="2477"/>
      <c r="C6" s="2477"/>
      <c r="D6" s="2477"/>
      <c r="E6" s="2477"/>
    </row>
    <row r="8" spans="1:5" x14ac:dyDescent="0.2">
      <c r="A8" s="1259" t="s">
        <v>1305</v>
      </c>
    </row>
    <row r="10" spans="1:5" x14ac:dyDescent="0.2">
      <c r="A10" s="1260" t="s">
        <v>1304</v>
      </c>
      <c r="B10" s="1261" t="s">
        <v>1303</v>
      </c>
      <c r="C10" s="1261"/>
      <c r="D10" s="1262">
        <f>SUM('Acct Summary 7-8'!C7:K7)</f>
        <v>297712</v>
      </c>
    </row>
    <row r="11" spans="1:5" ht="18" customHeight="1" x14ac:dyDescent="0.2">
      <c r="A11" s="1260" t="s">
        <v>1302</v>
      </c>
      <c r="B11" s="1261"/>
      <c r="C11" s="1261"/>
    </row>
    <row r="12" spans="1:5" x14ac:dyDescent="0.2">
      <c r="A12" s="1260" t="s">
        <v>1301</v>
      </c>
      <c r="B12" s="1261" t="s">
        <v>1300</v>
      </c>
      <c r="C12" s="1261"/>
      <c r="D12" s="1263">
        <f>SUM('Revenues 9-14'!C112:D112,'Revenues 9-14'!F112:G112)</f>
        <v>19478</v>
      </c>
    </row>
    <row r="13" spans="1:5" x14ac:dyDescent="0.2">
      <c r="A13" s="1260" t="s">
        <v>1299</v>
      </c>
      <c r="B13" s="1261"/>
      <c r="C13" s="1261"/>
    </row>
    <row r="14" spans="1:5" x14ac:dyDescent="0.2">
      <c r="A14" s="1260" t="s">
        <v>1830</v>
      </c>
      <c r="B14" s="1261"/>
      <c r="C14" s="1261"/>
      <c r="D14" s="1263">
        <f>'ICR Computation 30'!E11</f>
        <v>13138</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-647</v>
      </c>
    </row>
    <row r="19" spans="1:4" ht="13.5" thickBot="1" x14ac:dyDescent="0.25">
      <c r="A19" s="1264" t="s">
        <v>1297</v>
      </c>
      <c r="D19" s="1265">
        <f>SUM(D10:D17)</f>
        <v>329681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79"/>
      <c r="B24" s="2479"/>
      <c r="D24" s="1267"/>
    </row>
    <row r="25" spans="1:4" x14ac:dyDescent="0.2">
      <c r="A25" s="2476"/>
      <c r="B25" s="2476"/>
      <c r="D25" s="1267"/>
    </row>
    <row r="26" spans="1:4" x14ac:dyDescent="0.2">
      <c r="A26" s="2476"/>
      <c r="B26" s="2476"/>
      <c r="D26" s="1267"/>
    </row>
    <row r="27" spans="1:4" x14ac:dyDescent="0.2">
      <c r="A27" s="2476"/>
      <c r="B27" s="2476"/>
      <c r="D27" s="1267"/>
    </row>
    <row r="28" spans="1:4" x14ac:dyDescent="0.2">
      <c r="A28" s="2476"/>
      <c r="B28" s="2476"/>
      <c r="D28" s="1267"/>
    </row>
    <row r="29" spans="1:4" x14ac:dyDescent="0.2">
      <c r="A29" s="2476"/>
      <c r="B29" s="2476"/>
      <c r="D29" s="1267"/>
    </row>
    <row r="30" spans="1:4" x14ac:dyDescent="0.2">
      <c r="A30" s="2476"/>
      <c r="B30" s="2476"/>
      <c r="D30" s="1267"/>
    </row>
    <row r="32" spans="1:4" x14ac:dyDescent="0.2">
      <c r="A32" s="1259" t="s">
        <v>1295</v>
      </c>
      <c r="D32" s="1262">
        <f>SUM(D19:D30)</f>
        <v>329681</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76"/>
      <c r="B40" s="2476"/>
      <c r="D40" s="1267"/>
    </row>
    <row r="41" spans="1:4" x14ac:dyDescent="0.2">
      <c r="A41" s="2476"/>
      <c r="B41" s="2476"/>
      <c r="D41" s="1270"/>
    </row>
    <row r="42" spans="1:4" x14ac:dyDescent="0.2">
      <c r="A42" s="2476"/>
      <c r="B42" s="2476"/>
      <c r="D42" s="1270"/>
    </row>
    <row r="43" spans="1:4" x14ac:dyDescent="0.2">
      <c r="A43" s="2476"/>
      <c r="B43" s="2476"/>
      <c r="D43" s="1270"/>
    </row>
    <row r="44" spans="1:4" x14ac:dyDescent="0.2">
      <c r="A44" s="2476"/>
      <c r="B44" s="2476"/>
      <c r="D44" s="1270"/>
    </row>
    <row r="45" spans="1:4" x14ac:dyDescent="0.2">
      <c r="A45" s="2476"/>
      <c r="B45" s="2476"/>
      <c r="D45" s="1270"/>
    </row>
    <row r="47" spans="1:4" x14ac:dyDescent="0.2">
      <c r="B47" s="1271" t="s">
        <v>1289</v>
      </c>
      <c r="C47" s="1271"/>
      <c r="D47" s="1272">
        <f>SUM(D35:D45)</f>
        <v>0</v>
      </c>
    </row>
    <row r="49" spans="2:4" x14ac:dyDescent="0.2">
      <c r="B49" s="1271" t="s">
        <v>1288</v>
      </c>
      <c r="C49" s="1271"/>
      <c r="D49" s="1272">
        <f>D32-D47</f>
        <v>329681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82" t="str">
        <f>'Single Audit Cover'!A7</f>
        <v>Thompsonville Community Unit School District #174</v>
      </c>
      <c r="B1" s="2482"/>
      <c r="C1" s="2482"/>
      <c r="D1" s="2482"/>
      <c r="E1" s="2482"/>
      <c r="F1" s="2482"/>
    </row>
    <row r="2" spans="1:7" ht="13.5" customHeight="1" x14ac:dyDescent="0.2">
      <c r="A2" s="2483">
        <f>'Single Audit Cover'!E7</f>
        <v>21028174026</v>
      </c>
      <c r="B2" s="2483"/>
      <c r="C2" s="2483"/>
      <c r="D2" s="2483"/>
      <c r="E2" s="2483"/>
      <c r="F2" s="2483"/>
      <c r="G2" s="1274"/>
    </row>
    <row r="3" spans="1:7" ht="15.75" customHeight="1" x14ac:dyDescent="0.2">
      <c r="A3" s="2484" t="s">
        <v>1333</v>
      </c>
      <c r="B3" s="2484"/>
      <c r="C3" s="2484"/>
      <c r="D3" s="2484"/>
      <c r="E3" s="2484"/>
      <c r="F3" s="2484"/>
    </row>
    <row r="4" spans="1:7" ht="13.5" customHeight="1" x14ac:dyDescent="0.2">
      <c r="A4" s="2485" t="str">
        <f>'Single Audit Cover'!A4</f>
        <v>Year Ending June 30, 2018</v>
      </c>
      <c r="B4" s="2485"/>
      <c r="C4" s="2485"/>
      <c r="D4" s="2485"/>
      <c r="E4" s="2485"/>
      <c r="F4" s="2485"/>
    </row>
    <row r="5" spans="1:7" ht="8.25" customHeight="1" x14ac:dyDescent="0.2">
      <c r="C5" s="317"/>
      <c r="D5" s="317"/>
    </row>
    <row r="6" spans="1:7" ht="13.5" customHeight="1" x14ac:dyDescent="0.2">
      <c r="A6" s="1275" t="s">
        <v>1831</v>
      </c>
      <c r="C6" s="317"/>
      <c r="D6" s="317"/>
    </row>
    <row r="7" spans="1:7" ht="60.95" customHeight="1" x14ac:dyDescent="0.2">
      <c r="A7" s="2481" t="s">
        <v>1832</v>
      </c>
      <c r="B7" s="2481"/>
      <c r="C7" s="2481"/>
      <c r="D7" s="2481"/>
      <c r="E7" s="2481"/>
      <c r="F7" s="2481"/>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19"/>
      <c r="D11" s="1279"/>
      <c r="E11" s="1919"/>
      <c r="F11" s="1279"/>
      <c r="G11" s="1277"/>
    </row>
    <row r="12" spans="1:7" x14ac:dyDescent="0.2">
      <c r="A12" s="1275" t="s">
        <v>1669</v>
      </c>
      <c r="C12" s="1259"/>
      <c r="D12" s="1259"/>
    </row>
    <row r="13" spans="1:7" ht="15" customHeight="1" x14ac:dyDescent="0.2">
      <c r="A13" s="2481" t="s">
        <v>1834</v>
      </c>
      <c r="B13" s="2481"/>
      <c r="C13" s="2481"/>
      <c r="D13" s="2481"/>
      <c r="E13" s="2481"/>
      <c r="F13" s="2481"/>
    </row>
    <row r="14" spans="1:7" ht="9.75" customHeight="1" x14ac:dyDescent="0.2">
      <c r="C14" s="1259"/>
      <c r="D14" s="1259"/>
    </row>
    <row r="15" spans="1:7" ht="13.5" customHeight="1" x14ac:dyDescent="0.2">
      <c r="C15" s="1863" t="s">
        <v>1332</v>
      </c>
      <c r="D15" s="2487" t="s">
        <v>1331</v>
      </c>
      <c r="E15" s="2487"/>
      <c r="F15" s="2487"/>
    </row>
    <row r="16" spans="1:7" ht="13.5" customHeight="1" x14ac:dyDescent="0.2">
      <c r="A16" s="1281"/>
      <c r="B16" s="1275" t="s">
        <v>1330</v>
      </c>
      <c r="C16" s="1863" t="s">
        <v>1329</v>
      </c>
      <c r="D16" s="2488" t="s">
        <v>1670</v>
      </c>
      <c r="E16" s="2488"/>
      <c r="F16" s="2488"/>
    </row>
    <row r="17" spans="1:6" ht="20.45" customHeight="1" x14ac:dyDescent="0.2">
      <c r="A17" s="1282"/>
      <c r="B17" s="1283"/>
      <c r="C17" s="1284"/>
      <c r="D17" s="2486"/>
      <c r="E17" s="2486"/>
      <c r="F17" s="2486"/>
    </row>
    <row r="18" spans="1:6" ht="20.65" customHeight="1" x14ac:dyDescent="0.2">
      <c r="A18" s="1282"/>
      <c r="B18" s="1283"/>
      <c r="C18" s="1284"/>
      <c r="D18" s="2486"/>
      <c r="E18" s="2486"/>
      <c r="F18" s="2486"/>
    </row>
    <row r="19" spans="1:6" ht="20.65" customHeight="1" x14ac:dyDescent="0.2">
      <c r="A19" s="1282"/>
      <c r="B19" s="1283"/>
      <c r="C19" s="1284"/>
      <c r="D19" s="2486"/>
      <c r="E19" s="2486"/>
      <c r="F19" s="2486"/>
    </row>
    <row r="20" spans="1:6" ht="20.65" customHeight="1" x14ac:dyDescent="0.2">
      <c r="A20" s="1282"/>
      <c r="B20" s="1283"/>
      <c r="C20" s="1284"/>
      <c r="D20" s="2486"/>
      <c r="E20" s="2486"/>
      <c r="F20" s="2486"/>
    </row>
    <row r="21" spans="1:6" ht="20.65" customHeight="1" x14ac:dyDescent="0.2">
      <c r="A21" s="1282"/>
      <c r="B21" s="1283"/>
      <c r="C21" s="1284"/>
      <c r="D21" s="2486"/>
      <c r="E21" s="2486"/>
      <c r="F21" s="2486"/>
    </row>
    <row r="22" spans="1:6" ht="20.65" customHeight="1" x14ac:dyDescent="0.2">
      <c r="A22" s="1282"/>
      <c r="B22" s="1283"/>
      <c r="C22" s="1284"/>
      <c r="D22" s="2486"/>
      <c r="E22" s="2486"/>
      <c r="F22" s="2486"/>
    </row>
    <row r="23" spans="1:6" ht="20.65" customHeight="1" x14ac:dyDescent="0.2">
      <c r="A23" s="1282"/>
      <c r="B23" s="1283"/>
      <c r="C23" s="1284"/>
      <c r="D23" s="2486"/>
      <c r="E23" s="2486"/>
      <c r="F23" s="2486"/>
    </row>
    <row r="24" spans="1:6" ht="20.65" customHeight="1" x14ac:dyDescent="0.2">
      <c r="A24" s="1282"/>
      <c r="B24" s="1283"/>
      <c r="C24" s="1284"/>
      <c r="D24" s="2486"/>
      <c r="E24" s="2486"/>
      <c r="F24" s="2486"/>
    </row>
    <row r="25" spans="1:6" ht="20.65" customHeight="1" x14ac:dyDescent="0.2">
      <c r="A25" s="1282"/>
      <c r="B25" s="1283"/>
      <c r="C25" s="1284"/>
      <c r="D25" s="2486"/>
      <c r="E25" s="2486"/>
      <c r="F25" s="2486"/>
    </row>
    <row r="26" spans="1:6" ht="20.65" customHeight="1" x14ac:dyDescent="0.2">
      <c r="A26" s="1282"/>
      <c r="B26" s="1283"/>
      <c r="C26" s="1284"/>
      <c r="D26" s="2486"/>
      <c r="E26" s="2486"/>
      <c r="F26" s="2486"/>
    </row>
    <row r="27" spans="1:6" ht="20.65" customHeight="1" x14ac:dyDescent="0.2">
      <c r="A27" s="1282"/>
      <c r="B27" s="1283"/>
      <c r="C27" s="1284"/>
      <c r="D27" s="2486"/>
      <c r="E27" s="2486"/>
      <c r="F27" s="2486"/>
    </row>
    <row r="28" spans="1:6" ht="20.65" customHeight="1" x14ac:dyDescent="0.2">
      <c r="A28" s="1282"/>
      <c r="B28" s="1283"/>
      <c r="C28" s="1284"/>
      <c r="D28" s="2486"/>
      <c r="E28" s="2486"/>
      <c r="F28" s="2486"/>
    </row>
    <row r="29" spans="1:6" ht="20.65" customHeight="1" x14ac:dyDescent="0.2">
      <c r="A29" s="1282"/>
      <c r="B29" s="1283"/>
      <c r="C29" s="1284"/>
      <c r="D29" s="2486"/>
      <c r="E29" s="2486"/>
      <c r="F29" s="2486"/>
    </row>
    <row r="30" spans="1:6" ht="12" customHeight="1" x14ac:dyDescent="0.2">
      <c r="A30" s="328"/>
      <c r="B30" s="328"/>
      <c r="C30" s="1477"/>
      <c r="D30" s="1920"/>
      <c r="E30" s="1285"/>
    </row>
    <row r="31" spans="1:6" ht="12" customHeight="1" x14ac:dyDescent="0.2">
      <c r="A31" s="1286" t="s">
        <v>1630</v>
      </c>
      <c r="B31" s="328"/>
      <c r="C31" s="1477"/>
      <c r="D31" s="1920"/>
      <c r="E31" s="1285"/>
    </row>
    <row r="32" spans="1:6" ht="30" customHeight="1" x14ac:dyDescent="0.2">
      <c r="A32" s="2490" t="s">
        <v>1835</v>
      </c>
      <c r="B32" s="2490"/>
      <c r="C32" s="2490"/>
      <c r="D32" s="2490"/>
      <c r="E32" s="2490"/>
      <c r="F32" s="2490"/>
    </row>
    <row r="33" spans="1:6" ht="13.5" customHeight="1" x14ac:dyDescent="0.2">
      <c r="A33" s="328" t="s">
        <v>1509</v>
      </c>
      <c r="B33" s="328"/>
      <c r="C33" s="1287">
        <v>0</v>
      </c>
      <c r="D33" s="1920"/>
      <c r="E33" s="1285"/>
    </row>
    <row r="34" spans="1:6" ht="13.5" customHeight="1" x14ac:dyDescent="0.2">
      <c r="A34" s="328" t="s">
        <v>1948</v>
      </c>
      <c r="B34" s="328"/>
      <c r="C34" s="1288">
        <v>0</v>
      </c>
      <c r="D34" s="1920" t="s">
        <v>1671</v>
      </c>
      <c r="E34" s="2491">
        <f>+C33+C34</f>
        <v>0</v>
      </c>
      <c r="F34" s="2492"/>
    </row>
    <row r="35" spans="1:6" ht="12" customHeight="1" x14ac:dyDescent="0.2">
      <c r="A35" s="328"/>
      <c r="B35" s="328"/>
      <c r="C35" s="1921"/>
      <c r="D35" s="1920"/>
      <c r="E35" s="1289"/>
      <c r="F35" s="1290"/>
    </row>
    <row r="36" spans="1:6" ht="13.5" customHeight="1" x14ac:dyDescent="0.2">
      <c r="A36" s="1286" t="s">
        <v>1631</v>
      </c>
      <c r="B36" s="328"/>
      <c r="C36" s="1477"/>
      <c r="D36" s="1920"/>
      <c r="E36" s="1285"/>
    </row>
    <row r="37" spans="1:6" ht="14.25" customHeight="1" x14ac:dyDescent="0.2">
      <c r="A37" s="328" t="s">
        <v>1563</v>
      </c>
      <c r="B37" s="328"/>
      <c r="C37" s="1922"/>
      <c r="D37" s="1920"/>
      <c r="E37" s="1285"/>
    </row>
    <row r="38" spans="1:6" ht="14.25" customHeight="1" x14ac:dyDescent="0.2">
      <c r="A38" s="328"/>
      <c r="B38" s="328" t="s">
        <v>1510</v>
      </c>
      <c r="C38" s="1291"/>
      <c r="D38" s="1920"/>
      <c r="E38" s="1285"/>
    </row>
    <row r="39" spans="1:6" ht="14.25" customHeight="1" x14ac:dyDescent="0.2">
      <c r="A39" s="328"/>
      <c r="B39" s="328" t="s">
        <v>1511</v>
      </c>
      <c r="C39" s="1291"/>
      <c r="D39" s="1920"/>
      <c r="E39" s="1285"/>
    </row>
    <row r="40" spans="1:6" ht="14.25" customHeight="1" x14ac:dyDescent="0.2">
      <c r="A40" s="328"/>
      <c r="B40" s="328" t="s">
        <v>1512</v>
      </c>
      <c r="C40" s="1291"/>
      <c r="D40" s="1920"/>
      <c r="E40" s="1285"/>
    </row>
    <row r="41" spans="1:6" ht="14.25" customHeight="1" x14ac:dyDescent="0.2">
      <c r="A41" s="328"/>
      <c r="B41" s="328" t="s">
        <v>1513</v>
      </c>
      <c r="C41" s="1291"/>
      <c r="D41" s="1920"/>
      <c r="E41" s="1285"/>
    </row>
    <row r="42" spans="1:6" ht="14.25" customHeight="1" x14ac:dyDescent="0.2">
      <c r="A42" s="328" t="s">
        <v>1514</v>
      </c>
      <c r="B42" s="328"/>
      <c r="C42" s="1918"/>
      <c r="D42" s="1920"/>
      <c r="E42" s="1285"/>
    </row>
    <row r="43" spans="1:6" ht="14.25" customHeight="1" x14ac:dyDescent="0.2">
      <c r="A43" s="328" t="s">
        <v>1515</v>
      </c>
      <c r="B43" s="328"/>
      <c r="C43" s="1292"/>
      <c r="D43" s="1920"/>
      <c r="E43" s="1285"/>
    </row>
    <row r="44" spans="1:6" ht="14.25" customHeight="1" x14ac:dyDescent="0.2">
      <c r="A44" s="328"/>
      <c r="B44" s="328"/>
      <c r="C44" s="1922" t="s">
        <v>1516</v>
      </c>
      <c r="D44" s="1920"/>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93" t="s">
        <v>1672</v>
      </c>
      <c r="C49" s="2493"/>
      <c r="D49" s="2493"/>
      <c r="E49" s="1398"/>
    </row>
    <row r="50" spans="1:5" s="1299" customFormat="1" ht="3.75" customHeight="1" x14ac:dyDescent="0.2">
      <c r="A50" s="1298"/>
      <c r="B50" s="1862"/>
      <c r="C50" s="1862"/>
      <c r="D50" s="1862"/>
      <c r="E50" s="1398"/>
    </row>
    <row r="51" spans="1:5" s="1299" customFormat="1" ht="20.25" customHeight="1" x14ac:dyDescent="0.2">
      <c r="A51" s="1300">
        <v>6</v>
      </c>
      <c r="B51" s="2489" t="s">
        <v>1632</v>
      </c>
      <c r="C51" s="2489"/>
      <c r="D51" s="2489"/>
    </row>
    <row r="52" spans="1:5" ht="14.25" customHeight="1" x14ac:dyDescent="0.2">
      <c r="A52" s="1300"/>
      <c r="B52" s="2489"/>
      <c r="C52" s="2489"/>
      <c r="D52" s="248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27" top="0.43" bottom="0" header="0.26" footer="0.5"/>
  <pageSetup scale="90" firstPageNumber="39"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8" t="str">
        <f>'Single Audit Cover'!A7</f>
        <v>Thompsonville Community Unit School District #174</v>
      </c>
      <c r="C1" s="2494"/>
      <c r="D1" s="2494"/>
      <c r="E1" s="2494"/>
      <c r="F1" s="2494"/>
      <c r="G1" s="2494"/>
      <c r="H1" s="2494"/>
      <c r="I1" s="2494"/>
      <c r="J1" s="2494"/>
      <c r="K1" s="2494"/>
      <c r="L1" s="2494"/>
      <c r="M1" s="2494"/>
    </row>
    <row r="2" spans="2:14" ht="15" x14ac:dyDescent="0.2">
      <c r="B2" s="2483">
        <f>'Single Audit Cover'!E7</f>
        <v>21028174026</v>
      </c>
      <c r="C2" s="2483"/>
      <c r="D2" s="2483"/>
      <c r="E2" s="2483"/>
      <c r="F2" s="2483"/>
      <c r="G2" s="2483"/>
      <c r="H2" s="2483"/>
      <c r="I2" s="2483"/>
      <c r="J2" s="2483"/>
      <c r="K2" s="2483"/>
      <c r="L2" s="2483"/>
      <c r="M2" s="2483"/>
      <c r="N2" s="1301"/>
    </row>
    <row r="3" spans="2:14" ht="15" x14ac:dyDescent="0.2">
      <c r="B3" s="2495" t="s">
        <v>1281</v>
      </c>
      <c r="C3" s="2495"/>
      <c r="D3" s="2495"/>
      <c r="E3" s="2495"/>
      <c r="F3" s="2495"/>
      <c r="G3" s="2495"/>
      <c r="H3" s="2495"/>
      <c r="I3" s="2495"/>
      <c r="J3" s="2495"/>
      <c r="K3" s="2495"/>
      <c r="L3" s="2495"/>
      <c r="M3" s="2495"/>
      <c r="N3" s="1301"/>
    </row>
    <row r="4" spans="2:14" ht="15" x14ac:dyDescent="0.2">
      <c r="B4" s="2496" t="str">
        <f>'Single Audit Cover'!A4</f>
        <v>Year Ending June 30, 2018</v>
      </c>
      <c r="C4" s="2496"/>
      <c r="D4" s="2496"/>
      <c r="E4" s="2496"/>
      <c r="F4" s="2496"/>
      <c r="G4" s="2496"/>
      <c r="H4" s="2496"/>
      <c r="I4" s="2496"/>
      <c r="J4" s="2496"/>
      <c r="K4" s="2496"/>
      <c r="L4" s="2496"/>
      <c r="M4" s="2496"/>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1838</v>
      </c>
      <c r="D9" s="1313" t="s">
        <v>1839</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H14" sqref="H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Thompsonville Community Unit School District #174</v>
      </c>
      <c r="C1" s="2497"/>
      <c r="D1" s="2497"/>
      <c r="E1" s="2497"/>
      <c r="F1" s="2497"/>
      <c r="G1" s="2497"/>
      <c r="H1" s="2497"/>
      <c r="I1" s="2497"/>
      <c r="J1" s="2497"/>
      <c r="K1" s="2497"/>
      <c r="L1" s="1464"/>
    </row>
    <row r="2" spans="1:12" ht="12.75" customHeight="1" x14ac:dyDescent="0.2">
      <c r="B2" s="2498">
        <f>'Single Audit Cover'!E7</f>
        <v>21028174026</v>
      </c>
      <c r="C2" s="2498"/>
      <c r="D2" s="2498"/>
      <c r="E2" s="2498"/>
      <c r="F2" s="2498"/>
      <c r="G2" s="2498"/>
      <c r="H2" s="2498"/>
      <c r="I2" s="2498"/>
      <c r="J2" s="2498"/>
      <c r="K2" s="2498"/>
      <c r="L2" s="1465"/>
    </row>
    <row r="3" spans="1:12" ht="12.75" customHeight="1" x14ac:dyDescent="0.2">
      <c r="B3" s="2403" t="s">
        <v>1347</v>
      </c>
      <c r="C3" s="2403"/>
      <c r="D3" s="2403"/>
      <c r="E3" s="2403"/>
      <c r="F3" s="2403"/>
      <c r="G3" s="2403"/>
      <c r="H3" s="2403"/>
      <c r="I3" s="2403"/>
      <c r="J3" s="2403"/>
      <c r="K3" s="2403"/>
      <c r="L3" s="1376"/>
    </row>
    <row r="4" spans="1:12" ht="12.75" customHeight="1" x14ac:dyDescent="0.2">
      <c r="B4" s="2403" t="str">
        <f>'Single Audit Cover'!A4</f>
        <v>Year Ending June 30, 2018</v>
      </c>
      <c r="C4" s="2403"/>
      <c r="D4" s="2403"/>
      <c r="E4" s="2403"/>
      <c r="F4" s="2403"/>
      <c r="G4" s="2403"/>
      <c r="H4" s="2403"/>
      <c r="I4" s="2403"/>
      <c r="J4" s="2403"/>
      <c r="K4" s="2403"/>
      <c r="L4" s="1376"/>
    </row>
    <row r="5" spans="1:12" ht="5.25" customHeight="1" x14ac:dyDescent="0.2">
      <c r="B5" s="1259" t="s">
        <v>1231</v>
      </c>
      <c r="C5" s="1259"/>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1952</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387"/>
      <c r="G12" s="2387"/>
      <c r="H12" s="2387"/>
      <c r="I12" s="2387"/>
      <c r="J12" s="2387"/>
      <c r="K12" s="2387"/>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1"/>
      <c r="E14" s="2501"/>
      <c r="F14" s="2501"/>
      <c r="H14" s="1474" t="s">
        <v>1370</v>
      </c>
      <c r="I14" s="2502"/>
      <c r="J14" s="2502"/>
      <c r="K14" s="250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2"/>
      <c r="E16" s="2502"/>
      <c r="F16" s="2502"/>
      <c r="G16" s="2502"/>
      <c r="H16" s="2502"/>
      <c r="I16" s="2502"/>
      <c r="J16" s="2502"/>
      <c r="K16" s="2502"/>
      <c r="L16" s="322"/>
    </row>
    <row r="17" spans="2:12" ht="13.5" customHeight="1" x14ac:dyDescent="0.2">
      <c r="B17" s="1386" t="s">
        <v>1368</v>
      </c>
      <c r="C17" s="1386"/>
      <c r="D17" s="2503"/>
      <c r="E17" s="2503"/>
      <c r="F17" s="2503"/>
      <c r="G17" s="2503"/>
      <c r="H17" s="2503"/>
      <c r="I17" s="2503"/>
      <c r="J17" s="2503"/>
      <c r="K17" s="250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0"/>
      <c r="C20" s="2500"/>
      <c r="D20" s="2500"/>
      <c r="E20" s="2500"/>
      <c r="F20" s="2500"/>
      <c r="G20" s="2500"/>
      <c r="H20" s="2500"/>
      <c r="I20" s="2500"/>
      <c r="J20" s="2500"/>
      <c r="K20" s="2500"/>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scale="98" firstPageNumber="4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20738485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1.9729E-2</v>
      </c>
      <c r="E10" s="356" t="s">
        <v>1062</v>
      </c>
      <c r="F10" s="355">
        <v>4.9319999999999998E-3</v>
      </c>
      <c r="G10" s="356" t="s">
        <v>1062</v>
      </c>
      <c r="H10" s="355">
        <v>2.3670000000000002E-3</v>
      </c>
      <c r="I10" s="356" t="s">
        <v>1063</v>
      </c>
      <c r="J10" s="1749">
        <f>ROUND(D10+F10+H10,5)</f>
        <v>2.7029999999999998E-2</v>
      </c>
      <c r="K10" s="222"/>
      <c r="L10" s="355">
        <v>4.9299999999999995E-4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2807209</v>
      </c>
      <c r="E16" s="356"/>
      <c r="F16" s="1750">
        <f>SUM('Acct Summary 7-8'!C17,'Acct Summary 7-8'!D17,'Acct Summary 7-8'!F17)</f>
        <v>2425181</v>
      </c>
      <c r="G16" s="356"/>
      <c r="H16" s="1750">
        <f>SUM(D16-F16)</f>
        <v>382028</v>
      </c>
      <c r="I16" s="222"/>
      <c r="J16" s="1750">
        <f>SUM('Acct Summary 7-8'!C81,'Acct Summary 7-8'!D81,'Acct Summary 7-8'!F81,'Acct Summary 7-8'!I81)</f>
        <v>1350903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2861910.93</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1413600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t="s">
        <v>2157</v>
      </c>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14" sqref="D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Thompsonville Community Unit School District #174</v>
      </c>
      <c r="E7" s="391"/>
      <c r="G7" s="252"/>
      <c r="H7" s="387"/>
      <c r="I7" s="387"/>
      <c r="J7" s="387"/>
      <c r="K7" s="387"/>
      <c r="L7" s="329"/>
      <c r="M7" s="329"/>
      <c r="N7" s="329"/>
      <c r="O7" s="329"/>
      <c r="P7" s="329"/>
    </row>
    <row r="8" spans="1:18" ht="12.75" x14ac:dyDescent="0.2">
      <c r="A8" s="329"/>
      <c r="B8" s="329"/>
      <c r="C8" s="389" t="s">
        <v>1187</v>
      </c>
      <c r="D8" s="392">
        <f>COVER!A13</f>
        <v>21028174026</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1350903</v>
      </c>
      <c r="I12" s="404"/>
      <c r="J12" s="404"/>
      <c r="K12" s="405">
        <f>TRUNC((H12/H13*100000),5)/100000</f>
        <v>0.48122637110000005</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2807209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2425181</v>
      </c>
      <c r="I17" s="404"/>
      <c r="J17" s="416"/>
      <c r="K17" s="405">
        <f>TRUNC((H17/H18*100000),5)/100000</f>
        <v>0.86391180699999992</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2807209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1350359</v>
      </c>
      <c r="I24" s="422"/>
      <c r="J24" s="422"/>
      <c r="K24" s="423">
        <f>TRUNC(((H24/H25*100000)/100000),2)</f>
        <v>200.45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6736.6138899999996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476477.06212000002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1413600</v>
      </c>
      <c r="I32" s="420"/>
      <c r="J32" s="420"/>
      <c r="K32" s="423">
        <f>TRUNC(100-((((H32/H33*100))*100)/100),2)</f>
        <v>50.6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2861910.93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3" activePane="bottomLeft" state="frozen"/>
      <selection activeCell="A47" sqref="A47"/>
      <selection pane="bottomLef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f>4000+616508+250</f>
        <v>620758</v>
      </c>
      <c r="D4" s="466">
        <v>31500</v>
      </c>
      <c r="E4" s="466">
        <v>16255</v>
      </c>
      <c r="F4" s="466">
        <v>49155</v>
      </c>
      <c r="G4" s="466">
        <v>2896</v>
      </c>
      <c r="H4" s="466">
        <v>46398</v>
      </c>
      <c r="I4" s="466">
        <v>9870</v>
      </c>
      <c r="J4" s="467">
        <v>52155</v>
      </c>
      <c r="K4" s="466">
        <v>110591</v>
      </c>
      <c r="L4" s="466">
        <v>51153</v>
      </c>
      <c r="M4" s="468"/>
      <c r="N4" s="469"/>
    </row>
    <row r="5" spans="1:14" x14ac:dyDescent="0.2">
      <c r="A5" s="463" t="s">
        <v>1049</v>
      </c>
      <c r="B5" s="470">
        <v>120</v>
      </c>
      <c r="C5" s="465">
        <v>302706</v>
      </c>
      <c r="D5" s="466">
        <v>0</v>
      </c>
      <c r="E5" s="466">
        <v>0</v>
      </c>
      <c r="F5" s="466">
        <v>0</v>
      </c>
      <c r="G5" s="466">
        <v>11215</v>
      </c>
      <c r="H5" s="466">
        <v>70352</v>
      </c>
      <c r="I5" s="466">
        <v>336370</v>
      </c>
      <c r="J5" s="467">
        <v>76755</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544</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924008</v>
      </c>
      <c r="D13" s="1754">
        <f t="shared" ref="D13:L13" si="0">SUM(D4:D12)</f>
        <v>31500</v>
      </c>
      <c r="E13" s="1754">
        <f t="shared" si="0"/>
        <v>16255</v>
      </c>
      <c r="F13" s="1754">
        <f t="shared" si="0"/>
        <v>49155</v>
      </c>
      <c r="G13" s="1754">
        <f t="shared" si="0"/>
        <v>14111</v>
      </c>
      <c r="H13" s="1754">
        <f t="shared" si="0"/>
        <v>116750</v>
      </c>
      <c r="I13" s="1754">
        <f t="shared" si="0"/>
        <v>346240</v>
      </c>
      <c r="J13" s="1754">
        <f t="shared" si="0"/>
        <v>128910</v>
      </c>
      <c r="K13" s="1754">
        <f t="shared" si="0"/>
        <v>110591</v>
      </c>
      <c r="L13" s="1754">
        <f t="shared" si="0"/>
        <v>51153</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3000</v>
      </c>
      <c r="N16" s="484"/>
    </row>
    <row r="17" spans="1:14" s="485" customFormat="1" ht="12.75" customHeight="1" x14ac:dyDescent="0.2">
      <c r="A17" s="482" t="s">
        <v>1470</v>
      </c>
      <c r="B17" s="483">
        <v>230</v>
      </c>
      <c r="C17" s="477"/>
      <c r="D17" s="477"/>
      <c r="E17" s="477"/>
      <c r="F17" s="477"/>
      <c r="G17" s="477"/>
      <c r="H17" s="477"/>
      <c r="I17" s="477"/>
      <c r="J17" s="477"/>
      <c r="K17" s="477"/>
      <c r="L17" s="477"/>
      <c r="M17" s="467">
        <f>4116643-1816723</f>
        <v>2299920</v>
      </c>
      <c r="N17" s="484"/>
    </row>
    <row r="18" spans="1:14" s="485" customFormat="1" ht="12.75" customHeight="1" x14ac:dyDescent="0.2">
      <c r="A18" s="482" t="s">
        <v>1471</v>
      </c>
      <c r="B18" s="483">
        <v>240</v>
      </c>
      <c r="C18" s="477"/>
      <c r="D18" s="477"/>
      <c r="E18" s="477"/>
      <c r="F18" s="477"/>
      <c r="G18" s="477"/>
      <c r="H18" s="477"/>
      <c r="I18" s="477"/>
      <c r="J18" s="477"/>
      <c r="K18" s="477"/>
      <c r="L18" s="477"/>
      <c r="M18" s="467">
        <f>255955-175955</f>
        <v>80000</v>
      </c>
      <c r="N18" s="484"/>
    </row>
    <row r="19" spans="1:14" s="485" customFormat="1" ht="12.75" customHeight="1" x14ac:dyDescent="0.2">
      <c r="A19" s="482" t="s">
        <v>1472</v>
      </c>
      <c r="B19" s="483">
        <v>250</v>
      </c>
      <c r="C19" s="477"/>
      <c r="D19" s="477"/>
      <c r="E19" s="477"/>
      <c r="F19" s="477"/>
      <c r="G19" s="477"/>
      <c r="H19" s="477"/>
      <c r="I19" s="477"/>
      <c r="J19" s="477"/>
      <c r="K19" s="477"/>
      <c r="L19" s="477"/>
      <c r="M19" s="467">
        <f>451314+34974-313483-21735</f>
        <v>151070</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16255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1397345</v>
      </c>
    </row>
    <row r="23" spans="1:14" ht="13.5" customHeight="1" thickBot="1" x14ac:dyDescent="0.25">
      <c r="A23" s="1753" t="s">
        <v>664</v>
      </c>
      <c r="B23" s="1758"/>
      <c r="C23" s="468"/>
      <c r="D23" s="468"/>
      <c r="E23" s="468"/>
      <c r="F23" s="468"/>
      <c r="G23" s="468"/>
      <c r="H23" s="468"/>
      <c r="I23" s="468"/>
      <c r="J23" s="468"/>
      <c r="K23" s="468"/>
      <c r="L23" s="468"/>
      <c r="M23" s="1705">
        <f>SUM(M15:M22)</f>
        <v>2533990</v>
      </c>
      <c r="N23" s="1705">
        <f>SUM(N21:N22)</f>
        <v>1413600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51153</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51153</v>
      </c>
      <c r="M34" s="468"/>
      <c r="N34" s="480"/>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1413600</v>
      </c>
    </row>
    <row r="37" spans="1:14" ht="13.5" thickBot="1" x14ac:dyDescent="0.25">
      <c r="A37" s="1753" t="s">
        <v>674</v>
      </c>
      <c r="B37" s="1758"/>
      <c r="C37" s="477"/>
      <c r="D37" s="477"/>
      <c r="E37" s="477"/>
      <c r="F37" s="477"/>
      <c r="G37" s="477"/>
      <c r="H37" s="477"/>
      <c r="I37" s="477"/>
      <c r="J37" s="477"/>
      <c r="K37" s="477"/>
      <c r="L37" s="480"/>
      <c r="M37" s="468"/>
      <c r="N37" s="1705">
        <f>SUM(N36:N36)</f>
        <v>1413600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924008</v>
      </c>
      <c r="D39" s="466">
        <v>31500</v>
      </c>
      <c r="E39" s="466">
        <v>16255</v>
      </c>
      <c r="F39" s="466">
        <v>49155</v>
      </c>
      <c r="G39" s="466">
        <v>14111</v>
      </c>
      <c r="H39" s="466">
        <v>116750</v>
      </c>
      <c r="I39" s="466">
        <v>346240</v>
      </c>
      <c r="J39" s="467">
        <v>128910</v>
      </c>
      <c r="K39" s="466">
        <v>110591</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2533990</v>
      </c>
      <c r="N40" s="497"/>
    </row>
    <row r="41" spans="1:14" ht="13.5" customHeight="1" thickBot="1" x14ac:dyDescent="0.25">
      <c r="A41" s="1753" t="s">
        <v>676</v>
      </c>
      <c r="B41" s="1723"/>
      <c r="C41" s="1705">
        <f>(SUM(C34,C37,C38,C39))</f>
        <v>924008</v>
      </c>
      <c r="D41" s="1705">
        <f t="shared" ref="D41:L41" si="2">SUM(D34,D37,D38:D39)</f>
        <v>31500</v>
      </c>
      <c r="E41" s="1705">
        <f t="shared" si="2"/>
        <v>16255</v>
      </c>
      <c r="F41" s="1705">
        <f t="shared" si="2"/>
        <v>49155</v>
      </c>
      <c r="G41" s="1705">
        <f t="shared" si="2"/>
        <v>14111</v>
      </c>
      <c r="H41" s="1705">
        <f t="shared" si="2"/>
        <v>116750</v>
      </c>
      <c r="I41" s="1705">
        <f t="shared" si="2"/>
        <v>346240</v>
      </c>
      <c r="J41" s="1705">
        <f t="shared" si="2"/>
        <v>128910</v>
      </c>
      <c r="K41" s="1705">
        <f t="shared" si="2"/>
        <v>110591</v>
      </c>
      <c r="L41" s="1705">
        <f t="shared" si="2"/>
        <v>51153</v>
      </c>
      <c r="M41" s="1705">
        <f>SUM(M40)</f>
        <v>2533990</v>
      </c>
      <c r="N41" s="1705">
        <f>SUM(N37)</f>
        <v>1413600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&amp;F&amp;C&amp;"Calibri,Regular"&amp;8The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75" zoomScaleNormal="75" zoomScaleSheetLayoutView="100" workbookViewId="0">
      <pane ySplit="2" topLeftCell="A42" activePane="bottomLeft" state="frozenSplit"/>
      <selection activeCell="A47" sqref="A47"/>
      <selection pane="bottomLeft" activeCell="H38" sqref="H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3"/>
      <c r="D3" s="1594"/>
      <c r="E3" s="1594"/>
      <c r="F3" s="1594"/>
      <c r="G3" s="1594"/>
      <c r="H3" s="1594"/>
      <c r="I3" s="1594"/>
      <c r="J3" s="1594"/>
      <c r="K3" s="1595"/>
      <c r="L3" s="506"/>
    </row>
    <row r="4" spans="1:13" ht="15.75" customHeight="1" x14ac:dyDescent="0.2">
      <c r="A4" s="1946" t="s">
        <v>1579</v>
      </c>
      <c r="B4" s="1947">
        <v>1000</v>
      </c>
      <c r="C4" s="1759">
        <f>'Revenues 9-14'!C109</f>
        <v>503545</v>
      </c>
      <c r="D4" s="1759">
        <f>'Revenues 9-14'!D109</f>
        <v>109587</v>
      </c>
      <c r="E4" s="1759">
        <f>'Revenues 9-14'!E109</f>
        <v>217017</v>
      </c>
      <c r="F4" s="1759">
        <f>'Revenues 9-14'!F109</f>
        <v>47342</v>
      </c>
      <c r="G4" s="1759">
        <f>'Revenues 9-14'!G109</f>
        <v>100181</v>
      </c>
      <c r="H4" s="1759">
        <f>'Revenues 9-14'!H109</f>
        <v>27690</v>
      </c>
      <c r="I4" s="1759">
        <f>'Revenues 9-14'!I109</f>
        <v>11554</v>
      </c>
      <c r="J4" s="1759">
        <f>'Revenues 9-14'!J109</f>
        <v>81187</v>
      </c>
      <c r="K4" s="1759">
        <f>'Revenues 9-14'!K109</f>
        <v>10435</v>
      </c>
      <c r="L4" s="347"/>
    </row>
    <row r="5" spans="1:13" ht="15.75" customHeight="1" x14ac:dyDescent="0.2">
      <c r="A5" s="1596" t="s">
        <v>1580</v>
      </c>
      <c r="B5" s="1597">
        <v>2000</v>
      </c>
      <c r="C5" s="1760">
        <f>'Revenues 9-14'!C114</f>
        <v>19478</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6" t="s">
        <v>1581</v>
      </c>
      <c r="B6" s="1598">
        <v>3000</v>
      </c>
      <c r="C6" s="1760">
        <f>'Revenues 9-14'!C173</f>
        <v>1716806</v>
      </c>
      <c r="D6" s="1760">
        <f>'Revenues 9-14'!D173</f>
        <v>0</v>
      </c>
      <c r="E6" s="1760">
        <f>'Revenues 9-14'!E173</f>
        <v>0</v>
      </c>
      <c r="F6" s="1760">
        <f>'Revenues 9-14'!F173</f>
        <v>101185</v>
      </c>
      <c r="G6" s="1760">
        <f>'Revenues 9-14'!G173</f>
        <v>0</v>
      </c>
      <c r="H6" s="1760">
        <f>'Revenues 9-14'!H173</f>
        <v>0</v>
      </c>
      <c r="I6" s="1760">
        <f>'Revenues 9-14'!I173</f>
        <v>0</v>
      </c>
      <c r="J6" s="1760">
        <f>'Revenues 9-14'!J173</f>
        <v>0</v>
      </c>
      <c r="K6" s="1760">
        <f>'Revenues 9-14'!K173</f>
        <v>0</v>
      </c>
      <c r="L6" s="347"/>
      <c r="M6" s="513"/>
    </row>
    <row r="7" spans="1:13" ht="15.75" customHeight="1" x14ac:dyDescent="0.2">
      <c r="A7" s="1596" t="s">
        <v>1582</v>
      </c>
      <c r="B7" s="1598">
        <v>4000</v>
      </c>
      <c r="C7" s="1760">
        <f>'Revenues 9-14'!C274</f>
        <v>297712</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2537541</v>
      </c>
      <c r="D8" s="1705">
        <f t="shared" ref="D8:K8" si="0">SUM(D4:D7)</f>
        <v>109587</v>
      </c>
      <c r="E8" s="1705">
        <f t="shared" si="0"/>
        <v>217017</v>
      </c>
      <c r="F8" s="1705">
        <f t="shared" si="0"/>
        <v>148527</v>
      </c>
      <c r="G8" s="1705">
        <f t="shared" si="0"/>
        <v>100181</v>
      </c>
      <c r="H8" s="1705">
        <f t="shared" si="0"/>
        <v>27690</v>
      </c>
      <c r="I8" s="1705">
        <f t="shared" si="0"/>
        <v>11554</v>
      </c>
      <c r="J8" s="1705">
        <f t="shared" si="0"/>
        <v>81187</v>
      </c>
      <c r="K8" s="1705">
        <f t="shared" si="0"/>
        <v>10435</v>
      </c>
      <c r="L8" s="347"/>
    </row>
    <row r="9" spans="1:13" ht="15.75" thickTop="1" x14ac:dyDescent="0.2">
      <c r="A9" s="514" t="s">
        <v>1752</v>
      </c>
      <c r="B9" s="515">
        <v>3998</v>
      </c>
      <c r="C9" s="481">
        <v>153079</v>
      </c>
      <c r="D9" s="516">
        <v>0</v>
      </c>
      <c r="E9" s="481">
        <v>0</v>
      </c>
      <c r="F9" s="481">
        <v>0</v>
      </c>
      <c r="G9" s="517">
        <v>0</v>
      </c>
      <c r="H9" s="481">
        <v>0</v>
      </c>
      <c r="I9" s="509" t="s">
        <v>1231</v>
      </c>
      <c r="J9" s="478">
        <v>0</v>
      </c>
      <c r="K9" s="481">
        <v>0</v>
      </c>
      <c r="L9" s="347"/>
    </row>
    <row r="10" spans="1:13" s="519" customFormat="1" ht="13.5" thickBot="1" x14ac:dyDescent="0.25">
      <c r="A10" s="1753" t="s">
        <v>1235</v>
      </c>
      <c r="B10" s="1726"/>
      <c r="C10" s="1705">
        <f>SUM(C8:C9)</f>
        <v>2690620</v>
      </c>
      <c r="D10" s="1705">
        <f t="shared" ref="D10:K10" si="1">SUM(D8:D9)</f>
        <v>109587</v>
      </c>
      <c r="E10" s="1705">
        <f t="shared" si="1"/>
        <v>217017</v>
      </c>
      <c r="F10" s="1705">
        <f t="shared" si="1"/>
        <v>148527</v>
      </c>
      <c r="G10" s="1705">
        <f t="shared" si="1"/>
        <v>100181</v>
      </c>
      <c r="H10" s="1705">
        <f t="shared" si="1"/>
        <v>27690</v>
      </c>
      <c r="I10" s="1705">
        <f t="shared" si="1"/>
        <v>11554</v>
      </c>
      <c r="J10" s="1705">
        <f t="shared" si="1"/>
        <v>81187</v>
      </c>
      <c r="K10" s="1705">
        <f t="shared" si="1"/>
        <v>10435</v>
      </c>
      <c r="L10" s="518"/>
    </row>
    <row r="11" spans="1:13" s="519" customFormat="1" ht="16.7" customHeight="1" thickTop="1" x14ac:dyDescent="0.2">
      <c r="A11" s="2124" t="s">
        <v>1238</v>
      </c>
      <c r="B11" s="2125"/>
      <c r="C11" s="1590"/>
      <c r="D11" s="1591"/>
      <c r="E11" s="1591"/>
      <c r="F11" s="1591"/>
      <c r="G11" s="1591"/>
      <c r="H11" s="1591"/>
      <c r="I11" s="1591"/>
      <c r="J11" s="1591"/>
      <c r="K11" s="1592"/>
      <c r="L11" s="518"/>
    </row>
    <row r="12" spans="1:13" ht="15.75" customHeight="1" x14ac:dyDescent="0.2">
      <c r="A12" s="1596" t="s">
        <v>476</v>
      </c>
      <c r="B12" s="1598">
        <v>1000</v>
      </c>
      <c r="C12" s="1759">
        <f>'Expenditures 15-22'!K33</f>
        <v>1509917</v>
      </c>
      <c r="D12" s="520" t="s">
        <v>1231</v>
      </c>
      <c r="E12" s="468" t="s">
        <v>1231</v>
      </c>
      <c r="F12" s="468" t="s">
        <v>1231</v>
      </c>
      <c r="G12" s="1759">
        <f>'Expenditures 15-22'!K229</f>
        <v>38750</v>
      </c>
      <c r="H12" s="521"/>
      <c r="I12" s="468" t="s">
        <v>1231</v>
      </c>
      <c r="J12" s="468" t="s">
        <v>1231</v>
      </c>
      <c r="K12" s="521" t="s">
        <v>1231</v>
      </c>
      <c r="L12" s="347"/>
    </row>
    <row r="13" spans="1:13" ht="15.75" customHeight="1" x14ac:dyDescent="0.2">
      <c r="A13" s="1596" t="s">
        <v>477</v>
      </c>
      <c r="B13" s="1598">
        <v>2000</v>
      </c>
      <c r="C13" s="1760">
        <f>'Expenditures 15-22'!K74</f>
        <v>635261</v>
      </c>
      <c r="D13" s="1760">
        <f>'Expenditures 15-22'!K129</f>
        <v>105669</v>
      </c>
      <c r="E13" s="469" t="s">
        <v>1231</v>
      </c>
      <c r="F13" s="1760">
        <f>'Expenditures 15-22'!K184</f>
        <v>135508</v>
      </c>
      <c r="G13" s="1760">
        <f>'Expenditures 15-22'!K279</f>
        <v>69092</v>
      </c>
      <c r="H13" s="1760">
        <f>'Expenditures 15-22'!K303</f>
        <v>9943</v>
      </c>
      <c r="I13" s="468" t="s">
        <v>1231</v>
      </c>
      <c r="J13" s="1760">
        <f>'Expenditures 15-22'!K330</f>
        <v>79272</v>
      </c>
      <c r="K13" s="1764">
        <f>'Expenditures 15-22'!K352</f>
        <v>370827</v>
      </c>
      <c r="L13" s="347"/>
    </row>
    <row r="14" spans="1:13" ht="15.75" customHeight="1" x14ac:dyDescent="0.2">
      <c r="A14" s="1596" t="s">
        <v>469</v>
      </c>
      <c r="B14" s="1598">
        <v>3000</v>
      </c>
      <c r="C14" s="1760">
        <f>'Expenditures 15-22'!K75</f>
        <v>119</v>
      </c>
      <c r="D14" s="1760">
        <f>'Expenditures 15-22'!K130</f>
        <v>0</v>
      </c>
      <c r="E14" s="520" t="s">
        <v>1231</v>
      </c>
      <c r="F14" s="1760">
        <f>'Expenditures 15-22'!K185</f>
        <v>0</v>
      </c>
      <c r="G14" s="1760">
        <f>'Expenditures 15-22'!K280</f>
        <v>0</v>
      </c>
      <c r="H14" s="512"/>
      <c r="I14" s="468" t="s">
        <v>1231</v>
      </c>
      <c r="J14" s="468" t="s">
        <v>1231</v>
      </c>
      <c r="K14" s="512" t="s">
        <v>1231</v>
      </c>
      <c r="L14" s="347"/>
    </row>
    <row r="15" spans="1:13" ht="15.75" customHeight="1" x14ac:dyDescent="0.2">
      <c r="A15" s="1596" t="s">
        <v>109</v>
      </c>
      <c r="B15" s="1598">
        <v>4000</v>
      </c>
      <c r="C15" s="1760">
        <f>'Expenditures 15-22'!K102</f>
        <v>38707</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6" t="s">
        <v>470</v>
      </c>
      <c r="B16" s="1598">
        <v>5000</v>
      </c>
      <c r="C16" s="1760">
        <f>'Expenditures 15-22'!K112</f>
        <v>0</v>
      </c>
      <c r="D16" s="1760">
        <f>'Expenditures 15-22'!K149</f>
        <v>0</v>
      </c>
      <c r="E16" s="1760">
        <f>'Expenditures 15-22'!K172</f>
        <v>214106</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2184004</v>
      </c>
      <c r="D17" s="1705">
        <f t="shared" si="2"/>
        <v>105669</v>
      </c>
      <c r="E17" s="1705">
        <f t="shared" si="2"/>
        <v>214106</v>
      </c>
      <c r="F17" s="1705">
        <f t="shared" si="2"/>
        <v>135508</v>
      </c>
      <c r="G17" s="1705">
        <f t="shared" si="2"/>
        <v>107842</v>
      </c>
      <c r="H17" s="1705">
        <f t="shared" si="2"/>
        <v>9943</v>
      </c>
      <c r="I17" s="468"/>
      <c r="J17" s="1705">
        <f>SUM(J12:J16)</f>
        <v>79272</v>
      </c>
      <c r="K17" s="1705">
        <f>SUM(K12:K16)</f>
        <v>370827</v>
      </c>
      <c r="L17" s="347"/>
    </row>
    <row r="18" spans="1:12" ht="15" customHeight="1" thickTop="1" x14ac:dyDescent="0.2">
      <c r="A18" s="1761" t="s">
        <v>1753</v>
      </c>
      <c r="B18" s="1762">
        <v>4180</v>
      </c>
      <c r="C18" s="1759">
        <f t="shared" ref="C18:H18" si="3">C9</f>
        <v>153079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2337083</v>
      </c>
      <c r="D19" s="1705">
        <f t="shared" si="4"/>
        <v>105669</v>
      </c>
      <c r="E19" s="1705">
        <f t="shared" si="4"/>
        <v>214106</v>
      </c>
      <c r="F19" s="1705">
        <f t="shared" si="4"/>
        <v>135508</v>
      </c>
      <c r="G19" s="1705">
        <f t="shared" si="4"/>
        <v>107842</v>
      </c>
      <c r="H19" s="1705">
        <f t="shared" si="4"/>
        <v>9943</v>
      </c>
      <c r="I19" s="468"/>
      <c r="J19" s="1705">
        <f>SUM(J17:J18)</f>
        <v>79272</v>
      </c>
      <c r="K19" s="1705">
        <f>SUM(K17:K18)</f>
        <v>370827</v>
      </c>
      <c r="L19" s="347"/>
    </row>
    <row r="20" spans="1:12" ht="16.5" thickTop="1" thickBot="1" x14ac:dyDescent="0.25">
      <c r="A20" s="2140" t="s">
        <v>1754</v>
      </c>
      <c r="B20" s="2141"/>
      <c r="C20" s="1763">
        <f>C8-C17</f>
        <v>353537</v>
      </c>
      <c r="D20" s="1763">
        <f t="shared" ref="D20:K20" si="5">D8-D17</f>
        <v>3918</v>
      </c>
      <c r="E20" s="1763">
        <f t="shared" si="5"/>
        <v>2911</v>
      </c>
      <c r="F20" s="1763">
        <f t="shared" si="5"/>
        <v>13019</v>
      </c>
      <c r="G20" s="1763">
        <f t="shared" si="5"/>
        <v>-7661</v>
      </c>
      <c r="H20" s="1763">
        <f t="shared" si="5"/>
        <v>17747</v>
      </c>
      <c r="I20" s="1763">
        <f t="shared" si="5"/>
        <v>11554</v>
      </c>
      <c r="J20" s="1763">
        <f t="shared" si="5"/>
        <v>1915</v>
      </c>
      <c r="K20" s="1763">
        <f t="shared" si="5"/>
        <v>-360392</v>
      </c>
      <c r="L20" s="347"/>
    </row>
    <row r="21" spans="1:12" ht="16.7" customHeight="1" thickTop="1" x14ac:dyDescent="0.2">
      <c r="A21" s="2152" t="s">
        <v>616</v>
      </c>
      <c r="B21" s="2153"/>
      <c r="C21" s="1590"/>
      <c r="D21" s="1591"/>
      <c r="E21" s="1591"/>
      <c r="F21" s="1591"/>
      <c r="G21" s="1591"/>
      <c r="H21" s="1591"/>
      <c r="I21" s="1591"/>
      <c r="J21" s="1591"/>
      <c r="K21" s="1592"/>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09" t="s">
        <v>1755</v>
      </c>
      <c r="B24" s="525">
        <v>7110</v>
      </c>
      <c r="C24" s="467">
        <v>0</v>
      </c>
      <c r="D24" s="477"/>
      <c r="E24" s="477"/>
      <c r="F24" s="477"/>
      <c r="G24" s="477"/>
      <c r="H24" s="477"/>
      <c r="I24" s="477"/>
      <c r="J24" s="477"/>
      <c r="K24" s="477"/>
      <c r="L24" s="524"/>
    </row>
    <row r="25" spans="1:12" s="485" customFormat="1" ht="13.5" customHeight="1" x14ac:dyDescent="0.2">
      <c r="A25" s="1509"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312</v>
      </c>
      <c r="B29" s="483">
        <v>7150</v>
      </c>
      <c r="C29" s="475"/>
      <c r="D29" s="467">
        <v>0</v>
      </c>
      <c r="E29" s="475"/>
      <c r="F29" s="475"/>
      <c r="G29" s="475"/>
      <c r="H29" s="475"/>
      <c r="I29" s="475"/>
      <c r="J29" s="475"/>
      <c r="K29" s="475"/>
      <c r="L29" s="524"/>
    </row>
    <row r="30" spans="1:12" s="485" customFormat="1" ht="26.25" x14ac:dyDescent="0.2">
      <c r="A30" s="1509" t="s">
        <v>1896</v>
      </c>
      <c r="B30" s="527">
        <v>7160</v>
      </c>
      <c r="C30" s="477"/>
      <c r="D30" s="467">
        <v>0</v>
      </c>
      <c r="E30" s="477"/>
      <c r="F30" s="477"/>
      <c r="G30" s="477"/>
      <c r="H30" s="477"/>
      <c r="I30" s="477"/>
      <c r="J30" s="477"/>
      <c r="K30" s="477"/>
      <c r="L30" s="524"/>
    </row>
    <row r="31" spans="1:12" s="485" customFormat="1" ht="26.25" x14ac:dyDescent="0.2">
      <c r="A31" s="1509" t="s">
        <v>1900</v>
      </c>
      <c r="B31" s="527">
        <v>7170</v>
      </c>
      <c r="C31" s="477"/>
      <c r="D31" s="477"/>
      <c r="E31" s="474">
        <v>0</v>
      </c>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09" t="s">
        <v>432</v>
      </c>
      <c r="B33" s="525">
        <v>7210</v>
      </c>
      <c r="C33" s="467">
        <v>0</v>
      </c>
      <c r="D33" s="467">
        <v>0</v>
      </c>
      <c r="E33" s="467">
        <v>0</v>
      </c>
      <c r="F33" s="467">
        <v>0</v>
      </c>
      <c r="G33" s="477"/>
      <c r="H33" s="467">
        <v>0</v>
      </c>
      <c r="I33" s="467">
        <v>0</v>
      </c>
      <c r="J33" s="467">
        <v>0</v>
      </c>
      <c r="K33" s="467">
        <v>0</v>
      </c>
      <c r="L33" s="524"/>
    </row>
    <row r="34" spans="1:12" s="485" customFormat="1" x14ac:dyDescent="0.2">
      <c r="A34" s="1509" t="s">
        <v>1058</v>
      </c>
      <c r="B34" s="525">
        <v>7220</v>
      </c>
      <c r="C34" s="467">
        <v>0</v>
      </c>
      <c r="D34" s="467">
        <v>0</v>
      </c>
      <c r="E34" s="467">
        <v>0</v>
      </c>
      <c r="F34" s="467">
        <v>0</v>
      </c>
      <c r="G34" s="477"/>
      <c r="H34" s="478">
        <v>0</v>
      </c>
      <c r="I34" s="478">
        <v>0</v>
      </c>
      <c r="J34" s="478">
        <v>0</v>
      </c>
      <c r="K34" s="478">
        <v>0</v>
      </c>
      <c r="L34" s="524"/>
    </row>
    <row r="35" spans="1:12" s="485" customFormat="1" x14ac:dyDescent="0.2">
      <c r="A35" s="1509" t="s">
        <v>1047</v>
      </c>
      <c r="B35" s="525">
        <v>7230</v>
      </c>
      <c r="C35" s="467">
        <v>0</v>
      </c>
      <c r="D35" s="467">
        <v>0</v>
      </c>
      <c r="E35" s="467">
        <v>0</v>
      </c>
      <c r="F35" s="467">
        <v>0</v>
      </c>
      <c r="G35" s="480"/>
      <c r="H35" s="467">
        <v>0</v>
      </c>
      <c r="I35" s="467">
        <v>0</v>
      </c>
      <c r="J35" s="467">
        <v>0</v>
      </c>
      <c r="K35" s="467">
        <v>0</v>
      </c>
      <c r="L35" s="524"/>
    </row>
    <row r="36" spans="1:12" s="485" customFormat="1" ht="15" x14ac:dyDescent="0.2">
      <c r="A36" s="1509" t="s">
        <v>1757</v>
      </c>
      <c r="B36" s="525">
        <v>7300</v>
      </c>
      <c r="C36" s="467">
        <v>0</v>
      </c>
      <c r="D36" s="467">
        <v>0</v>
      </c>
      <c r="E36" s="467">
        <v>0</v>
      </c>
      <c r="F36" s="467">
        <v>0</v>
      </c>
      <c r="G36" s="467">
        <v>0</v>
      </c>
      <c r="H36" s="467">
        <v>0</v>
      </c>
      <c r="I36" s="475"/>
      <c r="J36" s="467">
        <v>0</v>
      </c>
      <c r="K36" s="467">
        <v>0</v>
      </c>
      <c r="L36" s="524"/>
    </row>
    <row r="37" spans="1:12" s="485" customFormat="1" x14ac:dyDescent="0.2">
      <c r="A37" s="1509" t="s">
        <v>461</v>
      </c>
      <c r="B37" s="525">
        <v>7400</v>
      </c>
      <c r="C37" s="475"/>
      <c r="D37" s="475"/>
      <c r="E37" s="1760">
        <f>SUM(C54:D57,H54:H57)</f>
        <v>0</v>
      </c>
      <c r="F37" s="475"/>
      <c r="G37" s="475"/>
      <c r="H37" s="475"/>
      <c r="I37" s="477"/>
      <c r="J37" s="475"/>
      <c r="K37" s="475"/>
      <c r="L37" s="524"/>
    </row>
    <row r="38" spans="1:12" s="485" customFormat="1" x14ac:dyDescent="0.2">
      <c r="A38" s="1509" t="s">
        <v>462</v>
      </c>
      <c r="B38" s="525">
        <v>7500</v>
      </c>
      <c r="C38" s="477"/>
      <c r="D38" s="477"/>
      <c r="E38" s="1760">
        <f>SUM(C58:D61,H58:H61)</f>
        <v>0</v>
      </c>
      <c r="F38" s="477"/>
      <c r="G38" s="477"/>
      <c r="H38" s="477"/>
      <c r="I38" s="477"/>
      <c r="J38" s="477"/>
      <c r="K38" s="477"/>
      <c r="L38" s="524"/>
    </row>
    <row r="39" spans="1:12" s="485" customFormat="1" x14ac:dyDescent="0.2">
      <c r="A39" s="1509" t="s">
        <v>463</v>
      </c>
      <c r="B39" s="525">
        <v>7600</v>
      </c>
      <c r="C39" s="477"/>
      <c r="D39" s="477"/>
      <c r="E39" s="1760">
        <f>SUM(C62:D65)</f>
        <v>0</v>
      </c>
      <c r="F39" s="477"/>
      <c r="G39" s="477"/>
      <c r="H39" s="477"/>
      <c r="I39" s="477"/>
      <c r="J39" s="477"/>
      <c r="K39" s="477"/>
      <c r="L39" s="524"/>
    </row>
    <row r="40" spans="1:12" s="485" customFormat="1" ht="13.5" customHeight="1" x14ac:dyDescent="0.2">
      <c r="A40" s="1509" t="s">
        <v>663</v>
      </c>
      <c r="B40" s="483">
        <v>7700</v>
      </c>
      <c r="C40" s="477"/>
      <c r="D40" s="477"/>
      <c r="E40" s="1760">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0">
        <f>SUM(C70:D73)</f>
        <v>0</v>
      </c>
      <c r="I41" s="477"/>
      <c r="J41" s="477"/>
      <c r="K41" s="480"/>
      <c r="L41" s="524"/>
    </row>
    <row r="42" spans="1:12" s="485" customFormat="1" ht="13.5" customHeight="1" x14ac:dyDescent="0.2">
      <c r="A42" s="1509"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4" t="s">
        <v>392</v>
      </c>
      <c r="B44" s="2155"/>
      <c r="C44" s="1720">
        <f>SUM(C24:C43)</f>
        <v>0</v>
      </c>
      <c r="D44" s="1720">
        <f t="shared" ref="D44:K44" si="6">SUM(D24:D43)</f>
        <v>0</v>
      </c>
      <c r="E44" s="1720">
        <f t="shared" si="6"/>
        <v>0</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0">
        <f>SUM(C24,C25:H25,J25:K25)</f>
        <v>0</v>
      </c>
      <c r="J47" s="477"/>
      <c r="K47" s="477"/>
      <c r="L47" s="529"/>
    </row>
    <row r="48" spans="1:12" s="485" customFormat="1" ht="15" x14ac:dyDescent="0.2">
      <c r="A48" s="1510" t="s">
        <v>1759</v>
      </c>
      <c r="B48" s="483">
        <v>8120</v>
      </c>
      <c r="C48" s="480"/>
      <c r="D48" s="480"/>
      <c r="E48" s="477"/>
      <c r="F48" s="480"/>
      <c r="G48" s="477"/>
      <c r="H48" s="477"/>
      <c r="I48" s="1760">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1465</v>
      </c>
      <c r="B50" s="483">
        <v>8140</v>
      </c>
      <c r="C50" s="467">
        <v>0</v>
      </c>
      <c r="D50" s="467">
        <v>0</v>
      </c>
      <c r="E50" s="467">
        <v>0</v>
      </c>
      <c r="F50" s="467">
        <v>0</v>
      </c>
      <c r="G50" s="467">
        <v>0</v>
      </c>
      <c r="H50" s="467">
        <v>0</v>
      </c>
      <c r="I50" s="477"/>
      <c r="J50" s="467">
        <v>0</v>
      </c>
      <c r="K50" s="477"/>
      <c r="L50" s="524"/>
    </row>
    <row r="51" spans="1:12" s="485" customFormat="1" x14ac:dyDescent="0.2">
      <c r="A51" s="1510" t="s">
        <v>312</v>
      </c>
      <c r="B51" s="483">
        <v>8150</v>
      </c>
      <c r="C51" s="475"/>
      <c r="D51" s="475"/>
      <c r="E51" s="475"/>
      <c r="F51" s="475"/>
      <c r="G51" s="475"/>
      <c r="H51" s="1760">
        <f>SUM(D29)</f>
        <v>0</v>
      </c>
      <c r="I51" s="477"/>
      <c r="J51" s="475"/>
      <c r="K51" s="480"/>
      <c r="L51" s="524"/>
    </row>
    <row r="52" spans="1:12" s="485" customFormat="1" ht="26.25" x14ac:dyDescent="0.2">
      <c r="A52" s="1510" t="s">
        <v>1899</v>
      </c>
      <c r="B52" s="483">
        <v>8160</v>
      </c>
      <c r="C52" s="477"/>
      <c r="D52" s="477"/>
      <c r="E52" s="477"/>
      <c r="F52" s="477"/>
      <c r="G52" s="477"/>
      <c r="H52" s="477"/>
      <c r="I52" s="477"/>
      <c r="J52" s="477"/>
      <c r="K52" s="1760">
        <f>D30</f>
        <v>0</v>
      </c>
      <c r="L52" s="524"/>
    </row>
    <row r="53" spans="1:12" s="485" customFormat="1" ht="26.25" x14ac:dyDescent="0.2">
      <c r="A53" s="1510" t="s">
        <v>1898</v>
      </c>
      <c r="B53" s="483">
        <v>8170</v>
      </c>
      <c r="C53" s="480"/>
      <c r="D53" s="480"/>
      <c r="E53" s="477"/>
      <c r="F53" s="477"/>
      <c r="G53" s="477"/>
      <c r="H53" s="480"/>
      <c r="I53" s="477"/>
      <c r="J53" s="477"/>
      <c r="K53" s="1760">
        <f>E31</f>
        <v>0</v>
      </c>
      <c r="L53" s="524"/>
    </row>
    <row r="54" spans="1:12" s="485" customFormat="1" ht="13.5" thickBot="1" x14ac:dyDescent="0.25">
      <c r="A54" s="1510" t="s">
        <v>716</v>
      </c>
      <c r="B54" s="483">
        <v>8410</v>
      </c>
      <c r="C54" s="530">
        <v>0</v>
      </c>
      <c r="D54" s="530">
        <v>0</v>
      </c>
      <c r="E54" s="477"/>
      <c r="F54" s="477"/>
      <c r="G54" s="477"/>
      <c r="H54" s="530">
        <v>0</v>
      </c>
      <c r="I54" s="477"/>
      <c r="J54" s="477"/>
      <c r="K54" s="475"/>
      <c r="L54" s="524"/>
    </row>
    <row r="55" spans="1:12" s="485" customFormat="1" ht="14.25" thickTop="1" thickBot="1" x14ac:dyDescent="0.25">
      <c r="A55" s="1511" t="s">
        <v>717</v>
      </c>
      <c r="B55" s="483">
        <v>8420</v>
      </c>
      <c r="C55" s="531">
        <v>0</v>
      </c>
      <c r="D55" s="531">
        <v>0</v>
      </c>
      <c r="E55" s="477"/>
      <c r="F55" s="477"/>
      <c r="G55" s="477"/>
      <c r="H55" s="530">
        <v>0</v>
      </c>
      <c r="I55" s="477"/>
      <c r="J55" s="477"/>
      <c r="K55" s="477"/>
      <c r="L55" s="524"/>
    </row>
    <row r="56" spans="1:12" s="485" customFormat="1" ht="14.25" thickTop="1" thickBot="1" x14ac:dyDescent="0.25">
      <c r="A56" s="1510" t="s">
        <v>602</v>
      </c>
      <c r="B56" s="483">
        <v>8430</v>
      </c>
      <c r="C56" s="531">
        <v>0</v>
      </c>
      <c r="D56" s="531">
        <v>0</v>
      </c>
      <c r="E56" s="477"/>
      <c r="F56" s="477"/>
      <c r="G56" s="477"/>
      <c r="H56" s="530">
        <v>0</v>
      </c>
      <c r="I56" s="477"/>
      <c r="J56" s="477"/>
      <c r="K56" s="477"/>
      <c r="L56" s="524"/>
    </row>
    <row r="57" spans="1:12" s="485" customFormat="1" ht="14.25" thickTop="1" thickBot="1" x14ac:dyDescent="0.25">
      <c r="A57" s="1511" t="s">
        <v>599</v>
      </c>
      <c r="B57" s="483">
        <v>8440</v>
      </c>
      <c r="C57" s="531">
        <v>0</v>
      </c>
      <c r="D57" s="531">
        <v>0</v>
      </c>
      <c r="E57" s="477"/>
      <c r="F57" s="477"/>
      <c r="G57" s="477"/>
      <c r="H57" s="530">
        <v>0</v>
      </c>
      <c r="I57" s="477"/>
      <c r="J57" s="477"/>
      <c r="K57" s="477"/>
      <c r="L57" s="524"/>
    </row>
    <row r="58" spans="1:12" s="485" customFormat="1" ht="14.25" thickTop="1" thickBot="1" x14ac:dyDescent="0.25">
      <c r="A58" s="1510" t="s">
        <v>600</v>
      </c>
      <c r="B58" s="483">
        <v>8510</v>
      </c>
      <c r="C58" s="531">
        <v>0</v>
      </c>
      <c r="D58" s="531">
        <v>0</v>
      </c>
      <c r="E58" s="477"/>
      <c r="F58" s="477"/>
      <c r="G58" s="477"/>
      <c r="H58" s="530">
        <v>0</v>
      </c>
      <c r="I58" s="477"/>
      <c r="J58" s="477"/>
      <c r="K58" s="477"/>
      <c r="L58" s="524"/>
    </row>
    <row r="59" spans="1:12" s="485" customFormat="1" ht="14.25" thickTop="1" thickBot="1" x14ac:dyDescent="0.25">
      <c r="A59" s="1512" t="s">
        <v>718</v>
      </c>
      <c r="B59" s="483">
        <v>8520</v>
      </c>
      <c r="C59" s="531">
        <v>0</v>
      </c>
      <c r="D59" s="531">
        <v>0</v>
      </c>
      <c r="E59" s="477"/>
      <c r="F59" s="477"/>
      <c r="G59" s="477"/>
      <c r="H59" s="530">
        <v>0</v>
      </c>
      <c r="I59" s="477"/>
      <c r="J59" s="477"/>
      <c r="K59" s="477"/>
      <c r="L59" s="524"/>
    </row>
    <row r="60" spans="1:12" s="485" customFormat="1" ht="14.25" thickTop="1" thickBot="1" x14ac:dyDescent="0.25">
      <c r="A60" s="1510" t="s">
        <v>601</v>
      </c>
      <c r="B60" s="483">
        <v>8530</v>
      </c>
      <c r="C60" s="531">
        <v>0</v>
      </c>
      <c r="D60" s="531">
        <v>0</v>
      </c>
      <c r="E60" s="477"/>
      <c r="F60" s="477"/>
      <c r="G60" s="477"/>
      <c r="H60" s="530">
        <v>0</v>
      </c>
      <c r="I60" s="477"/>
      <c r="J60" s="477"/>
      <c r="K60" s="477"/>
      <c r="L60" s="524"/>
    </row>
    <row r="61" spans="1:12" s="485" customFormat="1" ht="14.25" thickTop="1" thickBot="1" x14ac:dyDescent="0.25">
      <c r="A61" s="1511"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0" t="s">
        <v>768</v>
      </c>
      <c r="B62" s="483">
        <v>8610</v>
      </c>
      <c r="C62" s="531">
        <v>0</v>
      </c>
      <c r="D62" s="531">
        <v>0</v>
      </c>
      <c r="E62" s="477"/>
      <c r="F62" s="477"/>
      <c r="G62" s="477"/>
      <c r="H62" s="477"/>
      <c r="I62" s="477"/>
      <c r="J62" s="477"/>
      <c r="K62" s="477"/>
      <c r="L62" s="524"/>
    </row>
    <row r="63" spans="1:12" s="485" customFormat="1" ht="14.25" thickTop="1" thickBot="1" x14ac:dyDescent="0.25">
      <c r="A63" s="1511" t="s">
        <v>719</v>
      </c>
      <c r="B63" s="483">
        <v>8620</v>
      </c>
      <c r="C63" s="531">
        <v>0</v>
      </c>
      <c r="D63" s="531">
        <v>0</v>
      </c>
      <c r="E63" s="477"/>
      <c r="F63" s="477"/>
      <c r="G63" s="477"/>
      <c r="H63" s="477"/>
      <c r="I63" s="477"/>
      <c r="J63" s="477"/>
      <c r="K63" s="477"/>
      <c r="L63" s="524"/>
    </row>
    <row r="64" spans="1:12" s="485" customFormat="1" ht="13.5" customHeight="1" thickTop="1" thickBot="1" x14ac:dyDescent="0.25">
      <c r="A64" s="1510" t="s">
        <v>769</v>
      </c>
      <c r="B64" s="483">
        <v>8630</v>
      </c>
      <c r="C64" s="531">
        <v>0</v>
      </c>
      <c r="D64" s="531">
        <v>0</v>
      </c>
      <c r="E64" s="477"/>
      <c r="F64" s="477"/>
      <c r="G64" s="477"/>
      <c r="H64" s="477"/>
      <c r="I64" s="477"/>
      <c r="J64" s="477"/>
      <c r="K64" s="477"/>
      <c r="L64" s="524"/>
    </row>
    <row r="65" spans="1:12" s="485" customFormat="1" ht="14.25" thickTop="1" thickBot="1" x14ac:dyDescent="0.25">
      <c r="A65" s="1511" t="s">
        <v>770</v>
      </c>
      <c r="B65" s="483">
        <v>8640</v>
      </c>
      <c r="C65" s="531">
        <v>0</v>
      </c>
      <c r="D65" s="531">
        <v>0</v>
      </c>
      <c r="E65" s="477"/>
      <c r="F65" s="477"/>
      <c r="G65" s="477"/>
      <c r="H65" s="477"/>
      <c r="I65" s="477"/>
      <c r="J65" s="477"/>
      <c r="K65" s="477"/>
      <c r="L65" s="524"/>
    </row>
    <row r="66" spans="1:12" s="485" customFormat="1" ht="14.25" thickTop="1" thickBot="1" x14ac:dyDescent="0.25">
      <c r="A66" s="1510" t="s">
        <v>771</v>
      </c>
      <c r="B66" s="483">
        <v>8710</v>
      </c>
      <c r="C66" s="531">
        <v>0</v>
      </c>
      <c r="D66" s="531">
        <v>0</v>
      </c>
      <c r="E66" s="477"/>
      <c r="F66" s="477"/>
      <c r="G66" s="477"/>
      <c r="H66" s="477"/>
      <c r="I66" s="477"/>
      <c r="J66" s="477"/>
      <c r="K66" s="477"/>
      <c r="L66" s="524"/>
    </row>
    <row r="67" spans="1:12" s="485" customFormat="1" ht="14.25" thickTop="1" thickBot="1" x14ac:dyDescent="0.25">
      <c r="A67" s="1511" t="s">
        <v>720</v>
      </c>
      <c r="B67" s="483">
        <v>8720</v>
      </c>
      <c r="C67" s="531">
        <v>0</v>
      </c>
      <c r="D67" s="531">
        <v>0</v>
      </c>
      <c r="E67" s="477"/>
      <c r="F67" s="477"/>
      <c r="G67" s="477"/>
      <c r="H67" s="477"/>
      <c r="I67" s="477"/>
      <c r="J67" s="477"/>
      <c r="K67" s="477"/>
      <c r="L67" s="524"/>
    </row>
    <row r="68" spans="1:12" s="485" customFormat="1" ht="14.25" thickTop="1" thickBot="1" x14ac:dyDescent="0.25">
      <c r="A68" s="1512" t="s">
        <v>772</v>
      </c>
      <c r="B68" s="483">
        <v>8730</v>
      </c>
      <c r="C68" s="531">
        <v>0</v>
      </c>
      <c r="D68" s="531">
        <v>0</v>
      </c>
      <c r="E68" s="477"/>
      <c r="F68" s="477"/>
      <c r="G68" s="477"/>
      <c r="H68" s="477"/>
      <c r="I68" s="477"/>
      <c r="J68" s="477"/>
      <c r="K68" s="477"/>
      <c r="L68" s="524"/>
    </row>
    <row r="69" spans="1:12" s="485" customFormat="1" ht="14.25" thickTop="1" thickBot="1" x14ac:dyDescent="0.25">
      <c r="A69" s="1511" t="s">
        <v>773</v>
      </c>
      <c r="B69" s="483">
        <v>8740</v>
      </c>
      <c r="C69" s="531">
        <v>0</v>
      </c>
      <c r="D69" s="531">
        <v>0</v>
      </c>
      <c r="E69" s="477"/>
      <c r="F69" s="477"/>
      <c r="G69" s="477"/>
      <c r="H69" s="477"/>
      <c r="I69" s="477"/>
      <c r="J69" s="477"/>
      <c r="K69" s="477"/>
      <c r="L69" s="524"/>
    </row>
    <row r="70" spans="1:12" s="485" customFormat="1" ht="14.25" thickTop="1" thickBot="1" x14ac:dyDescent="0.25">
      <c r="A70" s="1510" t="s">
        <v>774</v>
      </c>
      <c r="B70" s="483">
        <v>8810</v>
      </c>
      <c r="C70" s="531">
        <v>0</v>
      </c>
      <c r="D70" s="531">
        <v>0</v>
      </c>
      <c r="E70" s="477"/>
      <c r="F70" s="477"/>
      <c r="G70" s="477"/>
      <c r="H70" s="477"/>
      <c r="I70" s="477"/>
      <c r="J70" s="477"/>
      <c r="K70" s="477"/>
      <c r="L70" s="524"/>
    </row>
    <row r="71" spans="1:12" s="485" customFormat="1" ht="14.25" thickTop="1" thickBot="1" x14ac:dyDescent="0.25">
      <c r="A71" s="1510" t="s">
        <v>778</v>
      </c>
      <c r="B71" s="483">
        <v>8820</v>
      </c>
      <c r="C71" s="531">
        <v>0</v>
      </c>
      <c r="D71" s="531">
        <v>0</v>
      </c>
      <c r="E71" s="477"/>
      <c r="F71" s="477"/>
      <c r="G71" s="477"/>
      <c r="H71" s="477"/>
      <c r="I71" s="477"/>
      <c r="J71" s="477"/>
      <c r="K71" s="477"/>
      <c r="L71" s="524"/>
    </row>
    <row r="72" spans="1:12" s="485" customFormat="1" ht="14.25" thickTop="1" thickBot="1" x14ac:dyDescent="0.25">
      <c r="A72" s="1510" t="s">
        <v>775</v>
      </c>
      <c r="B72" s="483">
        <v>8830</v>
      </c>
      <c r="C72" s="531">
        <v>0</v>
      </c>
      <c r="D72" s="531">
        <v>0</v>
      </c>
      <c r="E72" s="477"/>
      <c r="F72" s="477"/>
      <c r="G72" s="477"/>
      <c r="H72" s="477"/>
      <c r="I72" s="477"/>
      <c r="J72" s="477"/>
      <c r="K72" s="477"/>
      <c r="L72" s="524"/>
    </row>
    <row r="73" spans="1:12" s="485" customFormat="1" ht="14.25" thickTop="1" thickBot="1" x14ac:dyDescent="0.25">
      <c r="A73" s="1510" t="s">
        <v>776</v>
      </c>
      <c r="B73" s="483">
        <v>8840</v>
      </c>
      <c r="C73" s="531">
        <v>0</v>
      </c>
      <c r="D73" s="531">
        <v>0</v>
      </c>
      <c r="E73" s="477"/>
      <c r="F73" s="477"/>
      <c r="G73" s="477"/>
      <c r="H73" s="477"/>
      <c r="I73" s="477"/>
      <c r="J73" s="477"/>
      <c r="K73" s="480"/>
      <c r="L73" s="524"/>
    </row>
    <row r="74" spans="1:12" s="485" customFormat="1" ht="14.25" thickTop="1" thickBot="1" x14ac:dyDescent="0.25">
      <c r="A74" s="1510"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3"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0" t="s">
        <v>460</v>
      </c>
      <c r="B76" s="2131"/>
      <c r="C76" s="1720">
        <f t="shared" ref="C76:K76" si="7">SUM(C47:C75)</f>
        <v>0</v>
      </c>
      <c r="D76" s="1720">
        <f t="shared" si="7"/>
        <v>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132" t="s">
        <v>1239</v>
      </c>
      <c r="B77" s="2133"/>
      <c r="C77" s="1720">
        <f t="shared" ref="C77:K77" si="8">C44-C76</f>
        <v>0</v>
      </c>
      <c r="D77" s="1720">
        <f t="shared" si="8"/>
        <v>0</v>
      </c>
      <c r="E77" s="1720">
        <f t="shared" si="8"/>
        <v>0</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136" t="s">
        <v>618</v>
      </c>
      <c r="B78" s="2137"/>
      <c r="C78" s="1719">
        <f t="shared" ref="C78:K78" si="9">C20+C77</f>
        <v>353537</v>
      </c>
      <c r="D78" s="1719">
        <f t="shared" si="9"/>
        <v>3918</v>
      </c>
      <c r="E78" s="1719">
        <f t="shared" si="9"/>
        <v>2911</v>
      </c>
      <c r="F78" s="1719">
        <f t="shared" si="9"/>
        <v>13019</v>
      </c>
      <c r="G78" s="1719">
        <f t="shared" si="9"/>
        <v>-7661</v>
      </c>
      <c r="H78" s="1719">
        <f t="shared" si="9"/>
        <v>17747</v>
      </c>
      <c r="I78" s="1719">
        <f t="shared" si="9"/>
        <v>11554</v>
      </c>
      <c r="J78" s="1719">
        <f t="shared" si="9"/>
        <v>1915</v>
      </c>
      <c r="K78" s="1719">
        <f t="shared" si="9"/>
        <v>-360392</v>
      </c>
      <c r="L78" s="533"/>
    </row>
    <row r="79" spans="1:12" ht="13.5" thickTop="1" x14ac:dyDescent="0.2">
      <c r="A79" s="1514" t="s">
        <v>2072</v>
      </c>
      <c r="B79" s="534"/>
      <c r="C79" s="478">
        <v>570471</v>
      </c>
      <c r="D79" s="535">
        <v>27582</v>
      </c>
      <c r="E79" s="535">
        <v>13344</v>
      </c>
      <c r="F79" s="535">
        <v>36136</v>
      </c>
      <c r="G79" s="535">
        <v>21772</v>
      </c>
      <c r="H79" s="535">
        <v>99003</v>
      </c>
      <c r="I79" s="535">
        <v>334686</v>
      </c>
      <c r="J79" s="535">
        <v>126995</v>
      </c>
      <c r="K79" s="535">
        <v>470983</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5">
        <f>(SUM(C78:C80))</f>
        <v>924008</v>
      </c>
      <c r="D81" s="1705">
        <f>SUM(D78:D80)</f>
        <v>31500</v>
      </c>
      <c r="E81" s="1705">
        <f t="shared" ref="E81:K81" si="10">SUM(E78:E80)</f>
        <v>16255</v>
      </c>
      <c r="F81" s="1705">
        <f t="shared" si="10"/>
        <v>49155</v>
      </c>
      <c r="G81" s="1705">
        <f t="shared" si="10"/>
        <v>14111</v>
      </c>
      <c r="H81" s="1705">
        <f t="shared" si="10"/>
        <v>116750</v>
      </c>
      <c r="I81" s="1705">
        <f t="shared" si="10"/>
        <v>346240</v>
      </c>
      <c r="J81" s="1705">
        <f t="shared" si="10"/>
        <v>128910</v>
      </c>
      <c r="K81" s="1705">
        <f t="shared" si="10"/>
        <v>110591</v>
      </c>
      <c r="L81" s="347"/>
    </row>
    <row r="82" spans="1:12" ht="0.75" customHeight="1" thickTop="1" thickBot="1" x14ac:dyDescent="0.25">
      <c r="A82" s="536" t="s">
        <v>361</v>
      </c>
      <c r="B82" s="537"/>
      <c r="C82" s="538">
        <f>(C81-C79)</f>
        <v>353537</v>
      </c>
      <c r="D82" s="538">
        <f t="shared" ref="D82:K82" si="11">(D81-D79)</f>
        <v>3918</v>
      </c>
      <c r="E82" s="538">
        <f t="shared" si="11"/>
        <v>2911</v>
      </c>
      <c r="F82" s="538">
        <f t="shared" si="11"/>
        <v>13019</v>
      </c>
      <c r="G82" s="538">
        <f t="shared" si="11"/>
        <v>-7661</v>
      </c>
      <c r="H82" s="538">
        <f t="shared" si="11"/>
        <v>17747</v>
      </c>
      <c r="I82" s="538">
        <f t="shared" si="11"/>
        <v>11554</v>
      </c>
      <c r="J82" s="538">
        <f t="shared" si="11"/>
        <v>1915</v>
      </c>
      <c r="K82" s="538">
        <f t="shared" si="11"/>
        <v>-360392</v>
      </c>
    </row>
    <row r="83" spans="1:12" ht="14.25" hidden="1" thickTop="1" thickBot="1" x14ac:dyDescent="0.25">
      <c r="A83" s="539" t="s">
        <v>362</v>
      </c>
      <c r="B83" s="464"/>
      <c r="C83" s="540">
        <f>C82/C81</f>
        <v>0.38261248820356536</v>
      </c>
      <c r="D83" s="540">
        <f t="shared" ref="D83:K83" si="12">D82/D81</f>
        <v>0.12438095238095238</v>
      </c>
      <c r="E83" s="540">
        <f t="shared" si="12"/>
        <v>0.17908335896647185</v>
      </c>
      <c r="F83" s="540">
        <f t="shared" si="12"/>
        <v>0.26485606754145052</v>
      </c>
      <c r="G83" s="540">
        <f t="shared" si="12"/>
        <v>-0.5429097866912338</v>
      </c>
      <c r="H83" s="540">
        <f t="shared" si="12"/>
        <v>0.1520085653104925</v>
      </c>
      <c r="I83" s="540">
        <f t="shared" si="12"/>
        <v>3.3369916820702401E-2</v>
      </c>
      <c r="J83" s="540">
        <f t="shared" si="12"/>
        <v>1.4855325420836242E-2</v>
      </c>
      <c r="K83" s="540">
        <f t="shared" si="12"/>
        <v>-3.2587823602282282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389551</v>
      </c>
      <c r="D5" s="481">
        <v>97394</v>
      </c>
      <c r="E5" s="466">
        <v>119680</v>
      </c>
      <c r="F5" s="548">
        <v>46749</v>
      </c>
      <c r="G5" s="466">
        <v>54845</v>
      </c>
      <c r="H5" s="466">
        <v>0</v>
      </c>
      <c r="I5" s="466">
        <v>9739</v>
      </c>
      <c r="J5" s="467">
        <v>79774</v>
      </c>
      <c r="K5" s="466">
        <v>9740</v>
      </c>
    </row>
    <row r="6" spans="1:12" ht="15" x14ac:dyDescent="0.2">
      <c r="A6" s="463" t="s">
        <v>1761</v>
      </c>
      <c r="B6" s="470">
        <v>1130</v>
      </c>
      <c r="C6" s="466">
        <v>9894</v>
      </c>
      <c r="D6" s="466">
        <v>0</v>
      </c>
      <c r="E6" s="475"/>
      <c r="F6" s="475"/>
      <c r="G6" s="468"/>
      <c r="H6" s="468"/>
      <c r="I6" s="468"/>
      <c r="J6" s="468"/>
      <c r="K6" s="468"/>
    </row>
    <row r="7" spans="1:12" x14ac:dyDescent="0.2">
      <c r="A7" s="463" t="s">
        <v>112</v>
      </c>
      <c r="B7" s="549">
        <v>1140</v>
      </c>
      <c r="C7" s="466">
        <v>7791</v>
      </c>
      <c r="D7" s="466">
        <v>0</v>
      </c>
      <c r="E7" s="468"/>
      <c r="F7" s="467">
        <v>0</v>
      </c>
      <c r="G7" s="467">
        <v>0</v>
      </c>
      <c r="H7" s="467">
        <v>0</v>
      </c>
      <c r="I7" s="468"/>
      <c r="J7" s="468"/>
      <c r="K7" s="468"/>
    </row>
    <row r="8" spans="1:12" x14ac:dyDescent="0.2">
      <c r="A8" s="463" t="s">
        <v>433</v>
      </c>
      <c r="B8" s="470">
        <v>1150</v>
      </c>
      <c r="C8" s="475"/>
      <c r="D8" s="475"/>
      <c r="E8" s="477"/>
      <c r="F8" s="477"/>
      <c r="G8" s="481">
        <v>41874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2" t="s">
        <v>29</v>
      </c>
      <c r="B12" s="1723"/>
      <c r="C12" s="1724">
        <f t="shared" ref="C12:K12" si="0">SUM(C5:C11)</f>
        <v>407236</v>
      </c>
      <c r="D12" s="1724">
        <f t="shared" si="0"/>
        <v>97394</v>
      </c>
      <c r="E12" s="1724">
        <f t="shared" si="0"/>
        <v>119680</v>
      </c>
      <c r="F12" s="1724">
        <f t="shared" si="0"/>
        <v>46749</v>
      </c>
      <c r="G12" s="1724">
        <f t="shared" si="0"/>
        <v>96719</v>
      </c>
      <c r="H12" s="1724">
        <f t="shared" si="0"/>
        <v>0</v>
      </c>
      <c r="I12" s="1724">
        <f t="shared" si="0"/>
        <v>9739</v>
      </c>
      <c r="J12" s="1724">
        <f t="shared" si="0"/>
        <v>79774</v>
      </c>
      <c r="K12" s="1705">
        <f t="shared" si="0"/>
        <v>9740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4008</v>
      </c>
      <c r="D14" s="466">
        <v>959</v>
      </c>
      <c r="E14" s="466">
        <v>1178</v>
      </c>
      <c r="F14" s="466">
        <v>460</v>
      </c>
      <c r="G14" s="466">
        <v>952</v>
      </c>
      <c r="H14" s="466">
        <v>0</v>
      </c>
      <c r="I14" s="466">
        <v>96</v>
      </c>
      <c r="J14" s="467">
        <v>1040</v>
      </c>
      <c r="K14" s="466">
        <v>96</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41488</v>
      </c>
      <c r="D16" s="466">
        <v>0</v>
      </c>
      <c r="E16" s="466">
        <v>2500</v>
      </c>
      <c r="F16" s="466">
        <v>0</v>
      </c>
      <c r="G16" s="466">
        <v>2250</v>
      </c>
      <c r="H16" s="466">
        <v>0</v>
      </c>
      <c r="I16" s="466">
        <v>0</v>
      </c>
      <c r="J16" s="467">
        <v>0</v>
      </c>
      <c r="K16" s="466">
        <v>0</v>
      </c>
    </row>
    <row r="17" spans="1:11" ht="12.75" customHeight="1" x14ac:dyDescent="0.2">
      <c r="A17" s="463" t="s">
        <v>840</v>
      </c>
      <c r="B17" s="470">
        <v>1290</v>
      </c>
      <c r="C17" s="551">
        <v>449</v>
      </c>
      <c r="D17" s="466">
        <v>107</v>
      </c>
      <c r="E17" s="466">
        <v>132</v>
      </c>
      <c r="F17" s="466">
        <v>52</v>
      </c>
      <c r="G17" s="466">
        <v>107</v>
      </c>
      <c r="H17" s="466">
        <v>0</v>
      </c>
      <c r="I17" s="466">
        <v>11</v>
      </c>
      <c r="J17" s="467">
        <v>88</v>
      </c>
      <c r="K17" s="466">
        <v>11</v>
      </c>
    </row>
    <row r="18" spans="1:11" ht="12.75" customHeight="1" thickBot="1" x14ac:dyDescent="0.25">
      <c r="A18" s="1725" t="s">
        <v>558</v>
      </c>
      <c r="B18" s="1726"/>
      <c r="C18" s="1727">
        <f>SUM(C14:C17)</f>
        <v>45945</v>
      </c>
      <c r="D18" s="1727">
        <f t="shared" ref="D18:K18" si="1">SUM(D14:D17)</f>
        <v>1066</v>
      </c>
      <c r="E18" s="1727">
        <f t="shared" si="1"/>
        <v>3810</v>
      </c>
      <c r="F18" s="1727">
        <f t="shared" si="1"/>
        <v>512</v>
      </c>
      <c r="G18" s="1727">
        <f t="shared" si="1"/>
        <v>3309</v>
      </c>
      <c r="H18" s="1727">
        <f t="shared" si="1"/>
        <v>0</v>
      </c>
      <c r="I18" s="1727">
        <f t="shared" si="1"/>
        <v>107</v>
      </c>
      <c r="J18" s="1727">
        <f t="shared" si="1"/>
        <v>1128</v>
      </c>
      <c r="K18" s="1728">
        <f t="shared" si="1"/>
        <v>107</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5" t="s">
        <v>615</v>
      </c>
      <c r="B39" s="556">
        <v>1354</v>
      </c>
      <c r="C39" s="489">
        <v>0</v>
      </c>
      <c r="D39" s="468"/>
      <c r="E39" s="468"/>
      <c r="F39" s="468"/>
      <c r="G39" s="468"/>
      <c r="H39" s="468"/>
      <c r="I39" s="468"/>
      <c r="J39" s="468"/>
      <c r="K39" s="468"/>
    </row>
    <row r="40" spans="1:11" ht="12.75" customHeight="1" thickBot="1" x14ac:dyDescent="0.25">
      <c r="A40" s="1725" t="s">
        <v>559</v>
      </c>
      <c r="B40" s="1726"/>
      <c r="C40" s="1705">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1168</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1169</v>
      </c>
      <c r="B56" s="557">
        <v>1442</v>
      </c>
      <c r="C56" s="468"/>
      <c r="D56" s="468"/>
      <c r="E56" s="468"/>
      <c r="F56" s="466">
        <v>0</v>
      </c>
      <c r="G56" s="468"/>
      <c r="H56" s="468"/>
      <c r="I56" s="468"/>
      <c r="J56" s="468"/>
      <c r="K56" s="468"/>
    </row>
    <row r="57" spans="1:11" ht="12.75" customHeight="1" x14ac:dyDescent="0.2">
      <c r="A57" s="1516" t="s">
        <v>510</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933</v>
      </c>
      <c r="B59" s="557">
        <v>1451</v>
      </c>
      <c r="C59" s="468"/>
      <c r="D59" s="468"/>
      <c r="E59" s="468"/>
      <c r="F59" s="466">
        <v>0</v>
      </c>
      <c r="G59" s="468"/>
      <c r="H59" s="468"/>
      <c r="I59" s="468"/>
      <c r="J59" s="468"/>
      <c r="K59" s="468"/>
    </row>
    <row r="60" spans="1:11" ht="12.75" customHeight="1" x14ac:dyDescent="0.2">
      <c r="A60" s="1516"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7" t="s">
        <v>935</v>
      </c>
      <c r="B62" s="558">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2941</v>
      </c>
      <c r="D65" s="466">
        <v>179</v>
      </c>
      <c r="E65" s="466">
        <v>110</v>
      </c>
      <c r="F65" s="467">
        <v>81</v>
      </c>
      <c r="G65" s="466">
        <v>153</v>
      </c>
      <c r="H65" s="466">
        <v>430</v>
      </c>
      <c r="I65" s="466">
        <v>1708</v>
      </c>
      <c r="J65" s="467">
        <v>285</v>
      </c>
      <c r="K65" s="466">
        <v>588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2941</v>
      </c>
      <c r="D67" s="1705">
        <f t="shared" ref="D67:K67" si="2">SUM(D65:D66)</f>
        <v>179</v>
      </c>
      <c r="E67" s="1705">
        <f t="shared" si="2"/>
        <v>110</v>
      </c>
      <c r="F67" s="1705">
        <f t="shared" si="2"/>
        <v>81</v>
      </c>
      <c r="G67" s="1705">
        <f t="shared" si="2"/>
        <v>153</v>
      </c>
      <c r="H67" s="1705">
        <f t="shared" si="2"/>
        <v>430</v>
      </c>
      <c r="I67" s="1705">
        <f t="shared" si="2"/>
        <v>1708</v>
      </c>
      <c r="J67" s="1705">
        <f t="shared" si="2"/>
        <v>285</v>
      </c>
      <c r="K67" s="1705">
        <f t="shared" si="2"/>
        <v>588</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3441</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5" t="s">
        <v>569</v>
      </c>
      <c r="B75" s="1726"/>
      <c r="C75" s="1705">
        <f>SUM(C69:C74)</f>
        <v>3441</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13541</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654</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5" t="s">
        <v>259</v>
      </c>
      <c r="B82" s="1726"/>
      <c r="C82" s="1724">
        <f>SUM(C77:C81)</f>
        <v>14195</v>
      </c>
      <c r="D82" s="1705">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6290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5" t="s">
        <v>261</v>
      </c>
      <c r="B93" s="1726"/>
      <c r="C93" s="1705">
        <f>SUM(C84:C92)</f>
        <v>6290</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v>0</v>
      </c>
      <c r="D95" s="551">
        <v>300</v>
      </c>
      <c r="E95" s="521"/>
      <c r="F95" s="521"/>
      <c r="G95" s="521"/>
      <c r="H95" s="521"/>
      <c r="I95" s="521"/>
      <c r="J95" s="521"/>
      <c r="K95" s="521"/>
    </row>
    <row r="96" spans="1:11" ht="12.75" customHeight="1" x14ac:dyDescent="0.2">
      <c r="A96" s="463" t="s">
        <v>409</v>
      </c>
      <c r="B96" s="470">
        <v>1920</v>
      </c>
      <c r="C96" s="551">
        <v>10739</v>
      </c>
      <c r="D96" s="551">
        <v>0</v>
      </c>
      <c r="E96" s="479">
        <v>0</v>
      </c>
      <c r="F96" s="478">
        <v>0</v>
      </c>
      <c r="G96" s="478">
        <v>0</v>
      </c>
      <c r="H96" s="478">
        <v>0</v>
      </c>
      <c r="I96" s="478">
        <v>0</v>
      </c>
      <c r="J96" s="478">
        <v>0</v>
      </c>
      <c r="K96" s="478">
        <v>0</v>
      </c>
    </row>
    <row r="97" spans="1:12" ht="12.75" customHeight="1" x14ac:dyDescent="0.2">
      <c r="A97" s="1515"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11760</v>
      </c>
      <c r="D99" s="466">
        <v>10648</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900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93417</v>
      </c>
      <c r="F103" s="468"/>
      <c r="G103" s="468"/>
      <c r="H103" s="489">
        <v>27260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98</v>
      </c>
      <c r="D107" s="466">
        <v>0</v>
      </c>
      <c r="E107" s="466">
        <v>0</v>
      </c>
      <c r="F107" s="466">
        <v>0</v>
      </c>
      <c r="G107" s="466">
        <v>0</v>
      </c>
      <c r="H107" s="466">
        <v>0</v>
      </c>
      <c r="I107" s="466">
        <v>0</v>
      </c>
      <c r="J107" s="467">
        <v>0</v>
      </c>
      <c r="K107" s="466">
        <v>0</v>
      </c>
    </row>
    <row r="108" spans="1:12" ht="12.75" customHeight="1" thickBot="1" x14ac:dyDescent="0.25">
      <c r="A108" s="1725" t="s">
        <v>508</v>
      </c>
      <c r="B108" s="1729"/>
      <c r="C108" s="1724">
        <f>SUM(C95:C107)</f>
        <v>23497</v>
      </c>
      <c r="D108" s="1724">
        <f t="shared" ref="D108:K108" si="3">SUM(D95:D107)</f>
        <v>10948</v>
      </c>
      <c r="E108" s="1724">
        <f t="shared" si="3"/>
        <v>93417</v>
      </c>
      <c r="F108" s="1724">
        <f t="shared" si="3"/>
        <v>0</v>
      </c>
      <c r="G108" s="1724">
        <f t="shared" si="3"/>
        <v>0</v>
      </c>
      <c r="H108" s="1724">
        <f t="shared" si="3"/>
        <v>27260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503545</v>
      </c>
      <c r="D109" s="1732">
        <f t="shared" si="4"/>
        <v>109587</v>
      </c>
      <c r="E109" s="1732">
        <f t="shared" si="4"/>
        <v>217017</v>
      </c>
      <c r="F109" s="1732">
        <f t="shared" si="4"/>
        <v>47342</v>
      </c>
      <c r="G109" s="1732">
        <f t="shared" si="4"/>
        <v>100181</v>
      </c>
      <c r="H109" s="1732">
        <f t="shared" si="4"/>
        <v>27690</v>
      </c>
      <c r="I109" s="1732">
        <f t="shared" si="4"/>
        <v>11554</v>
      </c>
      <c r="J109" s="1732">
        <f t="shared" si="4"/>
        <v>81187</v>
      </c>
      <c r="K109" s="1719">
        <f t="shared" si="4"/>
        <v>10435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19478</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3" t="s">
        <v>839</v>
      </c>
      <c r="B114" s="1734" t="s">
        <v>590</v>
      </c>
      <c r="C114" s="1735">
        <f>SUM(C111:C113)</f>
        <v>19478</v>
      </c>
      <c r="D114" s="1735">
        <f>SUM(D111:D113)</f>
        <v>0</v>
      </c>
      <c r="E114" s="561" t="s">
        <v>1231</v>
      </c>
      <c r="F114" s="1735">
        <f>SUM(F111:F113)</f>
        <v>0</v>
      </c>
      <c r="G114" s="1735">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1658971</v>
      </c>
      <c r="D117" s="481">
        <v>0</v>
      </c>
      <c r="E117" s="466">
        <v>0</v>
      </c>
      <c r="F117" s="481">
        <v>15000</v>
      </c>
      <c r="G117" s="481">
        <v>0</v>
      </c>
      <c r="H117" s="466">
        <v>0</v>
      </c>
      <c r="I117" s="468"/>
      <c r="J117" s="467">
        <v>0</v>
      </c>
      <c r="K117" s="466">
        <v>0</v>
      </c>
    </row>
    <row r="118" spans="1:11" ht="12.75" customHeight="1" x14ac:dyDescent="0.2">
      <c r="A118" s="463" t="s">
        <v>1901</v>
      </c>
      <c r="B118" s="562">
        <v>3002</v>
      </c>
      <c r="C118" s="551">
        <v>0</v>
      </c>
      <c r="D118" s="466">
        <v>0</v>
      </c>
      <c r="E118" s="466">
        <v>0</v>
      </c>
      <c r="F118" s="466">
        <v>0</v>
      </c>
      <c r="G118" s="466">
        <v>0</v>
      </c>
      <c r="H118" s="466">
        <v>0</v>
      </c>
      <c r="I118" s="468"/>
      <c r="J118" s="467">
        <v>0</v>
      </c>
      <c r="K118" s="466">
        <v>0</v>
      </c>
    </row>
    <row r="119" spans="1:11" ht="12.75" customHeight="1" x14ac:dyDescent="0.2">
      <c r="A119" s="463" t="s">
        <v>1902</v>
      </c>
      <c r="B119" s="562">
        <v>3005</v>
      </c>
      <c r="C119" s="551">
        <v>0</v>
      </c>
      <c r="D119" s="466">
        <v>0</v>
      </c>
      <c r="E119" s="466">
        <v>0</v>
      </c>
      <c r="F119" s="466">
        <v>0</v>
      </c>
      <c r="G119" s="466">
        <v>0</v>
      </c>
      <c r="H119" s="466">
        <v>0</v>
      </c>
      <c r="I119" s="468"/>
      <c r="J119" s="467">
        <v>0</v>
      </c>
      <c r="K119" s="466">
        <v>0</v>
      </c>
    </row>
    <row r="120" spans="1:11" x14ac:dyDescent="0.2">
      <c r="A120" s="1516" t="s">
        <v>1903</v>
      </c>
      <c r="B120" s="564">
        <v>3099</v>
      </c>
      <c r="C120" s="551">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1658971</v>
      </c>
      <c r="D121" s="1724">
        <f t="shared" si="5"/>
        <v>0</v>
      </c>
      <c r="E121" s="1724">
        <f t="shared" si="5"/>
        <v>0</v>
      </c>
      <c r="F121" s="1724">
        <f t="shared" si="5"/>
        <v>15000</v>
      </c>
      <c r="G121" s="1724">
        <f t="shared" si="5"/>
        <v>0</v>
      </c>
      <c r="H121" s="1724">
        <f t="shared" si="5"/>
        <v>0</v>
      </c>
      <c r="I121" s="468"/>
      <c r="J121" s="1724">
        <f>SUM(J117:J120)</f>
        <v>0</v>
      </c>
      <c r="K121" s="1705">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21720</v>
      </c>
      <c r="D125" s="561"/>
      <c r="E125" s="468"/>
      <c r="F125" s="466">
        <v>0</v>
      </c>
      <c r="G125" s="468"/>
      <c r="H125" s="468"/>
      <c r="I125" s="468"/>
      <c r="J125" s="468"/>
      <c r="K125" s="468"/>
    </row>
    <row r="126" spans="1:11" ht="12.75" customHeight="1" x14ac:dyDescent="0.2">
      <c r="A126" s="463" t="s">
        <v>922</v>
      </c>
      <c r="B126" s="562">
        <v>3110</v>
      </c>
      <c r="C126" s="551">
        <v>16041</v>
      </c>
      <c r="D126" s="466">
        <v>0</v>
      </c>
      <c r="E126" s="468"/>
      <c r="F126" s="466">
        <v>0</v>
      </c>
      <c r="G126" s="468"/>
      <c r="H126" s="468"/>
      <c r="I126" s="468"/>
      <c r="J126" s="468"/>
      <c r="K126" s="468"/>
    </row>
    <row r="127" spans="1:11" ht="12.75" customHeight="1" x14ac:dyDescent="0.2">
      <c r="A127" s="463" t="s">
        <v>107</v>
      </c>
      <c r="B127" s="562">
        <v>3120</v>
      </c>
      <c r="C127" s="466">
        <v>6849</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5" t="s">
        <v>1092</v>
      </c>
      <c r="B131" s="1737"/>
      <c r="C131" s="1724">
        <f>SUM(C124:C130)</f>
        <v>44610</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1737</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5" t="s">
        <v>624</v>
      </c>
      <c r="B140" s="1737"/>
      <c r="C140" s="1724">
        <f>SUM(C133:C139)</f>
        <v>1737</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5" t="s">
        <v>414</v>
      </c>
      <c r="B144" s="1737"/>
      <c r="C144" s="1705">
        <f>SUM(C142:C143)</f>
        <v>0</v>
      </c>
      <c r="D144" s="468"/>
      <c r="E144" s="509"/>
      <c r="F144" s="468"/>
      <c r="G144" s="1738">
        <f>SUM(G142:G143)</f>
        <v>0</v>
      </c>
      <c r="H144" s="468"/>
      <c r="I144" s="468"/>
      <c r="J144" s="468"/>
      <c r="K144" s="468"/>
    </row>
    <row r="145" spans="1:11" s="202" customFormat="1" ht="12.75" customHeight="1" thickTop="1" x14ac:dyDescent="0.2">
      <c r="A145" s="1518" t="s">
        <v>1116</v>
      </c>
      <c r="B145" s="568">
        <v>3360</v>
      </c>
      <c r="C145" s="569">
        <v>2671</v>
      </c>
      <c r="D145" s="570"/>
      <c r="E145" s="509"/>
      <c r="F145" s="468"/>
      <c r="G145" s="571"/>
      <c r="H145" s="468"/>
      <c r="I145" s="468"/>
      <c r="J145" s="468"/>
      <c r="K145" s="468"/>
    </row>
    <row r="146" spans="1:11" ht="12.75" customHeight="1" thickBot="1" x14ac:dyDescent="0.25">
      <c r="A146" s="1519" t="s">
        <v>979</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7317</v>
      </c>
      <c r="D147" s="573">
        <v>0</v>
      </c>
      <c r="E147" s="509"/>
      <c r="F147" s="468"/>
      <c r="G147" s="468"/>
      <c r="H147" s="468"/>
      <c r="I147" s="468"/>
      <c r="J147" s="468"/>
      <c r="K147" s="468"/>
    </row>
    <row r="148" spans="1:11" ht="12.75" customHeight="1" thickTop="1" thickBot="1" x14ac:dyDescent="0.25">
      <c r="A148" s="1520"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69187</v>
      </c>
      <c r="G151" s="467">
        <v>0</v>
      </c>
      <c r="H151" s="468"/>
      <c r="I151" s="468"/>
      <c r="J151" s="468"/>
      <c r="K151" s="468"/>
    </row>
    <row r="152" spans="1:11" ht="12.75" customHeight="1" x14ac:dyDescent="0.2">
      <c r="A152" s="463" t="s">
        <v>1117</v>
      </c>
      <c r="B152" s="562">
        <v>3510</v>
      </c>
      <c r="C152" s="551">
        <v>0</v>
      </c>
      <c r="D152" s="466">
        <v>0</v>
      </c>
      <c r="E152" s="561"/>
      <c r="F152" s="466">
        <v>16998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5" t="s">
        <v>96</v>
      </c>
      <c r="B154" s="1737"/>
      <c r="C154" s="1724">
        <f>SUM(C151:C153)</f>
        <v>0</v>
      </c>
      <c r="D154" s="1724">
        <f>SUM(D151:D153)</f>
        <v>0</v>
      </c>
      <c r="E154" s="561"/>
      <c r="F154" s="1724">
        <f>SUM(F151:F153)</f>
        <v>86185</v>
      </c>
      <c r="G154" s="1724">
        <f>SUM(G151:G153)</f>
        <v>0</v>
      </c>
      <c r="H154" s="468"/>
      <c r="I154" s="468"/>
      <c r="J154" s="468"/>
      <c r="K154" s="468"/>
    </row>
    <row r="155" spans="1:11" ht="12.75" customHeight="1" thickTop="1" thickBot="1" x14ac:dyDescent="0.25">
      <c r="A155" s="1520" t="s">
        <v>398</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1057</v>
      </c>
      <c r="B157" s="574">
        <v>3695</v>
      </c>
      <c r="C157" s="576">
        <v>0</v>
      </c>
      <c r="D157" s="468"/>
      <c r="E157" s="561"/>
      <c r="F157" s="576">
        <v>0</v>
      </c>
      <c r="G157" s="576">
        <v>0</v>
      </c>
      <c r="H157" s="468"/>
      <c r="I157" s="468"/>
      <c r="J157" s="468"/>
      <c r="K157" s="468"/>
    </row>
    <row r="158" spans="1:11" ht="12.75" customHeight="1" thickTop="1" thickBot="1" x14ac:dyDescent="0.25">
      <c r="A158" s="1520" t="s">
        <v>1111</v>
      </c>
      <c r="B158" s="574">
        <v>3705</v>
      </c>
      <c r="C158" s="576">
        <v>0</v>
      </c>
      <c r="D158" s="578">
        <v>0</v>
      </c>
      <c r="E158" s="561"/>
      <c r="F158" s="576">
        <v>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415</v>
      </c>
      <c r="B161" s="574">
        <v>3725</v>
      </c>
      <c r="C161" s="531">
        <v>0</v>
      </c>
      <c r="D161" s="468"/>
      <c r="E161" s="561"/>
      <c r="F161" s="531">
        <v>0</v>
      </c>
      <c r="G161" s="531">
        <v>0</v>
      </c>
      <c r="H161" s="468"/>
      <c r="I161" s="468"/>
      <c r="J161" s="468"/>
      <c r="K161" s="468"/>
    </row>
    <row r="162" spans="1:11" ht="12.75" customHeight="1" thickTop="1" thickBot="1" x14ac:dyDescent="0.25">
      <c r="A162" s="1520" t="s">
        <v>416</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1042</v>
      </c>
      <c r="B164" s="574">
        <v>3767</v>
      </c>
      <c r="C164" s="576">
        <v>0</v>
      </c>
      <c r="D164" s="531">
        <v>0</v>
      </c>
      <c r="E164" s="561"/>
      <c r="F164" s="531">
        <v>0</v>
      </c>
      <c r="G164" s="531">
        <v>0</v>
      </c>
      <c r="H164" s="468"/>
      <c r="I164" s="468"/>
      <c r="J164" s="468"/>
      <c r="K164" s="468"/>
    </row>
    <row r="165" spans="1:11" ht="12.75" customHeight="1" thickTop="1" thickBot="1" x14ac:dyDescent="0.25">
      <c r="A165" s="1520"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913</v>
      </c>
      <c r="B167" s="574">
        <v>3815</v>
      </c>
      <c r="C167" s="576">
        <v>0</v>
      </c>
      <c r="D167" s="468"/>
      <c r="E167" s="561"/>
      <c r="F167" s="576">
        <v>0</v>
      </c>
      <c r="G167" s="468"/>
      <c r="H167" s="468"/>
      <c r="I167" s="468"/>
      <c r="J167" s="468"/>
      <c r="K167" s="468"/>
    </row>
    <row r="168" spans="1:11" ht="12.75" customHeight="1" thickTop="1" thickBot="1" x14ac:dyDescent="0.25">
      <c r="A168" s="1520" t="s">
        <v>417</v>
      </c>
      <c r="B168" s="574">
        <v>3825</v>
      </c>
      <c r="C168" s="576">
        <v>0</v>
      </c>
      <c r="D168" s="468"/>
      <c r="E168" s="561"/>
      <c r="F168" s="576">
        <v>0</v>
      </c>
      <c r="G168" s="468"/>
      <c r="H168" s="468"/>
      <c r="I168" s="468"/>
      <c r="J168" s="468"/>
      <c r="K168" s="468"/>
    </row>
    <row r="169" spans="1:11" ht="12.75" customHeight="1" thickTop="1" thickBot="1" x14ac:dyDescent="0.25">
      <c r="A169" s="1520" t="s">
        <v>366</v>
      </c>
      <c r="B169" s="574">
        <v>3920</v>
      </c>
      <c r="C169" s="566"/>
      <c r="D169" s="578">
        <v>0</v>
      </c>
      <c r="E169" s="468"/>
      <c r="F169" s="566"/>
      <c r="G169" s="468"/>
      <c r="H169" s="530">
        <v>0</v>
      </c>
      <c r="I169" s="468"/>
      <c r="J169" s="468"/>
      <c r="K169" s="468"/>
    </row>
    <row r="170" spans="1:11" ht="12.75" customHeight="1" thickTop="1" thickBot="1" x14ac:dyDescent="0.25">
      <c r="A170" s="1520" t="s">
        <v>367</v>
      </c>
      <c r="B170" s="574">
        <v>3925</v>
      </c>
      <c r="C170" s="521"/>
      <c r="D170" s="576">
        <v>0</v>
      </c>
      <c r="E170" s="521"/>
      <c r="F170" s="521"/>
      <c r="G170" s="468"/>
      <c r="H170" s="531">
        <v>0</v>
      </c>
      <c r="I170" s="468"/>
      <c r="J170" s="468"/>
      <c r="K170" s="530">
        <v>0</v>
      </c>
    </row>
    <row r="171" spans="1:11" ht="14.25" thickTop="1" thickBot="1" x14ac:dyDescent="0.25">
      <c r="A171" s="1520"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58" t="s">
        <v>418</v>
      </c>
      <c r="B172" s="2159"/>
      <c r="C172" s="1739">
        <f t="shared" ref="C172:K172" si="6">SUM(C131,C140,C144,C145:C149,C154,C155:C170,C171)</f>
        <v>57835</v>
      </c>
      <c r="D172" s="1739">
        <f t="shared" si="6"/>
        <v>0</v>
      </c>
      <c r="E172" s="1739">
        <f t="shared" si="6"/>
        <v>0</v>
      </c>
      <c r="F172" s="1739">
        <f t="shared" si="6"/>
        <v>86185</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1716806</v>
      </c>
      <c r="D173" s="1732">
        <f>SUM(D121,D172)</f>
        <v>0</v>
      </c>
      <c r="E173" s="1732">
        <f>SUM(E121,E172)</f>
        <v>0</v>
      </c>
      <c r="F173" s="1732">
        <f t="shared" ref="F173:K173" si="7">SUM(F121,F172)</f>
        <v>101185</v>
      </c>
      <c r="G173" s="1732">
        <f t="shared" si="7"/>
        <v>0</v>
      </c>
      <c r="H173" s="1732">
        <f t="shared" si="7"/>
        <v>0</v>
      </c>
      <c r="I173" s="1732">
        <f t="shared" si="7"/>
        <v>0</v>
      </c>
      <c r="J173" s="1732">
        <f t="shared" si="7"/>
        <v>0</v>
      </c>
      <c r="K173" s="1719">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4" t="s">
        <v>1764</v>
      </c>
      <c r="B178" s="2165"/>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6" t="s">
        <v>818</v>
      </c>
      <c r="B184" s="2167"/>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2" t="s">
        <v>1905</v>
      </c>
      <c r="B185" s="2163"/>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19263</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5" t="s">
        <v>1697</v>
      </c>
      <c r="B191" s="1726"/>
      <c r="C191" s="1724">
        <f>SUM(C187:C190)</f>
        <v>19263</v>
      </c>
      <c r="D191" s="1724">
        <f>SUM(D187:D190)</f>
        <v>0</v>
      </c>
      <c r="E191" s="561"/>
      <c r="F191" s="1724">
        <f>SUM(F187:F190)</f>
        <v>0</v>
      </c>
      <c r="G191" s="1724">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118988</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35427</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5" t="s">
        <v>569</v>
      </c>
      <c r="B201" s="1726"/>
      <c r="C201" s="1705">
        <f>SUM(C193:C200)</f>
        <v>154415</v>
      </c>
      <c r="D201" s="468"/>
      <c r="E201" s="468"/>
      <c r="F201" s="468"/>
      <c r="G201" s="1705">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98669</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5" t="s">
        <v>420</v>
      </c>
      <c r="B211" s="1726"/>
      <c r="C211" s="1724">
        <f>SUM(C203:C210)</f>
        <v>98669</v>
      </c>
      <c r="D211" s="1724">
        <f>SUM(D203:D210)</f>
        <v>0</v>
      </c>
      <c r="E211" s="468"/>
      <c r="F211" s="1724">
        <f>SUM(F203:F210)</f>
        <v>0</v>
      </c>
      <c r="G211" s="1724">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0</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5" t="s">
        <v>467</v>
      </c>
      <c r="B224" s="1726"/>
      <c r="C224" s="1724">
        <f>SUM(C218:C223)</f>
        <v>0</v>
      </c>
      <c r="D224" s="1724">
        <f>SUM(D218:D223)</f>
        <v>0</v>
      </c>
      <c r="E224" s="468"/>
      <c r="F224" s="1724">
        <f>SUM(F218:F223)</f>
        <v>0</v>
      </c>
      <c r="G224" s="1724">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c r="H226" s="468"/>
      <c r="I226" s="468"/>
      <c r="J226" s="468"/>
      <c r="K226" s="468"/>
    </row>
    <row r="227" spans="1:11" ht="12.75" customHeight="1" x14ac:dyDescent="0.2">
      <c r="A227" s="463" t="s">
        <v>69</v>
      </c>
      <c r="B227" s="470">
        <v>4799</v>
      </c>
      <c r="C227" s="551">
        <v>19168</v>
      </c>
      <c r="D227" s="466">
        <v>0</v>
      </c>
      <c r="E227" s="468"/>
      <c r="F227" s="468"/>
      <c r="G227" s="466"/>
      <c r="H227" s="468"/>
      <c r="I227" s="468"/>
      <c r="J227" s="468"/>
      <c r="K227" s="468"/>
    </row>
    <row r="228" spans="1:11" ht="12.75" customHeight="1" thickBot="1" x14ac:dyDescent="0.25">
      <c r="A228" s="1740" t="s">
        <v>1145</v>
      </c>
      <c r="B228" s="1741"/>
      <c r="C228" s="1724">
        <f>SUM(C226:C227)</f>
        <v>19168</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2" t="s">
        <v>1493</v>
      </c>
      <c r="B260" s="588">
        <v>4901</v>
      </c>
      <c r="C260" s="589">
        <v>0</v>
      </c>
      <c r="D260" s="469"/>
      <c r="E260" s="468"/>
      <c r="F260" s="468"/>
      <c r="G260" s="468"/>
      <c r="H260" s="468"/>
      <c r="I260" s="468"/>
      <c r="J260" s="468"/>
      <c r="K260" s="468"/>
    </row>
    <row r="261" spans="1:11" ht="12.75" customHeight="1" thickTop="1" thickBot="1" x14ac:dyDescent="0.25">
      <c r="A261" s="1523"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5550</v>
      </c>
      <c r="D270" s="576">
        <v>0</v>
      </c>
      <c r="E270" s="468"/>
      <c r="F270" s="576">
        <v>0</v>
      </c>
      <c r="G270" s="576">
        <v>0</v>
      </c>
      <c r="H270" s="468"/>
      <c r="I270" s="468"/>
      <c r="J270" s="468"/>
      <c r="K270" s="468"/>
    </row>
    <row r="271" spans="1:11" ht="12.75" customHeight="1" thickTop="1" thickBot="1" x14ac:dyDescent="0.25">
      <c r="A271" s="463" t="s">
        <v>395</v>
      </c>
      <c r="B271" s="470">
        <v>4992</v>
      </c>
      <c r="C271" s="575">
        <v>647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5" t="s">
        <v>1765</v>
      </c>
      <c r="B273" s="1744"/>
      <c r="C273" s="1732">
        <f t="shared" ref="C273:H273" si="10">SUM(C191,C201,C211,C216,C224,C228,C229,C259:C272)</f>
        <v>297712</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297712</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2537541</v>
      </c>
      <c r="D275" s="1732">
        <f t="shared" si="12"/>
        <v>109587</v>
      </c>
      <c r="E275" s="1732">
        <f t="shared" si="12"/>
        <v>217017</v>
      </c>
      <c r="F275" s="1732">
        <f t="shared" si="12"/>
        <v>148527</v>
      </c>
      <c r="G275" s="1732">
        <f t="shared" si="12"/>
        <v>100181</v>
      </c>
      <c r="H275" s="1732">
        <f t="shared" si="12"/>
        <v>27690</v>
      </c>
      <c r="I275" s="1732">
        <f t="shared" si="12"/>
        <v>11554</v>
      </c>
      <c r="J275" s="1732">
        <f t="shared" si="12"/>
        <v>81187</v>
      </c>
      <c r="K275" s="1719">
        <f t="shared" si="12"/>
        <v>10435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FOR THE YEAR ENDING JUNE 30, 2018&amp;R&amp;"Calibri,Regular"&amp;8Page &amp;P</oddHeader>
    <oddFooter>&amp;L&amp;"Calibri,Regular"&amp;8Printed Date: &amp;D
&amp;F&amp;C&amp;"Calibri,Regular"&amp;8The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75" zoomScaleNormal="75" zoomScaleSheetLayoutView="75" workbookViewId="0">
      <pane ySplit="2" topLeftCell="A6" activePane="bottomLeft" state="frozen"/>
      <selection activeCell="A47" sqref="A47"/>
      <selection pane="bottomLeft" activeCell="E63" sqref="E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764586</v>
      </c>
      <c r="D5" s="466">
        <v>125418</v>
      </c>
      <c r="E5" s="466">
        <v>54841</v>
      </c>
      <c r="F5" s="466">
        <v>65679</v>
      </c>
      <c r="G5" s="466">
        <v>27626</v>
      </c>
      <c r="H5" s="466">
        <v>6574</v>
      </c>
      <c r="I5" s="467">
        <v>0</v>
      </c>
      <c r="J5" s="467">
        <v>0</v>
      </c>
      <c r="K5" s="1688">
        <f>SUM(C5:J5)</f>
        <v>1044724</v>
      </c>
      <c r="L5" s="466">
        <v>1061331</v>
      </c>
    </row>
    <row r="6" spans="1:14" x14ac:dyDescent="0.2">
      <c r="A6" s="1524" t="s">
        <v>1508</v>
      </c>
      <c r="B6" s="615" t="s">
        <v>1506</v>
      </c>
      <c r="C6" s="477"/>
      <c r="D6" s="477"/>
      <c r="E6" s="466">
        <v>0</v>
      </c>
      <c r="F6" s="477"/>
      <c r="G6" s="477"/>
      <c r="H6" s="477"/>
      <c r="I6" s="477"/>
      <c r="J6" s="477"/>
      <c r="K6" s="1688">
        <f>SUM(C6,E6)</f>
        <v>0</v>
      </c>
      <c r="L6" s="466">
        <v>0</v>
      </c>
    </row>
    <row r="7" spans="1:14" x14ac:dyDescent="0.2">
      <c r="A7" s="1524" t="s">
        <v>165</v>
      </c>
      <c r="B7" s="615" t="s">
        <v>1024</v>
      </c>
      <c r="C7" s="467">
        <v>0</v>
      </c>
      <c r="D7" s="467">
        <v>0</v>
      </c>
      <c r="E7" s="467">
        <v>0</v>
      </c>
      <c r="F7" s="467">
        <v>0</v>
      </c>
      <c r="G7" s="467">
        <v>0</v>
      </c>
      <c r="H7" s="467">
        <v>0</v>
      </c>
      <c r="I7" s="467">
        <v>0</v>
      </c>
      <c r="J7" s="467">
        <v>0</v>
      </c>
      <c r="K7" s="1688">
        <f t="shared" ref="K7:K32" si="0">SUM(C7:J7)</f>
        <v>0</v>
      </c>
      <c r="L7" s="466">
        <v>0</v>
      </c>
    </row>
    <row r="8" spans="1:14" x14ac:dyDescent="0.2">
      <c r="A8" s="1524" t="s">
        <v>166</v>
      </c>
      <c r="B8" s="615">
        <v>1200</v>
      </c>
      <c r="C8" s="466">
        <v>167535</v>
      </c>
      <c r="D8" s="466">
        <v>16240</v>
      </c>
      <c r="E8" s="466">
        <v>529</v>
      </c>
      <c r="F8" s="466">
        <v>1983</v>
      </c>
      <c r="G8" s="466">
        <v>0</v>
      </c>
      <c r="H8" s="466">
        <v>0</v>
      </c>
      <c r="I8" s="467">
        <v>0</v>
      </c>
      <c r="J8" s="467">
        <v>0</v>
      </c>
      <c r="K8" s="1688">
        <f t="shared" si="0"/>
        <v>186287</v>
      </c>
      <c r="L8" s="466">
        <v>183198</v>
      </c>
    </row>
    <row r="9" spans="1:14" x14ac:dyDescent="0.2">
      <c r="A9" s="1524" t="s">
        <v>745</v>
      </c>
      <c r="B9" s="615" t="s">
        <v>1025</v>
      </c>
      <c r="C9" s="467">
        <v>0</v>
      </c>
      <c r="D9" s="467">
        <v>0</v>
      </c>
      <c r="E9" s="467">
        <v>0</v>
      </c>
      <c r="F9" s="467">
        <v>0</v>
      </c>
      <c r="G9" s="467">
        <v>0</v>
      </c>
      <c r="H9" s="467">
        <v>0</v>
      </c>
      <c r="I9" s="467">
        <v>0</v>
      </c>
      <c r="J9" s="467">
        <v>0</v>
      </c>
      <c r="K9" s="1688">
        <f t="shared" si="0"/>
        <v>0</v>
      </c>
      <c r="L9" s="466">
        <v>0</v>
      </c>
    </row>
    <row r="10" spans="1:14" x14ac:dyDescent="0.2">
      <c r="A10" s="1524" t="s">
        <v>746</v>
      </c>
      <c r="B10" s="615">
        <v>1250</v>
      </c>
      <c r="C10" s="466">
        <v>46341</v>
      </c>
      <c r="D10" s="466">
        <v>0</v>
      </c>
      <c r="E10" s="466">
        <v>0</v>
      </c>
      <c r="F10" s="466">
        <v>0</v>
      </c>
      <c r="G10" s="466">
        <v>0</v>
      </c>
      <c r="H10" s="466">
        <v>0</v>
      </c>
      <c r="I10" s="467">
        <v>0</v>
      </c>
      <c r="J10" s="467">
        <v>0</v>
      </c>
      <c r="K10" s="1688">
        <f t="shared" si="0"/>
        <v>46341</v>
      </c>
      <c r="L10" s="466">
        <v>46086</v>
      </c>
    </row>
    <row r="11" spans="1:14" x14ac:dyDescent="0.2">
      <c r="A11" s="1524" t="s">
        <v>1192</v>
      </c>
      <c r="B11" s="615" t="s">
        <v>163</v>
      </c>
      <c r="C11" s="467">
        <v>0</v>
      </c>
      <c r="D11" s="467">
        <v>0</v>
      </c>
      <c r="E11" s="467">
        <v>0</v>
      </c>
      <c r="F11" s="467">
        <v>0</v>
      </c>
      <c r="G11" s="467">
        <v>0</v>
      </c>
      <c r="H11" s="467">
        <v>0</v>
      </c>
      <c r="I11" s="467">
        <v>0</v>
      </c>
      <c r="J11" s="467">
        <v>0</v>
      </c>
      <c r="K11" s="1688">
        <f t="shared" si="0"/>
        <v>0</v>
      </c>
      <c r="L11" s="466">
        <v>0</v>
      </c>
    </row>
    <row r="12" spans="1:14" x14ac:dyDescent="0.2">
      <c r="A12" s="1524" t="s">
        <v>1019</v>
      </c>
      <c r="B12" s="615">
        <v>1300</v>
      </c>
      <c r="C12" s="466">
        <v>0</v>
      </c>
      <c r="D12" s="466">
        <v>0</v>
      </c>
      <c r="E12" s="466">
        <v>0</v>
      </c>
      <c r="F12" s="466">
        <v>0</v>
      </c>
      <c r="G12" s="466">
        <v>0</v>
      </c>
      <c r="H12" s="466">
        <v>0</v>
      </c>
      <c r="I12" s="467">
        <v>0</v>
      </c>
      <c r="J12" s="467">
        <v>0</v>
      </c>
      <c r="K12" s="1688">
        <f t="shared" si="0"/>
        <v>0</v>
      </c>
      <c r="L12" s="466">
        <v>0</v>
      </c>
    </row>
    <row r="13" spans="1:14" x14ac:dyDescent="0.2">
      <c r="A13" s="1524" t="s">
        <v>747</v>
      </c>
      <c r="B13" s="615">
        <v>1400</v>
      </c>
      <c r="C13" s="466">
        <v>138202</v>
      </c>
      <c r="D13" s="466">
        <v>21373</v>
      </c>
      <c r="E13" s="466">
        <v>0</v>
      </c>
      <c r="F13" s="466">
        <v>6119</v>
      </c>
      <c r="G13" s="466">
        <v>6099</v>
      </c>
      <c r="H13" s="466">
        <v>0</v>
      </c>
      <c r="I13" s="467">
        <v>0</v>
      </c>
      <c r="J13" s="467">
        <v>0</v>
      </c>
      <c r="K13" s="1688">
        <f t="shared" si="0"/>
        <v>171793</v>
      </c>
      <c r="L13" s="466">
        <v>164342</v>
      </c>
    </row>
    <row r="14" spans="1:14" x14ac:dyDescent="0.2">
      <c r="A14" s="1524" t="s">
        <v>1020</v>
      </c>
      <c r="B14" s="615">
        <v>1500</v>
      </c>
      <c r="C14" s="466">
        <v>28432</v>
      </c>
      <c r="D14" s="466">
        <v>1497</v>
      </c>
      <c r="E14" s="466">
        <v>8320</v>
      </c>
      <c r="F14" s="466">
        <v>5324</v>
      </c>
      <c r="G14" s="466">
        <v>0</v>
      </c>
      <c r="H14" s="466">
        <v>1482</v>
      </c>
      <c r="I14" s="467">
        <v>0</v>
      </c>
      <c r="J14" s="467">
        <v>0</v>
      </c>
      <c r="K14" s="1688">
        <f t="shared" si="0"/>
        <v>45055</v>
      </c>
      <c r="L14" s="466">
        <v>49525</v>
      </c>
    </row>
    <row r="15" spans="1:14" x14ac:dyDescent="0.2">
      <c r="A15" s="1524" t="s">
        <v>1021</v>
      </c>
      <c r="B15" s="615">
        <v>1600</v>
      </c>
      <c r="C15" s="466">
        <v>0</v>
      </c>
      <c r="D15" s="466">
        <v>0</v>
      </c>
      <c r="E15" s="466">
        <v>0</v>
      </c>
      <c r="F15" s="466">
        <v>0</v>
      </c>
      <c r="G15" s="466">
        <v>0</v>
      </c>
      <c r="H15" s="466">
        <v>0</v>
      </c>
      <c r="I15" s="467">
        <v>0</v>
      </c>
      <c r="J15" s="467">
        <v>0</v>
      </c>
      <c r="K15" s="1688">
        <f t="shared" si="0"/>
        <v>0</v>
      </c>
      <c r="L15" s="466">
        <v>0</v>
      </c>
    </row>
    <row r="16" spans="1:14" x14ac:dyDescent="0.2">
      <c r="A16" s="1524" t="s">
        <v>1044</v>
      </c>
      <c r="B16" s="615" t="s">
        <v>444</v>
      </c>
      <c r="C16" s="466">
        <v>0</v>
      </c>
      <c r="D16" s="466">
        <v>0</v>
      </c>
      <c r="E16" s="466">
        <v>0</v>
      </c>
      <c r="F16" s="466">
        <v>0</v>
      </c>
      <c r="G16" s="466">
        <v>0</v>
      </c>
      <c r="H16" s="466">
        <v>0</v>
      </c>
      <c r="I16" s="467">
        <v>0</v>
      </c>
      <c r="J16" s="467">
        <v>0</v>
      </c>
      <c r="K16" s="1688">
        <f t="shared" si="0"/>
        <v>0</v>
      </c>
      <c r="L16" s="466">
        <v>0</v>
      </c>
    </row>
    <row r="17" spans="1:12" x14ac:dyDescent="0.2">
      <c r="A17" s="1524" t="s">
        <v>748</v>
      </c>
      <c r="B17" s="615" t="s">
        <v>164</v>
      </c>
      <c r="C17" s="467">
        <v>12554</v>
      </c>
      <c r="D17" s="467">
        <v>2437</v>
      </c>
      <c r="E17" s="467">
        <v>0</v>
      </c>
      <c r="F17" s="467">
        <v>656</v>
      </c>
      <c r="G17" s="467">
        <v>0</v>
      </c>
      <c r="H17" s="467">
        <v>70</v>
      </c>
      <c r="I17" s="467">
        <v>0</v>
      </c>
      <c r="J17" s="467">
        <v>0</v>
      </c>
      <c r="K17" s="1688">
        <f t="shared" si="0"/>
        <v>15717</v>
      </c>
      <c r="L17" s="466">
        <v>15864</v>
      </c>
    </row>
    <row r="18" spans="1:12" x14ac:dyDescent="0.2">
      <c r="A18" s="1524" t="s">
        <v>1148</v>
      </c>
      <c r="B18" s="615">
        <v>1800</v>
      </c>
      <c r="C18" s="466">
        <v>0</v>
      </c>
      <c r="D18" s="466">
        <v>0</v>
      </c>
      <c r="E18" s="466">
        <v>0</v>
      </c>
      <c r="F18" s="466">
        <v>0</v>
      </c>
      <c r="G18" s="466">
        <v>0</v>
      </c>
      <c r="H18" s="466">
        <v>0</v>
      </c>
      <c r="I18" s="467">
        <v>0</v>
      </c>
      <c r="J18" s="467">
        <v>0</v>
      </c>
      <c r="K18" s="1688">
        <f t="shared" si="0"/>
        <v>0</v>
      </c>
      <c r="L18" s="466">
        <v>0</v>
      </c>
    </row>
    <row r="19" spans="1:12" x14ac:dyDescent="0.2">
      <c r="A19" s="1524" t="s">
        <v>136</v>
      </c>
      <c r="B19" s="615">
        <v>1900</v>
      </c>
      <c r="C19" s="466">
        <v>0</v>
      </c>
      <c r="D19" s="466">
        <v>0</v>
      </c>
      <c r="E19" s="466">
        <v>0</v>
      </c>
      <c r="F19" s="466">
        <v>0</v>
      </c>
      <c r="G19" s="466">
        <v>0</v>
      </c>
      <c r="H19" s="466">
        <v>0</v>
      </c>
      <c r="I19" s="467">
        <v>0</v>
      </c>
      <c r="J19" s="467">
        <v>0</v>
      </c>
      <c r="K19" s="1688">
        <f t="shared" si="0"/>
        <v>0</v>
      </c>
      <c r="L19" s="466">
        <v>0</v>
      </c>
    </row>
    <row r="20" spans="1:12" x14ac:dyDescent="0.2">
      <c r="A20" s="1525" t="s">
        <v>762</v>
      </c>
      <c r="B20" s="603" t="s">
        <v>749</v>
      </c>
      <c r="C20" s="477"/>
      <c r="D20" s="477"/>
      <c r="E20" s="477"/>
      <c r="F20" s="477"/>
      <c r="G20" s="477"/>
      <c r="H20" s="474">
        <v>0</v>
      </c>
      <c r="I20" s="617"/>
      <c r="J20" s="475"/>
      <c r="K20" s="1688">
        <f t="shared" si="0"/>
        <v>0</v>
      </c>
      <c r="L20" s="471">
        <v>0</v>
      </c>
    </row>
    <row r="21" spans="1:12" x14ac:dyDescent="0.2">
      <c r="A21" s="1525" t="s">
        <v>763</v>
      </c>
      <c r="B21" s="603" t="s">
        <v>750</v>
      </c>
      <c r="C21" s="477"/>
      <c r="D21" s="477"/>
      <c r="E21" s="477"/>
      <c r="F21" s="477"/>
      <c r="G21" s="477"/>
      <c r="H21" s="474">
        <v>0</v>
      </c>
      <c r="I21" s="617"/>
      <c r="J21" s="477"/>
      <c r="K21" s="1688">
        <f t="shared" si="0"/>
        <v>0</v>
      </c>
      <c r="L21" s="471">
        <v>0</v>
      </c>
    </row>
    <row r="22" spans="1:12" x14ac:dyDescent="0.2">
      <c r="A22" s="1525" t="s">
        <v>764</v>
      </c>
      <c r="B22" s="603" t="s">
        <v>751</v>
      </c>
      <c r="C22" s="477"/>
      <c r="D22" s="477"/>
      <c r="E22" s="477"/>
      <c r="F22" s="477"/>
      <c r="G22" s="477"/>
      <c r="H22" s="474">
        <v>0</v>
      </c>
      <c r="I22" s="617"/>
      <c r="J22" s="477"/>
      <c r="K22" s="1688">
        <f t="shared" si="0"/>
        <v>0</v>
      </c>
      <c r="L22" s="471">
        <v>0</v>
      </c>
    </row>
    <row r="23" spans="1:12" x14ac:dyDescent="0.2">
      <c r="A23" s="1525" t="s">
        <v>765</v>
      </c>
      <c r="B23" s="603" t="s">
        <v>752</v>
      </c>
      <c r="C23" s="477"/>
      <c r="D23" s="477"/>
      <c r="E23" s="477"/>
      <c r="F23" s="477"/>
      <c r="G23" s="477"/>
      <c r="H23" s="474">
        <v>0</v>
      </c>
      <c r="I23" s="617"/>
      <c r="J23" s="477"/>
      <c r="K23" s="1688">
        <f t="shared" si="0"/>
        <v>0</v>
      </c>
      <c r="L23" s="471">
        <v>0</v>
      </c>
    </row>
    <row r="24" spans="1:12" ht="12.75" customHeight="1" x14ac:dyDescent="0.2">
      <c r="A24" s="1525" t="s">
        <v>766</v>
      </c>
      <c r="B24" s="603" t="s">
        <v>753</v>
      </c>
      <c r="C24" s="477"/>
      <c r="D24" s="477"/>
      <c r="E24" s="477"/>
      <c r="F24" s="477"/>
      <c r="G24" s="477"/>
      <c r="H24" s="474">
        <v>0</v>
      </c>
      <c r="I24" s="617"/>
      <c r="J24" s="477"/>
      <c r="K24" s="1688">
        <f t="shared" si="0"/>
        <v>0</v>
      </c>
      <c r="L24" s="471">
        <v>0</v>
      </c>
    </row>
    <row r="25" spans="1:12" ht="12.75" customHeight="1" x14ac:dyDescent="0.2">
      <c r="A25" s="1525" t="s">
        <v>835</v>
      </c>
      <c r="B25" s="603" t="s">
        <v>754</v>
      </c>
      <c r="C25" s="477"/>
      <c r="D25" s="477"/>
      <c r="E25" s="477"/>
      <c r="F25" s="477"/>
      <c r="G25" s="477"/>
      <c r="H25" s="474">
        <v>0</v>
      </c>
      <c r="I25" s="617"/>
      <c r="J25" s="477"/>
      <c r="K25" s="1688">
        <f t="shared" si="0"/>
        <v>0</v>
      </c>
      <c r="L25" s="471">
        <v>0</v>
      </c>
    </row>
    <row r="26" spans="1:12" x14ac:dyDescent="0.2">
      <c r="A26" s="1525" t="s">
        <v>643</v>
      </c>
      <c r="B26" s="603" t="s">
        <v>755</v>
      </c>
      <c r="C26" s="477"/>
      <c r="D26" s="477"/>
      <c r="E26" s="477"/>
      <c r="F26" s="477"/>
      <c r="G26" s="477"/>
      <c r="H26" s="474">
        <v>0</v>
      </c>
      <c r="I26" s="617"/>
      <c r="J26" s="477"/>
      <c r="K26" s="1688">
        <f t="shared" si="0"/>
        <v>0</v>
      </c>
      <c r="L26" s="471">
        <v>0</v>
      </c>
    </row>
    <row r="27" spans="1:12" x14ac:dyDescent="0.2">
      <c r="A27" s="1525" t="s">
        <v>644</v>
      </c>
      <c r="B27" s="603" t="s">
        <v>756</v>
      </c>
      <c r="C27" s="477"/>
      <c r="D27" s="477"/>
      <c r="E27" s="477"/>
      <c r="F27" s="477"/>
      <c r="G27" s="477"/>
      <c r="H27" s="474">
        <v>0</v>
      </c>
      <c r="I27" s="617"/>
      <c r="J27" s="477"/>
      <c r="K27" s="1688">
        <f t="shared" si="0"/>
        <v>0</v>
      </c>
      <c r="L27" s="471">
        <v>0</v>
      </c>
    </row>
    <row r="28" spans="1:12" x14ac:dyDescent="0.2">
      <c r="A28" s="1525" t="s">
        <v>152</v>
      </c>
      <c r="B28" s="603" t="s">
        <v>757</v>
      </c>
      <c r="C28" s="477"/>
      <c r="D28" s="477"/>
      <c r="E28" s="477"/>
      <c r="F28" s="477"/>
      <c r="G28" s="477"/>
      <c r="H28" s="474">
        <v>0</v>
      </c>
      <c r="I28" s="617"/>
      <c r="J28" s="477"/>
      <c r="K28" s="1688">
        <f t="shared" si="0"/>
        <v>0</v>
      </c>
      <c r="L28" s="471">
        <v>0</v>
      </c>
    </row>
    <row r="29" spans="1:12" x14ac:dyDescent="0.2">
      <c r="A29" s="1525" t="s">
        <v>153</v>
      </c>
      <c r="B29" s="603" t="s">
        <v>758</v>
      </c>
      <c r="C29" s="477"/>
      <c r="D29" s="477"/>
      <c r="E29" s="477"/>
      <c r="F29" s="477"/>
      <c r="G29" s="477"/>
      <c r="H29" s="474">
        <v>0</v>
      </c>
      <c r="I29" s="617"/>
      <c r="J29" s="477"/>
      <c r="K29" s="1688">
        <f t="shared" si="0"/>
        <v>0</v>
      </c>
      <c r="L29" s="471">
        <v>0</v>
      </c>
    </row>
    <row r="30" spans="1:12" x14ac:dyDescent="0.2">
      <c r="A30" s="1525" t="s">
        <v>154</v>
      </c>
      <c r="B30" s="603" t="s">
        <v>759</v>
      </c>
      <c r="C30" s="477"/>
      <c r="D30" s="477"/>
      <c r="E30" s="477"/>
      <c r="F30" s="477"/>
      <c r="G30" s="477"/>
      <c r="H30" s="474">
        <v>0</v>
      </c>
      <c r="I30" s="617"/>
      <c r="J30" s="477"/>
      <c r="K30" s="1688">
        <f t="shared" si="0"/>
        <v>0</v>
      </c>
      <c r="L30" s="471">
        <v>0</v>
      </c>
    </row>
    <row r="31" spans="1:12" x14ac:dyDescent="0.2">
      <c r="A31" s="1525" t="s">
        <v>155</v>
      </c>
      <c r="B31" s="603" t="s">
        <v>760</v>
      </c>
      <c r="C31" s="477"/>
      <c r="D31" s="477"/>
      <c r="E31" s="477"/>
      <c r="F31" s="477"/>
      <c r="G31" s="477"/>
      <c r="H31" s="474">
        <v>0</v>
      </c>
      <c r="I31" s="617"/>
      <c r="J31" s="477"/>
      <c r="K31" s="1688">
        <f t="shared" si="0"/>
        <v>0</v>
      </c>
      <c r="L31" s="471">
        <v>0</v>
      </c>
    </row>
    <row r="32" spans="1:12" x14ac:dyDescent="0.2">
      <c r="A32" s="1526" t="s">
        <v>1191</v>
      </c>
      <c r="B32" s="615" t="s">
        <v>761</v>
      </c>
      <c r="C32" s="477"/>
      <c r="D32" s="477"/>
      <c r="E32" s="477"/>
      <c r="F32" s="477"/>
      <c r="G32" s="477"/>
      <c r="H32" s="474">
        <v>0</v>
      </c>
      <c r="I32" s="617"/>
      <c r="J32" s="480"/>
      <c r="K32" s="1688">
        <f t="shared" si="0"/>
        <v>0</v>
      </c>
      <c r="L32" s="471">
        <v>0</v>
      </c>
    </row>
    <row r="33" spans="1:14" ht="12.75" customHeight="1" thickBot="1" x14ac:dyDescent="0.25">
      <c r="A33" s="1685" t="s">
        <v>1767</v>
      </c>
      <c r="B33" s="1686" t="s">
        <v>591</v>
      </c>
      <c r="C33" s="1687">
        <f>SUM(C5:C32)</f>
        <v>1157650</v>
      </c>
      <c r="D33" s="1687">
        <f t="shared" ref="D33:L33" si="1">SUM(D5:D32)</f>
        <v>166965</v>
      </c>
      <c r="E33" s="1687">
        <f t="shared" si="1"/>
        <v>63690</v>
      </c>
      <c r="F33" s="1687">
        <f t="shared" si="1"/>
        <v>79761</v>
      </c>
      <c r="G33" s="1687">
        <f t="shared" si="1"/>
        <v>33725</v>
      </c>
      <c r="H33" s="1687">
        <f t="shared" si="1"/>
        <v>8126</v>
      </c>
      <c r="I33" s="1687">
        <f t="shared" si="1"/>
        <v>0</v>
      </c>
      <c r="J33" s="1687">
        <f t="shared" si="1"/>
        <v>0</v>
      </c>
      <c r="K33" s="1687">
        <f t="shared" si="1"/>
        <v>1509917</v>
      </c>
      <c r="L33" s="1687">
        <f t="shared" si="1"/>
        <v>1520346</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0</v>
      </c>
      <c r="D36" s="481">
        <v>0</v>
      </c>
      <c r="E36" s="481">
        <v>0</v>
      </c>
      <c r="F36" s="481">
        <v>0</v>
      </c>
      <c r="G36" s="481">
        <v>0</v>
      </c>
      <c r="H36" s="481">
        <v>0</v>
      </c>
      <c r="I36" s="467">
        <v>0</v>
      </c>
      <c r="J36" s="467">
        <v>0</v>
      </c>
      <c r="K36" s="1688">
        <f t="shared" ref="K36:K41" si="2">SUM(C36:J36)</f>
        <v>0</v>
      </c>
      <c r="L36" s="466">
        <v>0</v>
      </c>
    </row>
    <row r="37" spans="1:14" x14ac:dyDescent="0.2">
      <c r="A37" s="1524" t="s">
        <v>1151</v>
      </c>
      <c r="B37" s="615">
        <v>2120</v>
      </c>
      <c r="C37" s="466">
        <v>22262</v>
      </c>
      <c r="D37" s="466">
        <v>0</v>
      </c>
      <c r="E37" s="466">
        <v>0</v>
      </c>
      <c r="F37" s="466">
        <v>64</v>
      </c>
      <c r="G37" s="466">
        <v>0</v>
      </c>
      <c r="H37" s="466">
        <v>0</v>
      </c>
      <c r="I37" s="467">
        <v>0</v>
      </c>
      <c r="J37" s="467">
        <v>0</v>
      </c>
      <c r="K37" s="1688">
        <f t="shared" si="2"/>
        <v>22326</v>
      </c>
      <c r="L37" s="466">
        <v>24212</v>
      </c>
    </row>
    <row r="38" spans="1:14" x14ac:dyDescent="0.2">
      <c r="A38" s="1524" t="s">
        <v>207</v>
      </c>
      <c r="B38" s="615">
        <v>2130</v>
      </c>
      <c r="C38" s="466">
        <v>26190</v>
      </c>
      <c r="D38" s="466">
        <v>0</v>
      </c>
      <c r="E38" s="466">
        <v>1399</v>
      </c>
      <c r="F38" s="466">
        <v>3630</v>
      </c>
      <c r="G38" s="466">
        <v>0</v>
      </c>
      <c r="H38" s="466">
        <v>100</v>
      </c>
      <c r="I38" s="467">
        <v>0</v>
      </c>
      <c r="J38" s="467">
        <v>0</v>
      </c>
      <c r="K38" s="1688">
        <f t="shared" si="2"/>
        <v>31319</v>
      </c>
      <c r="L38" s="466">
        <v>30469</v>
      </c>
    </row>
    <row r="39" spans="1:14" x14ac:dyDescent="0.2">
      <c r="A39" s="1524" t="s">
        <v>208</v>
      </c>
      <c r="B39" s="615">
        <v>2140</v>
      </c>
      <c r="C39" s="466">
        <v>0</v>
      </c>
      <c r="D39" s="466">
        <v>0</v>
      </c>
      <c r="E39" s="466">
        <v>0</v>
      </c>
      <c r="F39" s="466">
        <v>0</v>
      </c>
      <c r="G39" s="466">
        <v>0</v>
      </c>
      <c r="H39" s="466">
        <v>0</v>
      </c>
      <c r="I39" s="467">
        <v>0</v>
      </c>
      <c r="J39" s="467">
        <v>0</v>
      </c>
      <c r="K39" s="1688">
        <f t="shared" si="2"/>
        <v>0</v>
      </c>
      <c r="L39" s="466">
        <v>0</v>
      </c>
    </row>
    <row r="40" spans="1:14" x14ac:dyDescent="0.2">
      <c r="A40" s="1524" t="s">
        <v>209</v>
      </c>
      <c r="B40" s="615">
        <v>2150</v>
      </c>
      <c r="C40" s="466">
        <v>0</v>
      </c>
      <c r="D40" s="466">
        <v>0</v>
      </c>
      <c r="E40" s="466">
        <v>13436</v>
      </c>
      <c r="F40" s="466">
        <v>0</v>
      </c>
      <c r="G40" s="466">
        <v>0</v>
      </c>
      <c r="H40" s="466">
        <v>0</v>
      </c>
      <c r="I40" s="467">
        <v>0</v>
      </c>
      <c r="J40" s="467">
        <v>0</v>
      </c>
      <c r="K40" s="1688">
        <f t="shared" si="2"/>
        <v>13436</v>
      </c>
      <c r="L40" s="466">
        <v>13500</v>
      </c>
    </row>
    <row r="41" spans="1:14" x14ac:dyDescent="0.2">
      <c r="A41" s="1524" t="s">
        <v>1768</v>
      </c>
      <c r="B41" s="615">
        <v>2190</v>
      </c>
      <c r="C41" s="466">
        <v>2595</v>
      </c>
      <c r="D41" s="466">
        <v>0</v>
      </c>
      <c r="E41" s="466">
        <v>0</v>
      </c>
      <c r="F41" s="466">
        <v>250</v>
      </c>
      <c r="G41" s="466">
        <v>0</v>
      </c>
      <c r="H41" s="466">
        <v>0</v>
      </c>
      <c r="I41" s="467">
        <v>0</v>
      </c>
      <c r="J41" s="467">
        <v>0</v>
      </c>
      <c r="K41" s="1688">
        <f t="shared" si="2"/>
        <v>2845</v>
      </c>
      <c r="L41" s="466">
        <v>2700</v>
      </c>
    </row>
    <row r="42" spans="1:14" ht="12.75" customHeight="1" thickBot="1" x14ac:dyDescent="0.25">
      <c r="A42" s="1685" t="s">
        <v>581</v>
      </c>
      <c r="B42" s="1686" t="s">
        <v>740</v>
      </c>
      <c r="C42" s="1687">
        <f>SUM(C36:C41)</f>
        <v>51047</v>
      </c>
      <c r="D42" s="1687">
        <f t="shared" ref="D42:L42" si="3">SUM(D36:D41)</f>
        <v>0</v>
      </c>
      <c r="E42" s="1687">
        <f t="shared" si="3"/>
        <v>14835</v>
      </c>
      <c r="F42" s="1687">
        <f t="shared" si="3"/>
        <v>3944</v>
      </c>
      <c r="G42" s="1687">
        <f t="shared" si="3"/>
        <v>0</v>
      </c>
      <c r="H42" s="1687">
        <f t="shared" si="3"/>
        <v>100</v>
      </c>
      <c r="I42" s="1687">
        <f t="shared" si="3"/>
        <v>0</v>
      </c>
      <c r="J42" s="1687">
        <f t="shared" si="3"/>
        <v>0</v>
      </c>
      <c r="K42" s="1687">
        <f t="shared" si="3"/>
        <v>69926</v>
      </c>
      <c r="L42" s="1687">
        <f t="shared" si="3"/>
        <v>70881</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0</v>
      </c>
      <c r="D44" s="481">
        <v>0</v>
      </c>
      <c r="E44" s="481">
        <v>2110</v>
      </c>
      <c r="F44" s="481">
        <v>0</v>
      </c>
      <c r="G44" s="481">
        <v>0</v>
      </c>
      <c r="H44" s="481">
        <v>0</v>
      </c>
      <c r="I44" s="467">
        <v>0</v>
      </c>
      <c r="J44" s="467">
        <v>0</v>
      </c>
      <c r="K44" s="1689">
        <f>SUM(C44:J44)</f>
        <v>2110</v>
      </c>
      <c r="L44" s="481">
        <v>1560</v>
      </c>
    </row>
    <row r="45" spans="1:14" x14ac:dyDescent="0.2">
      <c r="A45" s="1524" t="s">
        <v>869</v>
      </c>
      <c r="B45" s="615">
        <v>2220</v>
      </c>
      <c r="C45" s="466">
        <v>0</v>
      </c>
      <c r="D45" s="466">
        <v>0</v>
      </c>
      <c r="E45" s="466">
        <v>194</v>
      </c>
      <c r="F45" s="466">
        <v>1034</v>
      </c>
      <c r="G45" s="466">
        <v>0</v>
      </c>
      <c r="H45" s="466">
        <v>0</v>
      </c>
      <c r="I45" s="467">
        <v>0</v>
      </c>
      <c r="J45" s="467">
        <v>0</v>
      </c>
      <c r="K45" s="1689">
        <f>SUM(C45:J45)</f>
        <v>1228</v>
      </c>
      <c r="L45" s="466">
        <v>1500</v>
      </c>
    </row>
    <row r="46" spans="1:14" x14ac:dyDescent="0.2">
      <c r="A46" s="1524" t="s">
        <v>870</v>
      </c>
      <c r="B46" s="615">
        <v>2230</v>
      </c>
      <c r="C46" s="466">
        <v>0</v>
      </c>
      <c r="D46" s="466">
        <v>0</v>
      </c>
      <c r="E46" s="466">
        <v>0</v>
      </c>
      <c r="F46" s="466">
        <v>0</v>
      </c>
      <c r="G46" s="466">
        <v>0</v>
      </c>
      <c r="H46" s="466">
        <v>0</v>
      </c>
      <c r="I46" s="467">
        <v>0</v>
      </c>
      <c r="J46" s="467">
        <v>0</v>
      </c>
      <c r="K46" s="1689">
        <f>SUM(C46:J46)</f>
        <v>0</v>
      </c>
      <c r="L46" s="466">
        <v>0</v>
      </c>
    </row>
    <row r="47" spans="1:14" ht="12.75" customHeight="1" thickBot="1" x14ac:dyDescent="0.25">
      <c r="A47" s="1685" t="s">
        <v>582</v>
      </c>
      <c r="B47" s="1686" t="s">
        <v>32</v>
      </c>
      <c r="C47" s="1687">
        <f>SUM(C44:C46)</f>
        <v>0</v>
      </c>
      <c r="D47" s="1687">
        <f t="shared" ref="D47:K47" si="4">SUM(D44:D46)</f>
        <v>0</v>
      </c>
      <c r="E47" s="1687">
        <f t="shared" si="4"/>
        <v>2304</v>
      </c>
      <c r="F47" s="1687">
        <f t="shared" si="4"/>
        <v>1034</v>
      </c>
      <c r="G47" s="1687">
        <f t="shared" si="4"/>
        <v>0</v>
      </c>
      <c r="H47" s="1687">
        <f t="shared" si="4"/>
        <v>0</v>
      </c>
      <c r="I47" s="1687">
        <f t="shared" si="4"/>
        <v>0</v>
      </c>
      <c r="J47" s="1687">
        <f t="shared" si="4"/>
        <v>0</v>
      </c>
      <c r="K47" s="1687">
        <f t="shared" si="4"/>
        <v>3338</v>
      </c>
      <c r="L47" s="1687">
        <f>SUM(L44:L46)</f>
        <v>3060</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10528</v>
      </c>
      <c r="D49" s="481">
        <v>90</v>
      </c>
      <c r="E49" s="481">
        <v>1462</v>
      </c>
      <c r="F49" s="481">
        <v>786</v>
      </c>
      <c r="G49" s="481">
        <v>0</v>
      </c>
      <c r="H49" s="481">
        <v>2017</v>
      </c>
      <c r="I49" s="467">
        <v>0</v>
      </c>
      <c r="J49" s="467">
        <v>0</v>
      </c>
      <c r="K49" s="1689">
        <f>SUM(C49:J49)</f>
        <v>14883</v>
      </c>
      <c r="L49" s="481">
        <v>17058</v>
      </c>
    </row>
    <row r="50" spans="1:14" x14ac:dyDescent="0.2">
      <c r="A50" s="1524" t="s">
        <v>872</v>
      </c>
      <c r="B50" s="615">
        <v>2320</v>
      </c>
      <c r="C50" s="466">
        <v>80897</v>
      </c>
      <c r="D50" s="466">
        <v>15297</v>
      </c>
      <c r="E50" s="466">
        <v>5378</v>
      </c>
      <c r="F50" s="466">
        <v>863</v>
      </c>
      <c r="G50" s="466">
        <v>0</v>
      </c>
      <c r="H50" s="466">
        <v>813</v>
      </c>
      <c r="I50" s="467">
        <v>0</v>
      </c>
      <c r="J50" s="467">
        <v>0</v>
      </c>
      <c r="K50" s="1689">
        <f>SUM(C50:J50)</f>
        <v>103248</v>
      </c>
      <c r="L50" s="466">
        <v>110750</v>
      </c>
    </row>
    <row r="51" spans="1:14" x14ac:dyDescent="0.2">
      <c r="A51" s="1524" t="s">
        <v>44</v>
      </c>
      <c r="B51" s="615">
        <v>2330</v>
      </c>
      <c r="C51" s="466">
        <v>0</v>
      </c>
      <c r="D51" s="466">
        <v>0</v>
      </c>
      <c r="E51" s="466">
        <v>0</v>
      </c>
      <c r="F51" s="466">
        <v>0</v>
      </c>
      <c r="G51" s="466">
        <v>0</v>
      </c>
      <c r="H51" s="466">
        <v>0</v>
      </c>
      <c r="I51" s="467">
        <v>0</v>
      </c>
      <c r="J51" s="467">
        <v>0</v>
      </c>
      <c r="K51" s="1689">
        <f>SUM(C51:J51)</f>
        <v>0</v>
      </c>
      <c r="L51" s="466">
        <v>0</v>
      </c>
    </row>
    <row r="52" spans="1:14" ht="22.5" x14ac:dyDescent="0.2">
      <c r="A52" s="1525" t="s">
        <v>316</v>
      </c>
      <c r="B52" s="628" t="s">
        <v>384</v>
      </c>
      <c r="C52" s="474">
        <v>0</v>
      </c>
      <c r="D52" s="474">
        <v>0</v>
      </c>
      <c r="E52" s="474">
        <v>0</v>
      </c>
      <c r="F52" s="474">
        <v>0</v>
      </c>
      <c r="G52" s="474">
        <v>0</v>
      </c>
      <c r="H52" s="474">
        <v>0</v>
      </c>
      <c r="I52" s="474">
        <v>0</v>
      </c>
      <c r="J52" s="474">
        <v>0</v>
      </c>
      <c r="K52" s="1689">
        <f>SUM(C52:J52)</f>
        <v>0</v>
      </c>
      <c r="L52" s="474">
        <v>0</v>
      </c>
    </row>
    <row r="53" spans="1:14" ht="12.75" customHeight="1" thickBot="1" x14ac:dyDescent="0.25">
      <c r="A53" s="1685" t="s">
        <v>741</v>
      </c>
      <c r="B53" s="1686" t="s">
        <v>33</v>
      </c>
      <c r="C53" s="1687">
        <f>SUM(C49:C52)</f>
        <v>91425</v>
      </c>
      <c r="D53" s="1687">
        <f t="shared" ref="D53:L53" si="5">SUM(D49:D52)</f>
        <v>15387</v>
      </c>
      <c r="E53" s="1687">
        <f t="shared" si="5"/>
        <v>6840</v>
      </c>
      <c r="F53" s="1687">
        <f t="shared" si="5"/>
        <v>1649</v>
      </c>
      <c r="G53" s="1687">
        <f t="shared" si="5"/>
        <v>0</v>
      </c>
      <c r="H53" s="1687">
        <f t="shared" si="5"/>
        <v>2830</v>
      </c>
      <c r="I53" s="1687">
        <f t="shared" si="5"/>
        <v>0</v>
      </c>
      <c r="J53" s="1687">
        <f t="shared" si="5"/>
        <v>0</v>
      </c>
      <c r="K53" s="1687">
        <f t="shared" si="5"/>
        <v>118131</v>
      </c>
      <c r="L53" s="1687">
        <f t="shared" si="5"/>
        <v>127808</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133014</v>
      </c>
      <c r="D55" s="481">
        <v>24548</v>
      </c>
      <c r="E55" s="481">
        <v>75</v>
      </c>
      <c r="F55" s="481">
        <v>995</v>
      </c>
      <c r="G55" s="481">
        <v>0</v>
      </c>
      <c r="H55" s="481">
        <v>39</v>
      </c>
      <c r="I55" s="467">
        <v>0</v>
      </c>
      <c r="J55" s="467">
        <v>0</v>
      </c>
      <c r="K55" s="1689">
        <f>SUM(C55:J55)</f>
        <v>158671</v>
      </c>
      <c r="L55" s="481">
        <v>164208</v>
      </c>
    </row>
    <row r="56" spans="1:14" ht="12.75" customHeight="1" x14ac:dyDescent="0.2">
      <c r="A56" s="1528" t="s">
        <v>394</v>
      </c>
      <c r="B56" s="629">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133014</v>
      </c>
      <c r="D57" s="1691">
        <f t="shared" ref="D57:K57" si="6">SUM(D55:D56)</f>
        <v>24548</v>
      </c>
      <c r="E57" s="1691">
        <f t="shared" si="6"/>
        <v>75</v>
      </c>
      <c r="F57" s="1691">
        <f t="shared" si="6"/>
        <v>995</v>
      </c>
      <c r="G57" s="1691">
        <f t="shared" si="6"/>
        <v>0</v>
      </c>
      <c r="H57" s="1691">
        <f t="shared" si="6"/>
        <v>39</v>
      </c>
      <c r="I57" s="1691">
        <f t="shared" si="6"/>
        <v>0</v>
      </c>
      <c r="J57" s="1691">
        <f t="shared" si="6"/>
        <v>0</v>
      </c>
      <c r="K57" s="1691">
        <f t="shared" si="6"/>
        <v>158671</v>
      </c>
      <c r="L57" s="1687">
        <f>SUM(L55:L56)</f>
        <v>164208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0</v>
      </c>
      <c r="D59" s="481">
        <v>0</v>
      </c>
      <c r="E59" s="481">
        <v>0</v>
      </c>
      <c r="F59" s="481">
        <v>0</v>
      </c>
      <c r="G59" s="481">
        <v>0</v>
      </c>
      <c r="H59" s="481">
        <v>0</v>
      </c>
      <c r="I59" s="467">
        <v>0</v>
      </c>
      <c r="J59" s="467">
        <v>0</v>
      </c>
      <c r="K59" s="1689">
        <f t="shared" ref="K59:K64" si="7">SUM(C59:J59)</f>
        <v>0</v>
      </c>
      <c r="L59" s="481">
        <v>0</v>
      </c>
      <c r="M59" s="610"/>
      <c r="N59" s="610"/>
    </row>
    <row r="60" spans="1:14" s="343" customFormat="1" x14ac:dyDescent="0.2">
      <c r="A60" s="1524" t="s">
        <v>483</v>
      </c>
      <c r="B60" s="615">
        <v>2520</v>
      </c>
      <c r="C60" s="466">
        <v>42776</v>
      </c>
      <c r="D60" s="466">
        <v>0</v>
      </c>
      <c r="E60" s="466">
        <v>12146</v>
      </c>
      <c r="F60" s="466">
        <v>950</v>
      </c>
      <c r="G60" s="466">
        <v>0</v>
      </c>
      <c r="H60" s="466">
        <v>0</v>
      </c>
      <c r="I60" s="467">
        <v>0</v>
      </c>
      <c r="J60" s="467">
        <v>0</v>
      </c>
      <c r="K60" s="1689">
        <f t="shared" si="7"/>
        <v>55872</v>
      </c>
      <c r="L60" s="466">
        <v>60420</v>
      </c>
      <c r="M60" s="610"/>
      <c r="N60" s="610"/>
    </row>
    <row r="61" spans="1:14" s="343" customFormat="1" x14ac:dyDescent="0.2">
      <c r="A61" s="1524" t="s">
        <v>206</v>
      </c>
      <c r="B61" s="615">
        <v>2540</v>
      </c>
      <c r="C61" s="466">
        <v>86268</v>
      </c>
      <c r="D61" s="466">
        <v>6201</v>
      </c>
      <c r="E61" s="466">
        <v>0</v>
      </c>
      <c r="F61" s="466">
        <v>0</v>
      </c>
      <c r="G61" s="466">
        <v>0</v>
      </c>
      <c r="H61" s="466">
        <v>0</v>
      </c>
      <c r="I61" s="467">
        <v>0</v>
      </c>
      <c r="J61" s="467">
        <v>0</v>
      </c>
      <c r="K61" s="1689">
        <f t="shared" si="7"/>
        <v>92469</v>
      </c>
      <c r="L61" s="466">
        <v>92157</v>
      </c>
      <c r="M61" s="610"/>
      <c r="N61" s="610"/>
    </row>
    <row r="62" spans="1:14" s="343" customFormat="1" x14ac:dyDescent="0.2">
      <c r="A62" s="1524" t="s">
        <v>1010</v>
      </c>
      <c r="B62" s="615">
        <v>2550</v>
      </c>
      <c r="C62" s="466">
        <v>0</v>
      </c>
      <c r="D62" s="466">
        <v>0</v>
      </c>
      <c r="E62" s="466">
        <v>0</v>
      </c>
      <c r="F62" s="466">
        <v>0</v>
      </c>
      <c r="G62" s="466">
        <v>0</v>
      </c>
      <c r="H62" s="466">
        <v>0</v>
      </c>
      <c r="I62" s="467">
        <v>0</v>
      </c>
      <c r="J62" s="467">
        <v>0</v>
      </c>
      <c r="K62" s="1689">
        <f t="shared" si="7"/>
        <v>0</v>
      </c>
      <c r="L62" s="466">
        <v>0</v>
      </c>
      <c r="M62" s="610"/>
      <c r="N62" s="610"/>
    </row>
    <row r="63" spans="1:14" s="610" customFormat="1" x14ac:dyDescent="0.2">
      <c r="A63" s="1524" t="s">
        <v>102</v>
      </c>
      <c r="B63" s="615">
        <v>2560</v>
      </c>
      <c r="C63" s="466">
        <v>0</v>
      </c>
      <c r="D63" s="466">
        <v>0</v>
      </c>
      <c r="E63" s="466">
        <v>136854</v>
      </c>
      <c r="F63" s="466">
        <v>0</v>
      </c>
      <c r="G63" s="466">
        <v>0</v>
      </c>
      <c r="H63" s="466">
        <v>0</v>
      </c>
      <c r="I63" s="467">
        <v>0</v>
      </c>
      <c r="J63" s="467">
        <v>0</v>
      </c>
      <c r="K63" s="1689">
        <f t="shared" si="7"/>
        <v>136854</v>
      </c>
      <c r="L63" s="466">
        <v>153730</v>
      </c>
    </row>
    <row r="64" spans="1:14" s="610" customFormat="1" x14ac:dyDescent="0.2">
      <c r="A64" s="1529" t="s">
        <v>103</v>
      </c>
      <c r="B64" s="631">
        <v>2570</v>
      </c>
      <c r="C64" s="481">
        <v>0</v>
      </c>
      <c r="D64" s="481">
        <v>0</v>
      </c>
      <c r="E64" s="481">
        <v>0</v>
      </c>
      <c r="F64" s="481">
        <v>0</v>
      </c>
      <c r="G64" s="481">
        <v>0</v>
      </c>
      <c r="H64" s="481">
        <v>0</v>
      </c>
      <c r="I64" s="467">
        <v>0</v>
      </c>
      <c r="J64" s="467">
        <v>0</v>
      </c>
      <c r="K64" s="1689">
        <f t="shared" si="7"/>
        <v>0</v>
      </c>
      <c r="L64" s="481">
        <v>0</v>
      </c>
    </row>
    <row r="65" spans="1:14" s="343" customFormat="1" ht="12.75" customHeight="1" thickBot="1" x14ac:dyDescent="0.25">
      <c r="A65" s="1685" t="s">
        <v>743</v>
      </c>
      <c r="B65" s="1686" t="s">
        <v>35</v>
      </c>
      <c r="C65" s="1687">
        <f>SUM(C59:C64)</f>
        <v>129044</v>
      </c>
      <c r="D65" s="1687">
        <f t="shared" ref="D65:L65" si="8">SUM(D59:D64)</f>
        <v>6201</v>
      </c>
      <c r="E65" s="1687">
        <f t="shared" si="8"/>
        <v>149000</v>
      </c>
      <c r="F65" s="1687">
        <f t="shared" si="8"/>
        <v>950</v>
      </c>
      <c r="G65" s="1687">
        <f t="shared" si="8"/>
        <v>0</v>
      </c>
      <c r="H65" s="1687">
        <f t="shared" si="8"/>
        <v>0</v>
      </c>
      <c r="I65" s="1687">
        <f t="shared" si="8"/>
        <v>0</v>
      </c>
      <c r="J65" s="1687">
        <f t="shared" si="8"/>
        <v>0</v>
      </c>
      <c r="K65" s="1687">
        <f t="shared" si="8"/>
        <v>285195</v>
      </c>
      <c r="L65" s="1687">
        <f t="shared" si="8"/>
        <v>306307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v>0</v>
      </c>
      <c r="D67" s="466">
        <v>0</v>
      </c>
      <c r="E67" s="466">
        <v>0</v>
      </c>
      <c r="F67" s="466">
        <v>0</v>
      </c>
      <c r="G67" s="466">
        <v>0</v>
      </c>
      <c r="H67" s="466">
        <v>0</v>
      </c>
      <c r="I67" s="467">
        <v>0</v>
      </c>
      <c r="J67" s="467">
        <v>0</v>
      </c>
      <c r="K67" s="1689">
        <f>SUM(C67:J67)</f>
        <v>0</v>
      </c>
      <c r="L67" s="481">
        <v>0</v>
      </c>
      <c r="M67" s="610"/>
      <c r="N67" s="610"/>
    </row>
    <row r="68" spans="1:14" s="343" customFormat="1" x14ac:dyDescent="0.2">
      <c r="A68" s="1524" t="s">
        <v>628</v>
      </c>
      <c r="B68" s="615">
        <v>2620</v>
      </c>
      <c r="C68" s="466">
        <v>0</v>
      </c>
      <c r="D68" s="466">
        <v>0</v>
      </c>
      <c r="E68" s="466">
        <v>0</v>
      </c>
      <c r="F68" s="466">
        <v>0</v>
      </c>
      <c r="G68" s="466">
        <v>0</v>
      </c>
      <c r="H68" s="466">
        <v>0</v>
      </c>
      <c r="I68" s="467">
        <v>0</v>
      </c>
      <c r="J68" s="467">
        <v>0</v>
      </c>
      <c r="K68" s="1689">
        <f>SUM(C68:J68)</f>
        <v>0</v>
      </c>
      <c r="L68" s="466">
        <v>0</v>
      </c>
      <c r="M68" s="610"/>
      <c r="N68" s="610"/>
    </row>
    <row r="69" spans="1:14" s="343" customFormat="1" x14ac:dyDescent="0.2">
      <c r="A69" s="1524" t="s">
        <v>1121</v>
      </c>
      <c r="B69" s="615">
        <v>2630</v>
      </c>
      <c r="C69" s="466">
        <v>0</v>
      </c>
      <c r="D69" s="466">
        <v>0</v>
      </c>
      <c r="E69" s="466">
        <v>0</v>
      </c>
      <c r="F69" s="466">
        <v>0</v>
      </c>
      <c r="G69" s="466">
        <v>0</v>
      </c>
      <c r="H69" s="466">
        <v>0</v>
      </c>
      <c r="I69" s="467">
        <v>0</v>
      </c>
      <c r="J69" s="467">
        <v>0</v>
      </c>
      <c r="K69" s="1689">
        <f>SUM(C69:J69)</f>
        <v>0</v>
      </c>
      <c r="L69" s="466">
        <v>0</v>
      </c>
      <c r="M69" s="610"/>
      <c r="N69" s="610"/>
    </row>
    <row r="70" spans="1:14" s="343" customFormat="1" x14ac:dyDescent="0.2">
      <c r="A70" s="1524" t="s">
        <v>423</v>
      </c>
      <c r="B70" s="615">
        <v>2640</v>
      </c>
      <c r="C70" s="466">
        <v>0</v>
      </c>
      <c r="D70" s="466">
        <v>0</v>
      </c>
      <c r="E70" s="466">
        <v>0</v>
      </c>
      <c r="F70" s="466">
        <v>0</v>
      </c>
      <c r="G70" s="466">
        <v>0</v>
      </c>
      <c r="H70" s="466">
        <v>0</v>
      </c>
      <c r="I70" s="467">
        <v>0</v>
      </c>
      <c r="J70" s="467">
        <v>0</v>
      </c>
      <c r="K70" s="1689">
        <f>SUM(C70:J70)</f>
        <v>0</v>
      </c>
      <c r="L70" s="466">
        <v>0</v>
      </c>
      <c r="M70" s="610"/>
      <c r="N70" s="610"/>
    </row>
    <row r="71" spans="1:14" s="343" customFormat="1" x14ac:dyDescent="0.2">
      <c r="A71" s="1524" t="s">
        <v>424</v>
      </c>
      <c r="B71" s="615">
        <v>2660</v>
      </c>
      <c r="C71" s="466">
        <v>0</v>
      </c>
      <c r="D71" s="466">
        <v>0</v>
      </c>
      <c r="E71" s="466">
        <v>0</v>
      </c>
      <c r="F71" s="466">
        <v>0</v>
      </c>
      <c r="G71" s="466">
        <v>0</v>
      </c>
      <c r="H71" s="466">
        <v>0</v>
      </c>
      <c r="I71" s="467">
        <v>0</v>
      </c>
      <c r="J71" s="467">
        <v>0</v>
      </c>
      <c r="K71" s="1689">
        <f>SUM(C71:J71)</f>
        <v>0</v>
      </c>
      <c r="L71" s="466">
        <v>0</v>
      </c>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30" t="s">
        <v>1037</v>
      </c>
      <c r="B73" s="633" t="s">
        <v>595</v>
      </c>
      <c r="C73" s="573"/>
      <c r="D73" s="573"/>
      <c r="E73" s="573"/>
      <c r="F73" s="573"/>
      <c r="G73" s="573"/>
      <c r="H73" s="573"/>
      <c r="I73" s="531"/>
      <c r="J73" s="531"/>
      <c r="K73" s="1687">
        <f>SUM(C73:J73)</f>
        <v>0</v>
      </c>
      <c r="L73" s="576">
        <v>0</v>
      </c>
      <c r="M73" s="610"/>
      <c r="N73" s="610"/>
    </row>
    <row r="74" spans="1:14" ht="12.75" customHeight="1" thickTop="1" thickBot="1" x14ac:dyDescent="0.25">
      <c r="A74" s="1685" t="s">
        <v>865</v>
      </c>
      <c r="B74" s="1693">
        <v>2000</v>
      </c>
      <c r="C74" s="1694">
        <f>SUM(C42,C47,C53,C57,C65,C72,C73)</f>
        <v>404530</v>
      </c>
      <c r="D74" s="1694">
        <f t="shared" ref="D74:K74" si="10">SUM(D42,D47,D53,D57,D65,D72,D73)</f>
        <v>46136</v>
      </c>
      <c r="E74" s="1694">
        <f t="shared" si="10"/>
        <v>173054</v>
      </c>
      <c r="F74" s="1694">
        <f t="shared" si="10"/>
        <v>8572</v>
      </c>
      <c r="G74" s="1694">
        <f t="shared" si="10"/>
        <v>0</v>
      </c>
      <c r="H74" s="1694">
        <f t="shared" si="10"/>
        <v>2969</v>
      </c>
      <c r="I74" s="1694">
        <f t="shared" si="10"/>
        <v>0</v>
      </c>
      <c r="J74" s="1694">
        <f t="shared" si="10"/>
        <v>0</v>
      </c>
      <c r="K74" s="1694">
        <f t="shared" si="10"/>
        <v>635261</v>
      </c>
      <c r="L74" s="1694">
        <f>SUM(L42,L47,L53,L57,L65,L72,L73)</f>
        <v>672264</v>
      </c>
    </row>
    <row r="75" spans="1:14" s="259" customFormat="1" ht="15.75" customHeight="1" thickTop="1" thickBot="1" x14ac:dyDescent="0.25">
      <c r="A75" s="1630" t="s">
        <v>49</v>
      </c>
      <c r="B75" s="1631" t="s">
        <v>596</v>
      </c>
      <c r="C75" s="573">
        <v>0</v>
      </c>
      <c r="D75" s="573">
        <v>0</v>
      </c>
      <c r="E75" s="573">
        <v>0</v>
      </c>
      <c r="F75" s="573">
        <v>119</v>
      </c>
      <c r="G75" s="573">
        <v>0</v>
      </c>
      <c r="H75" s="573">
        <v>0</v>
      </c>
      <c r="I75" s="531">
        <v>0</v>
      </c>
      <c r="J75" s="531">
        <v>0</v>
      </c>
      <c r="K75" s="1687">
        <f>SUM(C75:J75)</f>
        <v>119</v>
      </c>
      <c r="L75" s="576">
        <v>120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0</v>
      </c>
      <c r="F78" s="617"/>
      <c r="G78" s="617"/>
      <c r="H78" s="635">
        <v>0</v>
      </c>
      <c r="I78" s="477"/>
      <c r="J78" s="477"/>
      <c r="K78" s="1688">
        <f t="shared" ref="K78:K83" si="11">SUM(C78:J78)</f>
        <v>0</v>
      </c>
      <c r="L78" s="481">
        <v>0</v>
      </c>
    </row>
    <row r="79" spans="1:14" x14ac:dyDescent="0.2">
      <c r="A79" s="1524" t="s">
        <v>322</v>
      </c>
      <c r="B79" s="615">
        <v>4120</v>
      </c>
      <c r="C79" s="617"/>
      <c r="D79" s="617"/>
      <c r="E79" s="466">
        <v>0</v>
      </c>
      <c r="F79" s="617"/>
      <c r="G79" s="617"/>
      <c r="H79" s="466">
        <v>34333</v>
      </c>
      <c r="I79" s="477"/>
      <c r="J79" s="477"/>
      <c r="K79" s="1688">
        <f t="shared" si="11"/>
        <v>34333</v>
      </c>
      <c r="L79" s="466">
        <v>35000</v>
      </c>
    </row>
    <row r="80" spans="1:14" x14ac:dyDescent="0.2">
      <c r="A80" s="1524" t="s">
        <v>323</v>
      </c>
      <c r="B80" s="615">
        <v>4130</v>
      </c>
      <c r="C80" s="617"/>
      <c r="D80" s="617"/>
      <c r="E80" s="466">
        <v>0</v>
      </c>
      <c r="F80" s="617"/>
      <c r="G80" s="617"/>
      <c r="H80" s="466">
        <v>0</v>
      </c>
      <c r="I80" s="477"/>
      <c r="J80" s="477"/>
      <c r="K80" s="1688">
        <f t="shared" si="11"/>
        <v>0</v>
      </c>
      <c r="L80" s="466">
        <v>0</v>
      </c>
    </row>
    <row r="81" spans="1:12" x14ac:dyDescent="0.2">
      <c r="A81" s="1524" t="s">
        <v>721</v>
      </c>
      <c r="B81" s="615">
        <v>4140</v>
      </c>
      <c r="C81" s="617"/>
      <c r="D81" s="617"/>
      <c r="E81" s="466">
        <v>0</v>
      </c>
      <c r="F81" s="617"/>
      <c r="G81" s="617"/>
      <c r="H81" s="466">
        <v>1440</v>
      </c>
      <c r="I81" s="477"/>
      <c r="J81" s="477"/>
      <c r="K81" s="1688">
        <f t="shared" si="11"/>
        <v>1440</v>
      </c>
      <c r="L81" s="466">
        <v>0</v>
      </c>
    </row>
    <row r="82" spans="1:12" x14ac:dyDescent="0.2">
      <c r="A82" s="1524" t="s">
        <v>88</v>
      </c>
      <c r="B82" s="615">
        <v>4170</v>
      </c>
      <c r="C82" s="617"/>
      <c r="D82" s="617"/>
      <c r="E82" s="466">
        <v>0</v>
      </c>
      <c r="F82" s="617"/>
      <c r="G82" s="617"/>
      <c r="H82" s="466">
        <v>0</v>
      </c>
      <c r="I82" s="477"/>
      <c r="J82" s="477"/>
      <c r="K82" s="1688">
        <f t="shared" si="11"/>
        <v>0</v>
      </c>
      <c r="L82" s="466">
        <v>0</v>
      </c>
    </row>
    <row r="83" spans="1:12" x14ac:dyDescent="0.2">
      <c r="A83" s="1528" t="s">
        <v>722</v>
      </c>
      <c r="B83" s="629">
        <v>4190</v>
      </c>
      <c r="C83" s="617"/>
      <c r="D83" s="617"/>
      <c r="E83" s="466">
        <v>0</v>
      </c>
      <c r="F83" s="617"/>
      <c r="G83" s="617"/>
      <c r="H83" s="466">
        <v>0</v>
      </c>
      <c r="I83" s="477"/>
      <c r="J83" s="477"/>
      <c r="K83" s="1688">
        <f t="shared" si="11"/>
        <v>0</v>
      </c>
      <c r="L83" s="466">
        <v>0</v>
      </c>
    </row>
    <row r="84" spans="1:12" ht="13.5" thickBot="1" x14ac:dyDescent="0.25">
      <c r="A84" s="1685" t="s">
        <v>1565</v>
      </c>
      <c r="B84" s="1695">
        <v>4100</v>
      </c>
      <c r="C84" s="617"/>
      <c r="D84" s="617"/>
      <c r="E84" s="1687">
        <f>SUM(E78:E83)</f>
        <v>0</v>
      </c>
      <c r="F84" s="617"/>
      <c r="G84" s="617"/>
      <c r="H84" s="1687">
        <f>SUM(H78:H83)</f>
        <v>35773</v>
      </c>
      <c r="I84" s="477"/>
      <c r="J84" s="477"/>
      <c r="K84" s="1687">
        <f>SUM(K78:K83)</f>
        <v>35773</v>
      </c>
      <c r="L84" s="1687">
        <f>SUM(L78:L83)</f>
        <v>35000</v>
      </c>
    </row>
    <row r="85" spans="1:12" ht="12.75" customHeight="1" thickTop="1" thickBot="1" x14ac:dyDescent="0.25">
      <c r="A85" s="1531" t="s">
        <v>273</v>
      </c>
      <c r="B85" s="636">
        <v>4210</v>
      </c>
      <c r="C85" s="617"/>
      <c r="D85" s="617"/>
      <c r="E85" s="637"/>
      <c r="F85" s="617"/>
      <c r="G85" s="617"/>
      <c r="H85" s="535">
        <v>2304</v>
      </c>
      <c r="I85" s="477"/>
      <c r="J85" s="477"/>
      <c r="K85" s="1694">
        <f>H85</f>
        <v>2304</v>
      </c>
      <c r="L85" s="530">
        <v>3000</v>
      </c>
    </row>
    <row r="86" spans="1:12" ht="12.75" customHeight="1" thickTop="1" thickBot="1" x14ac:dyDescent="0.25">
      <c r="A86" s="1532" t="s">
        <v>723</v>
      </c>
      <c r="B86" s="638">
        <v>4220</v>
      </c>
      <c r="C86" s="617"/>
      <c r="D86" s="617"/>
      <c r="E86" s="639"/>
      <c r="F86" s="617"/>
      <c r="G86" s="617"/>
      <c r="H86" s="467">
        <v>630</v>
      </c>
      <c r="I86" s="477"/>
      <c r="J86" s="477"/>
      <c r="K86" s="1694">
        <f t="shared" ref="K86:K98" si="12">H86</f>
        <v>630</v>
      </c>
      <c r="L86" s="530">
        <v>630</v>
      </c>
    </row>
    <row r="87" spans="1:12" ht="14.25" thickTop="1" thickBot="1" x14ac:dyDescent="0.25">
      <c r="A87" s="1533" t="s">
        <v>724</v>
      </c>
      <c r="B87" s="640">
        <v>4230</v>
      </c>
      <c r="C87" s="617"/>
      <c r="D87" s="617"/>
      <c r="E87" s="639"/>
      <c r="F87" s="617"/>
      <c r="G87" s="617"/>
      <c r="H87" s="467">
        <v>0</v>
      </c>
      <c r="I87" s="477"/>
      <c r="J87" s="477"/>
      <c r="K87" s="1694">
        <f t="shared" si="12"/>
        <v>0</v>
      </c>
      <c r="L87" s="530">
        <v>0</v>
      </c>
    </row>
    <row r="88" spans="1:12" ht="12.75" customHeight="1" thickTop="1" thickBot="1" x14ac:dyDescent="0.25">
      <c r="A88" s="1533" t="s">
        <v>789</v>
      </c>
      <c r="B88" s="640">
        <v>4240</v>
      </c>
      <c r="C88" s="617"/>
      <c r="D88" s="617"/>
      <c r="E88" s="639"/>
      <c r="F88" s="617"/>
      <c r="G88" s="617"/>
      <c r="H88" s="467">
        <v>0</v>
      </c>
      <c r="I88" s="477"/>
      <c r="J88" s="477"/>
      <c r="K88" s="1694">
        <f t="shared" si="12"/>
        <v>0</v>
      </c>
      <c r="L88" s="530">
        <v>0</v>
      </c>
    </row>
    <row r="89" spans="1:12" ht="12.75" customHeight="1" thickTop="1" thickBot="1" x14ac:dyDescent="0.25">
      <c r="A89" s="1533" t="s">
        <v>725</v>
      </c>
      <c r="B89" s="640">
        <v>4270</v>
      </c>
      <c r="C89" s="617"/>
      <c r="D89" s="617"/>
      <c r="E89" s="639"/>
      <c r="F89" s="617"/>
      <c r="G89" s="617"/>
      <c r="H89" s="467">
        <v>0</v>
      </c>
      <c r="I89" s="477"/>
      <c r="J89" s="477"/>
      <c r="K89" s="1694">
        <f t="shared" si="12"/>
        <v>0</v>
      </c>
      <c r="L89" s="530">
        <v>0</v>
      </c>
    </row>
    <row r="90" spans="1:12" ht="12.75" customHeight="1" thickTop="1" thickBot="1" x14ac:dyDescent="0.25">
      <c r="A90" s="1533" t="s">
        <v>710</v>
      </c>
      <c r="B90" s="640">
        <v>4280</v>
      </c>
      <c r="C90" s="617"/>
      <c r="D90" s="617"/>
      <c r="E90" s="639"/>
      <c r="F90" s="617"/>
      <c r="G90" s="617"/>
      <c r="H90" s="467">
        <v>0</v>
      </c>
      <c r="I90" s="477"/>
      <c r="J90" s="477"/>
      <c r="K90" s="1694">
        <f t="shared" si="12"/>
        <v>0</v>
      </c>
      <c r="L90" s="530">
        <v>0</v>
      </c>
    </row>
    <row r="91" spans="1:12" ht="12.75" customHeight="1" thickTop="1" thickBot="1" x14ac:dyDescent="0.25">
      <c r="A91" s="1533" t="s">
        <v>711</v>
      </c>
      <c r="B91" s="640">
        <v>4290</v>
      </c>
      <c r="C91" s="617"/>
      <c r="D91" s="617"/>
      <c r="E91" s="639"/>
      <c r="F91" s="617"/>
      <c r="G91" s="617"/>
      <c r="H91" s="467">
        <v>0</v>
      </c>
      <c r="I91" s="477"/>
      <c r="J91" s="477"/>
      <c r="K91" s="1694">
        <f t="shared" si="12"/>
        <v>0</v>
      </c>
      <c r="L91" s="530">
        <v>0</v>
      </c>
    </row>
    <row r="92" spans="1:12" ht="14.25" thickTop="1" thickBot="1" x14ac:dyDescent="0.25">
      <c r="A92" s="1697" t="s">
        <v>1641</v>
      </c>
      <c r="B92" s="1695">
        <v>4200</v>
      </c>
      <c r="C92" s="617"/>
      <c r="D92" s="617"/>
      <c r="E92" s="639"/>
      <c r="F92" s="617"/>
      <c r="G92" s="617"/>
      <c r="H92" s="1687">
        <f>SUM(H85:H91)</f>
        <v>2934</v>
      </c>
      <c r="I92" s="477"/>
      <c r="J92" s="477"/>
      <c r="K92" s="1694">
        <f t="shared" si="12"/>
        <v>2934</v>
      </c>
      <c r="L92" s="1687">
        <f>SUM(L85:L91)</f>
        <v>3630</v>
      </c>
    </row>
    <row r="93" spans="1:12" ht="14.25" thickTop="1" thickBot="1" x14ac:dyDescent="0.25">
      <c r="A93" s="1532" t="s">
        <v>712</v>
      </c>
      <c r="B93" s="641">
        <v>4310</v>
      </c>
      <c r="C93" s="617"/>
      <c r="D93" s="617"/>
      <c r="E93" s="639"/>
      <c r="F93" s="617"/>
      <c r="G93" s="617"/>
      <c r="H93" s="642">
        <v>0</v>
      </c>
      <c r="I93" s="477"/>
      <c r="J93" s="477"/>
      <c r="K93" s="1694">
        <f t="shared" si="12"/>
        <v>0</v>
      </c>
      <c r="L93" s="532">
        <v>0</v>
      </c>
    </row>
    <row r="94" spans="1:12" ht="12.75" customHeight="1" thickTop="1" thickBot="1" x14ac:dyDescent="0.25">
      <c r="A94" s="1533" t="s">
        <v>713</v>
      </c>
      <c r="B94" s="640">
        <v>4320</v>
      </c>
      <c r="C94" s="617"/>
      <c r="D94" s="617"/>
      <c r="E94" s="639"/>
      <c r="F94" s="617"/>
      <c r="G94" s="617"/>
      <c r="H94" s="467">
        <v>0</v>
      </c>
      <c r="I94" s="477"/>
      <c r="J94" s="477"/>
      <c r="K94" s="1694">
        <f t="shared" si="12"/>
        <v>0</v>
      </c>
      <c r="L94" s="530">
        <v>0</v>
      </c>
    </row>
    <row r="95" spans="1:12" ht="15" customHeight="1" thickTop="1" thickBot="1" x14ac:dyDescent="0.25">
      <c r="A95" s="1533" t="s">
        <v>1568</v>
      </c>
      <c r="B95" s="640">
        <v>4330</v>
      </c>
      <c r="C95" s="617"/>
      <c r="D95" s="617"/>
      <c r="E95" s="639"/>
      <c r="F95" s="617"/>
      <c r="G95" s="617"/>
      <c r="H95" s="467">
        <v>0</v>
      </c>
      <c r="I95" s="477"/>
      <c r="J95" s="477"/>
      <c r="K95" s="1694">
        <f t="shared" si="12"/>
        <v>0</v>
      </c>
      <c r="L95" s="530">
        <v>0</v>
      </c>
    </row>
    <row r="96" spans="1:12" ht="14.25" thickTop="1" thickBot="1" x14ac:dyDescent="0.25">
      <c r="A96" s="1533" t="s">
        <v>714</v>
      </c>
      <c r="B96" s="640">
        <v>4340</v>
      </c>
      <c r="C96" s="617"/>
      <c r="D96" s="617"/>
      <c r="E96" s="639"/>
      <c r="F96" s="617"/>
      <c r="G96" s="617"/>
      <c r="H96" s="467">
        <v>0</v>
      </c>
      <c r="I96" s="477"/>
      <c r="J96" s="477"/>
      <c r="K96" s="1694">
        <f t="shared" si="12"/>
        <v>0</v>
      </c>
      <c r="L96" s="530">
        <v>0</v>
      </c>
    </row>
    <row r="97" spans="1:14" ht="12.75" customHeight="1" thickTop="1" thickBot="1" x14ac:dyDescent="0.25">
      <c r="A97" s="1533" t="s">
        <v>787</v>
      </c>
      <c r="B97" s="640">
        <v>4370</v>
      </c>
      <c r="C97" s="617"/>
      <c r="D97" s="617"/>
      <c r="E97" s="639"/>
      <c r="F97" s="617"/>
      <c r="G97" s="617"/>
      <c r="H97" s="467">
        <v>0</v>
      </c>
      <c r="I97" s="477"/>
      <c r="J97" s="477"/>
      <c r="K97" s="1694">
        <f t="shared" si="12"/>
        <v>0</v>
      </c>
      <c r="L97" s="530">
        <v>0</v>
      </c>
    </row>
    <row r="98" spans="1:14" ht="14.25" thickTop="1" thickBot="1" x14ac:dyDescent="0.25">
      <c r="A98" s="1533" t="s">
        <v>788</v>
      </c>
      <c r="B98" s="640">
        <v>4380</v>
      </c>
      <c r="C98" s="617"/>
      <c r="D98" s="617"/>
      <c r="E98" s="643"/>
      <c r="F98" s="617"/>
      <c r="G98" s="617"/>
      <c r="H98" s="467">
        <v>0</v>
      </c>
      <c r="I98" s="477"/>
      <c r="J98" s="477"/>
      <c r="K98" s="1694">
        <f t="shared" si="12"/>
        <v>0</v>
      </c>
      <c r="L98" s="530">
        <v>0</v>
      </c>
    </row>
    <row r="99" spans="1:14" ht="14.25" thickTop="1" thickBot="1" x14ac:dyDescent="0.25">
      <c r="A99" s="1533" t="s">
        <v>385</v>
      </c>
      <c r="B99" s="640">
        <v>4390</v>
      </c>
      <c r="C99" s="617"/>
      <c r="D99" s="617"/>
      <c r="E99" s="532">
        <v>0</v>
      </c>
      <c r="F99" s="617"/>
      <c r="G99" s="617"/>
      <c r="H99" s="467">
        <v>0</v>
      </c>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30" t="s">
        <v>1569</v>
      </c>
      <c r="B101" s="644" t="s">
        <v>988</v>
      </c>
      <c r="C101" s="617"/>
      <c r="D101" s="617"/>
      <c r="E101" s="531">
        <v>0</v>
      </c>
      <c r="F101" s="617"/>
      <c r="G101" s="617"/>
      <c r="H101" s="531">
        <v>0</v>
      </c>
      <c r="I101" s="477"/>
      <c r="J101" s="477"/>
      <c r="K101" s="1696">
        <f>SUM(C101:J101)</f>
        <v>0</v>
      </c>
      <c r="L101" s="530">
        <v>0</v>
      </c>
    </row>
    <row r="102" spans="1:14" ht="12.75" customHeight="1" thickTop="1" thickBot="1" x14ac:dyDescent="0.25">
      <c r="A102" s="1685" t="s">
        <v>1567</v>
      </c>
      <c r="B102" s="1695">
        <v>4000</v>
      </c>
      <c r="C102" s="617"/>
      <c r="D102" s="617"/>
      <c r="E102" s="1694">
        <f>SUM(E84,E92,E100,E101)</f>
        <v>0</v>
      </c>
      <c r="F102" s="617"/>
      <c r="G102" s="617"/>
      <c r="H102" s="1694">
        <f>SUM(H84,H92,H100,H101)</f>
        <v>38707</v>
      </c>
      <c r="I102" s="477"/>
      <c r="J102" s="477"/>
      <c r="K102" s="1694">
        <f>SUM(K84,K92,K100,K101)</f>
        <v>38707</v>
      </c>
      <c r="L102" s="1694">
        <f>SUM(L84,L92,L100,L101)</f>
        <v>38630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88">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88">
        <f>H106</f>
        <v>0</v>
      </c>
      <c r="L106" s="466">
        <v>0</v>
      </c>
      <c r="M106" s="210"/>
      <c r="N106" s="210"/>
    </row>
    <row r="107" spans="1:14" s="598" customFormat="1" ht="12.75" customHeight="1" x14ac:dyDescent="0.2">
      <c r="A107" s="1524" t="s">
        <v>1232</v>
      </c>
      <c r="B107" s="615">
        <v>5130</v>
      </c>
      <c r="C107" s="617"/>
      <c r="D107" s="617"/>
      <c r="E107" s="617"/>
      <c r="F107" s="617"/>
      <c r="G107" s="617"/>
      <c r="H107" s="466">
        <v>0</v>
      </c>
      <c r="I107" s="468"/>
      <c r="J107" s="468"/>
      <c r="K107" s="1688">
        <f>H107</f>
        <v>0</v>
      </c>
      <c r="L107" s="466">
        <v>0</v>
      </c>
      <c r="M107" s="210"/>
      <c r="N107" s="210"/>
    </row>
    <row r="108" spans="1:14" s="598" customFormat="1" x14ac:dyDescent="0.2">
      <c r="A108" s="1524" t="s">
        <v>91</v>
      </c>
      <c r="B108" s="615" t="s">
        <v>610</v>
      </c>
      <c r="C108" s="617"/>
      <c r="D108" s="617"/>
      <c r="E108" s="617"/>
      <c r="F108" s="617"/>
      <c r="G108" s="617"/>
      <c r="H108" s="466">
        <v>0</v>
      </c>
      <c r="I108" s="468"/>
      <c r="J108" s="468"/>
      <c r="K108" s="1688">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4" t="s">
        <v>386</v>
      </c>
      <c r="B111" s="648" t="s">
        <v>38</v>
      </c>
      <c r="C111" s="617"/>
      <c r="D111" s="617"/>
      <c r="E111" s="617"/>
      <c r="F111" s="617"/>
      <c r="G111" s="617"/>
      <c r="H111" s="535">
        <v>0</v>
      </c>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0</v>
      </c>
      <c r="M113" s="614"/>
      <c r="N113" s="614"/>
    </row>
    <row r="114" spans="1:14" ht="12.75" customHeight="1" thickTop="1" thickBot="1" x14ac:dyDescent="0.25">
      <c r="A114" s="1685" t="s">
        <v>50</v>
      </c>
      <c r="B114" s="1699"/>
      <c r="C114" s="1687">
        <f>SUM(C33,C74,C75,C102,C112,C113)</f>
        <v>1562180</v>
      </c>
      <c r="D114" s="1687">
        <f t="shared" ref="D114:K114" si="13">SUM(D33,D74,D75,D102,D112,D113)</f>
        <v>213101</v>
      </c>
      <c r="E114" s="1687">
        <f t="shared" si="13"/>
        <v>236744</v>
      </c>
      <c r="F114" s="1687">
        <f t="shared" si="13"/>
        <v>88452</v>
      </c>
      <c r="G114" s="1687">
        <f t="shared" si="13"/>
        <v>33725</v>
      </c>
      <c r="H114" s="1687">
        <f>SUM(H33,H74,H75,H102,H112,H113)</f>
        <v>49802</v>
      </c>
      <c r="I114" s="1687">
        <f t="shared" si="13"/>
        <v>0</v>
      </c>
      <c r="J114" s="1687">
        <f t="shared" si="13"/>
        <v>0</v>
      </c>
      <c r="K114" s="1687">
        <f t="shared" si="13"/>
        <v>2184004</v>
      </c>
      <c r="L114" s="1687">
        <f>SUM(L33,L74,L75,L102,L112,L113)</f>
        <v>2231360</v>
      </c>
    </row>
    <row r="115" spans="1:14" ht="13.5" thickTop="1" x14ac:dyDescent="0.2">
      <c r="A115" s="2170" t="s">
        <v>1053</v>
      </c>
      <c r="B115" s="2171"/>
      <c r="C115" s="619"/>
      <c r="D115" s="619"/>
      <c r="E115" s="619"/>
      <c r="F115" s="619"/>
      <c r="G115" s="619"/>
      <c r="H115" s="619"/>
      <c r="I115" s="619"/>
      <c r="J115" s="619"/>
      <c r="K115" s="1701">
        <f>'Revenues 9-14'!C275-'Expenditures 15-22'!K114</f>
        <v>353537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4" t="s">
        <v>4</v>
      </c>
      <c r="B123" s="615">
        <v>2530</v>
      </c>
      <c r="C123" s="466">
        <v>0</v>
      </c>
      <c r="D123" s="466">
        <v>0</v>
      </c>
      <c r="E123" s="466">
        <v>0</v>
      </c>
      <c r="F123" s="466">
        <v>0</v>
      </c>
      <c r="G123" s="466">
        <v>0</v>
      </c>
      <c r="H123" s="466">
        <v>0</v>
      </c>
      <c r="I123" s="467">
        <v>0</v>
      </c>
      <c r="J123" s="467">
        <v>0</v>
      </c>
      <c r="K123" s="1687">
        <f>SUM(C123:J123)</f>
        <v>0</v>
      </c>
      <c r="L123" s="466">
        <v>0</v>
      </c>
    </row>
    <row r="124" spans="1:14" ht="14.25" thickTop="1" thickBot="1" x14ac:dyDescent="0.25">
      <c r="A124" s="1524" t="s">
        <v>206</v>
      </c>
      <c r="B124" s="615">
        <v>2540</v>
      </c>
      <c r="C124" s="466">
        <v>0</v>
      </c>
      <c r="D124" s="466">
        <v>0</v>
      </c>
      <c r="E124" s="466">
        <v>32136</v>
      </c>
      <c r="F124" s="466">
        <v>73533</v>
      </c>
      <c r="G124" s="466">
        <v>0</v>
      </c>
      <c r="H124" s="466">
        <v>0</v>
      </c>
      <c r="I124" s="467">
        <v>0</v>
      </c>
      <c r="J124" s="467">
        <v>0</v>
      </c>
      <c r="K124" s="1687">
        <f>SUM(C124:J124)</f>
        <v>105669</v>
      </c>
      <c r="L124" s="466">
        <v>107107</v>
      </c>
    </row>
    <row r="125" spans="1:14" ht="14.25" thickTop="1" thickBot="1" x14ac:dyDescent="0.25">
      <c r="A125" s="1524" t="s">
        <v>1010</v>
      </c>
      <c r="B125" s="615">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4" t="s">
        <v>102</v>
      </c>
      <c r="B126" s="615">
        <v>2560</v>
      </c>
      <c r="C126" s="655"/>
      <c r="D126" s="655"/>
      <c r="E126" s="655"/>
      <c r="F126" s="655"/>
      <c r="G126" s="466">
        <v>0</v>
      </c>
      <c r="H126" s="655"/>
      <c r="I126" s="474">
        <v>0</v>
      </c>
      <c r="J126" s="617"/>
      <c r="K126" s="1687">
        <f>SUM(C126:J126)</f>
        <v>0</v>
      </c>
      <c r="L126" s="466">
        <v>0</v>
      </c>
    </row>
    <row r="127" spans="1:14" ht="12.75" customHeight="1" thickTop="1" thickBot="1" x14ac:dyDescent="0.25">
      <c r="A127" s="1685" t="s">
        <v>743</v>
      </c>
      <c r="B127" s="1686" t="s">
        <v>35</v>
      </c>
      <c r="C127" s="1687">
        <f>SUM(C122:C126)</f>
        <v>0</v>
      </c>
      <c r="D127" s="1687">
        <f t="shared" ref="D127:L127" si="14">SUM(D122:D126)</f>
        <v>0</v>
      </c>
      <c r="E127" s="1687">
        <f t="shared" si="14"/>
        <v>32136</v>
      </c>
      <c r="F127" s="1687">
        <f t="shared" si="14"/>
        <v>73533</v>
      </c>
      <c r="G127" s="1687">
        <f t="shared" si="14"/>
        <v>0</v>
      </c>
      <c r="H127" s="1687">
        <f t="shared" si="14"/>
        <v>0</v>
      </c>
      <c r="I127" s="1687">
        <f t="shared" si="14"/>
        <v>0</v>
      </c>
      <c r="J127" s="1687">
        <f t="shared" si="14"/>
        <v>0</v>
      </c>
      <c r="K127" s="1687">
        <f t="shared" si="14"/>
        <v>105669</v>
      </c>
      <c r="L127" s="1687">
        <f t="shared" si="14"/>
        <v>107107</v>
      </c>
    </row>
    <row r="128" spans="1:14" ht="12.75" customHeight="1" thickTop="1" x14ac:dyDescent="0.2">
      <c r="A128" s="1531" t="s">
        <v>1037</v>
      </c>
      <c r="B128" s="656" t="s">
        <v>595</v>
      </c>
      <c r="C128" s="657">
        <v>0</v>
      </c>
      <c r="D128" s="657">
        <v>0</v>
      </c>
      <c r="E128" s="657">
        <v>0</v>
      </c>
      <c r="F128" s="657">
        <v>0</v>
      </c>
      <c r="G128" s="657">
        <v>0</v>
      </c>
      <c r="H128" s="657">
        <v>0</v>
      </c>
      <c r="I128" s="535">
        <v>0</v>
      </c>
      <c r="J128" s="535">
        <v>0</v>
      </c>
      <c r="K128" s="1702">
        <f>SUM(C128:J128)</f>
        <v>0</v>
      </c>
      <c r="L128" s="657">
        <v>0</v>
      </c>
    </row>
    <row r="129" spans="1:14" ht="12.75" customHeight="1" thickBot="1" x14ac:dyDescent="0.25">
      <c r="A129" s="1703" t="s">
        <v>865</v>
      </c>
      <c r="B129" s="1704" t="s">
        <v>590</v>
      </c>
      <c r="C129" s="1694">
        <f>SUM(C120,C127,C128)</f>
        <v>0</v>
      </c>
      <c r="D129" s="1694">
        <f t="shared" ref="D129:L129" si="15">SUM(D120,D127,D128)</f>
        <v>0</v>
      </c>
      <c r="E129" s="1694">
        <f t="shared" si="15"/>
        <v>32136</v>
      </c>
      <c r="F129" s="1694">
        <f t="shared" si="15"/>
        <v>73533</v>
      </c>
      <c r="G129" s="1694">
        <f t="shared" si="15"/>
        <v>0</v>
      </c>
      <c r="H129" s="1694">
        <f t="shared" si="15"/>
        <v>0</v>
      </c>
      <c r="I129" s="1694">
        <f t="shared" si="15"/>
        <v>0</v>
      </c>
      <c r="J129" s="1694">
        <f t="shared" si="15"/>
        <v>0</v>
      </c>
      <c r="K129" s="1694">
        <f t="shared" si="15"/>
        <v>105669</v>
      </c>
      <c r="L129" s="1694">
        <f t="shared" si="15"/>
        <v>107107</v>
      </c>
    </row>
    <row r="130" spans="1:14" ht="15.75" customHeight="1" thickTop="1" thickBot="1" x14ac:dyDescent="0.25">
      <c r="A130" s="1630" t="s">
        <v>1096</v>
      </c>
      <c r="B130" s="1631" t="s">
        <v>596</v>
      </c>
      <c r="C130" s="576">
        <v>0</v>
      </c>
      <c r="D130" s="576">
        <v>0</v>
      </c>
      <c r="E130" s="576">
        <v>0</v>
      </c>
      <c r="F130" s="576">
        <v>0</v>
      </c>
      <c r="G130" s="576">
        <v>0</v>
      </c>
      <c r="H130" s="576">
        <v>0</v>
      </c>
      <c r="I130" s="531">
        <v>0</v>
      </c>
      <c r="J130" s="531">
        <v>0</v>
      </c>
      <c r="K130" s="1687">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58" t="s">
        <v>1956</v>
      </c>
      <c r="C133" s="468"/>
      <c r="D133" s="468"/>
      <c r="E133" s="642">
        <v>0</v>
      </c>
      <c r="F133" s="468"/>
      <c r="G133" s="468"/>
      <c r="H133" s="642">
        <v>0</v>
      </c>
      <c r="I133" s="468"/>
      <c r="J133" s="468"/>
      <c r="K133" s="1839">
        <f>SUM(E133,H133)</f>
        <v>0</v>
      </c>
      <c r="L133" s="642">
        <v>0</v>
      </c>
      <c r="M133" s="206"/>
      <c r="N133" s="206"/>
    </row>
    <row r="134" spans="1:14" x14ac:dyDescent="0.2">
      <c r="A134" s="1524" t="s">
        <v>322</v>
      </c>
      <c r="B134" s="615">
        <v>4120</v>
      </c>
      <c r="C134" s="617"/>
      <c r="D134" s="617"/>
      <c r="E134" s="478">
        <v>0</v>
      </c>
      <c r="F134" s="617"/>
      <c r="G134" s="617"/>
      <c r="H134" s="481">
        <v>0</v>
      </c>
      <c r="I134" s="477"/>
      <c r="J134" s="617"/>
      <c r="K134" s="1689">
        <f>SUM(E134,H134)</f>
        <v>0</v>
      </c>
      <c r="L134" s="481">
        <v>0</v>
      </c>
    </row>
    <row r="135" spans="1:14" x14ac:dyDescent="0.2">
      <c r="A135" s="1524" t="s">
        <v>721</v>
      </c>
      <c r="B135" s="615">
        <v>4140</v>
      </c>
      <c r="C135" s="617"/>
      <c r="D135" s="617"/>
      <c r="E135" s="467">
        <v>0</v>
      </c>
      <c r="F135" s="617"/>
      <c r="G135" s="617"/>
      <c r="H135" s="466">
        <v>0</v>
      </c>
      <c r="I135" s="477"/>
      <c r="J135" s="617"/>
      <c r="K135" s="1689">
        <f>SUM(E135,H135)</f>
        <v>0</v>
      </c>
      <c r="L135" s="466">
        <v>0</v>
      </c>
    </row>
    <row r="136" spans="1:14" x14ac:dyDescent="0.2">
      <c r="A136" s="1528" t="s">
        <v>722</v>
      </c>
      <c r="B136" s="629">
        <v>4190</v>
      </c>
      <c r="C136" s="617"/>
      <c r="D136" s="617"/>
      <c r="E136" s="467">
        <v>0</v>
      </c>
      <c r="F136" s="617"/>
      <c r="G136" s="617"/>
      <c r="H136" s="466">
        <v>0</v>
      </c>
      <c r="I136" s="477"/>
      <c r="J136" s="617"/>
      <c r="K136" s="1689">
        <f>SUM(E136,H136)</f>
        <v>0</v>
      </c>
      <c r="L136" s="466">
        <v>0</v>
      </c>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30" t="s">
        <v>98</v>
      </c>
      <c r="B138" s="644" t="s">
        <v>988</v>
      </c>
      <c r="C138" s="617"/>
      <c r="D138" s="617"/>
      <c r="E138" s="479">
        <v>0</v>
      </c>
      <c r="F138" s="617"/>
      <c r="G138" s="617"/>
      <c r="H138" s="576">
        <v>0</v>
      </c>
      <c r="I138" s="477"/>
      <c r="J138" s="617"/>
      <c r="K138" s="1689">
        <f>SUM(E138,H138)</f>
        <v>0</v>
      </c>
      <c r="L138" s="576">
        <v>0</v>
      </c>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89">
        <f>SUM(H142)</f>
        <v>0</v>
      </c>
      <c r="L142" s="481">
        <v>0</v>
      </c>
    </row>
    <row r="143" spans="1:14" x14ac:dyDescent="0.2">
      <c r="A143" s="1524" t="s">
        <v>90</v>
      </c>
      <c r="B143" s="615">
        <v>5120</v>
      </c>
      <c r="C143" s="617"/>
      <c r="D143" s="617"/>
      <c r="E143" s="617"/>
      <c r="F143" s="617"/>
      <c r="G143" s="617"/>
      <c r="H143" s="466">
        <v>0</v>
      </c>
      <c r="I143" s="468"/>
      <c r="J143" s="617"/>
      <c r="K143" s="1689">
        <f>SUM(H143)</f>
        <v>0</v>
      </c>
      <c r="L143" s="466">
        <v>0</v>
      </c>
    </row>
    <row r="144" spans="1:14" ht="12.75" customHeight="1" x14ac:dyDescent="0.2">
      <c r="A144" s="1524" t="s">
        <v>1232</v>
      </c>
      <c r="B144" s="629" t="s">
        <v>638</v>
      </c>
      <c r="C144" s="617"/>
      <c r="D144" s="617"/>
      <c r="E144" s="617"/>
      <c r="F144" s="617"/>
      <c r="G144" s="617"/>
      <c r="H144" s="466">
        <v>0</v>
      </c>
      <c r="I144" s="468"/>
      <c r="J144" s="617"/>
      <c r="K144" s="1689">
        <f>SUM(H144)</f>
        <v>0</v>
      </c>
      <c r="L144" s="466">
        <v>0</v>
      </c>
    </row>
    <row r="145" spans="1:14" x14ac:dyDescent="0.2">
      <c r="A145" s="1524" t="s">
        <v>91</v>
      </c>
      <c r="B145" s="615" t="s">
        <v>610</v>
      </c>
      <c r="C145" s="617"/>
      <c r="D145" s="617"/>
      <c r="E145" s="617"/>
      <c r="F145" s="617"/>
      <c r="G145" s="617"/>
      <c r="H145" s="466">
        <v>0</v>
      </c>
      <c r="I145" s="468"/>
      <c r="J145" s="617"/>
      <c r="K145" s="1689">
        <f>SUM(H145)</f>
        <v>0</v>
      </c>
      <c r="L145" s="466">
        <v>0</v>
      </c>
    </row>
    <row r="146" spans="1:14" ht="12.75" customHeight="1" x14ac:dyDescent="0.2">
      <c r="A146" s="1524" t="s">
        <v>640</v>
      </c>
      <c r="B146" s="615" t="s">
        <v>639</v>
      </c>
      <c r="C146" s="617"/>
      <c r="D146" s="617"/>
      <c r="E146" s="617"/>
      <c r="F146" s="617"/>
      <c r="G146" s="617"/>
      <c r="H146" s="466">
        <v>0</v>
      </c>
      <c r="I146" s="468"/>
      <c r="J146" s="617"/>
      <c r="K146" s="1689">
        <f>SUM(H146)</f>
        <v>0</v>
      </c>
      <c r="L146" s="466">
        <v>0</v>
      </c>
    </row>
    <row r="147" spans="1:14" ht="12.75" customHeight="1" thickBot="1" x14ac:dyDescent="0.25">
      <c r="A147" s="1535"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v>0</v>
      </c>
      <c r="I148" s="468"/>
      <c r="J148" s="617"/>
      <c r="K148" s="1689">
        <f>SUM(H148)</f>
        <v>0</v>
      </c>
      <c r="L148" s="492">
        <v>0</v>
      </c>
    </row>
    <row r="149" spans="1:14" ht="12.75" customHeight="1" thickBot="1" x14ac:dyDescent="0.25">
      <c r="A149" s="1527"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187" t="s">
        <v>641</v>
      </c>
      <c r="B151" s="2167"/>
      <c r="C151" s="1687">
        <f>SUM(C129,C130,C139,C149,C150)</f>
        <v>0</v>
      </c>
      <c r="D151" s="1687">
        <f t="shared" ref="D151:K151" si="16">SUM(D129,D130,D139,D149,D150)</f>
        <v>0</v>
      </c>
      <c r="E151" s="1687">
        <f t="shared" si="16"/>
        <v>32136</v>
      </c>
      <c r="F151" s="1687">
        <f t="shared" si="16"/>
        <v>73533</v>
      </c>
      <c r="G151" s="1687">
        <f t="shared" si="16"/>
        <v>0</v>
      </c>
      <c r="H151" s="1687">
        <f t="shared" si="16"/>
        <v>0</v>
      </c>
      <c r="I151" s="1687">
        <f t="shared" si="16"/>
        <v>0</v>
      </c>
      <c r="J151" s="1687">
        <f t="shared" si="16"/>
        <v>0</v>
      </c>
      <c r="K151" s="1687">
        <f t="shared" si="16"/>
        <v>105669</v>
      </c>
      <c r="L151" s="1687">
        <f>SUM(L129,L130,L139,L149,L150)</f>
        <v>107107</v>
      </c>
    </row>
    <row r="152" spans="1:14" ht="12.75" customHeight="1" thickTop="1" x14ac:dyDescent="0.2">
      <c r="A152" s="2190" t="s">
        <v>1240</v>
      </c>
      <c r="B152" s="2191"/>
      <c r="C152" s="619"/>
      <c r="D152" s="619"/>
      <c r="E152" s="619"/>
      <c r="F152" s="619"/>
      <c r="G152" s="619"/>
      <c r="H152" s="619"/>
      <c r="I152" s="619"/>
      <c r="J152" s="617"/>
      <c r="K152" s="1701">
        <f>'Revenues 9-14'!D275-'Expenditures 15-22'!K151</f>
        <v>3918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1957</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1956</v>
      </c>
      <c r="C157" s="617"/>
      <c r="D157" s="617"/>
      <c r="E157" s="617"/>
      <c r="F157" s="617"/>
      <c r="G157" s="617"/>
      <c r="H157" s="642">
        <v>0</v>
      </c>
      <c r="I157" s="617"/>
      <c r="J157" s="617"/>
      <c r="K157" s="1688">
        <f>H157</f>
        <v>0</v>
      </c>
      <c r="L157" s="467">
        <v>0</v>
      </c>
      <c r="M157" s="620"/>
      <c r="N157" s="620"/>
    </row>
    <row r="158" spans="1:14" s="621" customFormat="1" ht="12" x14ac:dyDescent="0.2">
      <c r="A158" s="1844" t="s">
        <v>322</v>
      </c>
      <c r="B158" s="1845" t="s">
        <v>1958</v>
      </c>
      <c r="C158" s="617"/>
      <c r="D158" s="617"/>
      <c r="E158" s="617"/>
      <c r="F158" s="617"/>
      <c r="G158" s="617"/>
      <c r="H158" s="467">
        <v>0</v>
      </c>
      <c r="I158" s="617"/>
      <c r="J158" s="617"/>
      <c r="K158" s="1688">
        <f>H158</f>
        <v>0</v>
      </c>
      <c r="L158" s="467">
        <v>0</v>
      </c>
      <c r="M158" s="620"/>
      <c r="N158" s="620"/>
    </row>
    <row r="159" spans="1:14" s="621" customFormat="1" ht="12" x14ac:dyDescent="0.2">
      <c r="A159" s="1844" t="s">
        <v>1959</v>
      </c>
      <c r="B159" s="1845" t="s">
        <v>579</v>
      </c>
      <c r="C159" s="617"/>
      <c r="D159" s="617"/>
      <c r="E159" s="617"/>
      <c r="F159" s="617"/>
      <c r="G159" s="617"/>
      <c r="H159" s="467">
        <v>0</v>
      </c>
      <c r="I159" s="617"/>
      <c r="J159" s="617"/>
      <c r="K159" s="1688">
        <f>H159</f>
        <v>0</v>
      </c>
      <c r="L159" s="467">
        <v>0</v>
      </c>
      <c r="M159" s="620"/>
      <c r="N159" s="620"/>
    </row>
    <row r="160" spans="1:14" s="621" customFormat="1" ht="15.75" customHeight="1" thickBot="1" x14ac:dyDescent="0.25">
      <c r="A160" s="1846" t="s">
        <v>1960</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88">
        <f>SUM(C163:J163)</f>
        <v>0</v>
      </c>
      <c r="L163" s="466">
        <v>0</v>
      </c>
    </row>
    <row r="164" spans="1:14" x14ac:dyDescent="0.2">
      <c r="A164" s="1524" t="s">
        <v>90</v>
      </c>
      <c r="B164" s="615">
        <v>5120</v>
      </c>
      <c r="C164" s="617"/>
      <c r="D164" s="617"/>
      <c r="E164" s="617"/>
      <c r="F164" s="617"/>
      <c r="G164" s="617"/>
      <c r="H164" s="466">
        <v>0</v>
      </c>
      <c r="I164" s="617"/>
      <c r="J164" s="617"/>
      <c r="K164" s="1688">
        <f>SUM(C164:J164)</f>
        <v>0</v>
      </c>
      <c r="L164" s="466">
        <v>0</v>
      </c>
    </row>
    <row r="165" spans="1:14" ht="12.75" customHeight="1" x14ac:dyDescent="0.2">
      <c r="A165" s="1524" t="s">
        <v>1232</v>
      </c>
      <c r="B165" s="615" t="s">
        <v>638</v>
      </c>
      <c r="C165" s="617"/>
      <c r="D165" s="617"/>
      <c r="E165" s="617"/>
      <c r="F165" s="617"/>
      <c r="G165" s="617"/>
      <c r="H165" s="466">
        <v>0</v>
      </c>
      <c r="I165" s="617"/>
      <c r="J165" s="617"/>
      <c r="K165" s="1688">
        <f>SUM(C165:J165)</f>
        <v>0</v>
      </c>
      <c r="L165" s="466">
        <v>0</v>
      </c>
    </row>
    <row r="166" spans="1:14" x14ac:dyDescent="0.2">
      <c r="A166" s="1524" t="s">
        <v>91</v>
      </c>
      <c r="B166" s="629" t="s">
        <v>610</v>
      </c>
      <c r="C166" s="617"/>
      <c r="D166" s="617"/>
      <c r="E166" s="617"/>
      <c r="F166" s="617"/>
      <c r="G166" s="617"/>
      <c r="H166" s="466">
        <v>0</v>
      </c>
      <c r="I166" s="617"/>
      <c r="J166" s="617"/>
      <c r="K166" s="1688">
        <f>SUM(C166:J166)</f>
        <v>0</v>
      </c>
      <c r="L166" s="466">
        <v>0</v>
      </c>
    </row>
    <row r="167" spans="1:14" ht="12.75" customHeight="1" x14ac:dyDescent="0.2">
      <c r="A167" s="1524" t="s">
        <v>640</v>
      </c>
      <c r="B167" s="615" t="s">
        <v>639</v>
      </c>
      <c r="C167" s="617"/>
      <c r="D167" s="617"/>
      <c r="E167" s="617"/>
      <c r="F167" s="617"/>
      <c r="G167" s="617"/>
      <c r="H167" s="466">
        <v>0</v>
      </c>
      <c r="I167" s="617"/>
      <c r="J167" s="617"/>
      <c r="K167" s="1688">
        <f>SUM(C167:J167)</f>
        <v>0</v>
      </c>
      <c r="L167" s="466">
        <v>0</v>
      </c>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58070</v>
      </c>
      <c r="I169" s="617"/>
      <c r="J169" s="617"/>
      <c r="K169" s="1688">
        <f>SUM(C169:H169)</f>
        <v>58070</v>
      </c>
      <c r="L169" s="657">
        <v>58070</v>
      </c>
    </row>
    <row r="170" spans="1:14" ht="33.75" customHeight="1" x14ac:dyDescent="0.2">
      <c r="A170" s="670" t="s">
        <v>1769</v>
      </c>
      <c r="B170" s="672" t="s">
        <v>31</v>
      </c>
      <c r="C170" s="617"/>
      <c r="D170" s="617"/>
      <c r="E170" s="617"/>
      <c r="F170" s="617"/>
      <c r="G170" s="617"/>
      <c r="H170" s="569">
        <v>155400</v>
      </c>
      <c r="I170" s="617"/>
      <c r="J170" s="617"/>
      <c r="K170" s="1688">
        <f>SUM(C170:J170)</f>
        <v>155400</v>
      </c>
      <c r="L170" s="569">
        <v>156600</v>
      </c>
    </row>
    <row r="171" spans="1:14" ht="15.75" customHeight="1" x14ac:dyDescent="0.2">
      <c r="A171" s="622" t="s">
        <v>790</v>
      </c>
      <c r="B171" s="673" t="s">
        <v>86</v>
      </c>
      <c r="C171" s="617"/>
      <c r="D171" s="617"/>
      <c r="E171" s="466">
        <v>0</v>
      </c>
      <c r="F171" s="617"/>
      <c r="G171" s="617"/>
      <c r="H171" s="569">
        <v>636</v>
      </c>
      <c r="I171" s="477"/>
      <c r="J171" s="617"/>
      <c r="K171" s="1688">
        <f>SUM(C171:J171)</f>
        <v>636</v>
      </c>
      <c r="L171" s="569">
        <v>0</v>
      </c>
    </row>
    <row r="172" spans="1:14" ht="12.75" customHeight="1" thickBot="1" x14ac:dyDescent="0.25">
      <c r="A172" s="1685" t="s">
        <v>659</v>
      </c>
      <c r="B172" s="1686" t="s">
        <v>513</v>
      </c>
      <c r="C172" s="617"/>
      <c r="D172" s="617"/>
      <c r="E172" s="1694">
        <f>SUM(E168,E169,E170,E171)</f>
        <v>0</v>
      </c>
      <c r="F172" s="617"/>
      <c r="G172" s="617"/>
      <c r="H172" s="1694">
        <f>SUM(H168,H169,H170,H171)</f>
        <v>214106</v>
      </c>
      <c r="I172" s="639"/>
      <c r="J172" s="617"/>
      <c r="K172" s="1694">
        <f>SUM(K168,K169,K170,K171)</f>
        <v>214106</v>
      </c>
      <c r="L172" s="1694">
        <f>SUM(L168,L169,L170,L171)</f>
        <v>214670</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214106</v>
      </c>
      <c r="I174" s="639"/>
      <c r="J174" s="617"/>
      <c r="K174" s="1694">
        <f>SUM(K160,K172,K173)</f>
        <v>214106</v>
      </c>
      <c r="L174" s="1694">
        <f>SUM(L160,L172,L173)</f>
        <v>214670</v>
      </c>
    </row>
    <row r="175" spans="1:14" ht="13.5" thickTop="1" x14ac:dyDescent="0.2">
      <c r="A175" s="2170" t="s">
        <v>1053</v>
      </c>
      <c r="B175" s="2171"/>
      <c r="C175" s="617"/>
      <c r="D175" s="617"/>
      <c r="E175" s="617"/>
      <c r="F175" s="617"/>
      <c r="G175" s="617"/>
      <c r="H175" s="619"/>
      <c r="I175" s="617"/>
      <c r="J175" s="617"/>
      <c r="K175" s="1701">
        <f>'Revenues 9-14'!E275-'Expenditures 15-22'!K174</f>
        <v>2911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66357</v>
      </c>
      <c r="D182" s="466">
        <v>3618</v>
      </c>
      <c r="E182" s="466">
        <v>13600</v>
      </c>
      <c r="F182" s="466">
        <v>12525</v>
      </c>
      <c r="G182" s="466">
        <v>0</v>
      </c>
      <c r="H182" s="466">
        <v>39408</v>
      </c>
      <c r="I182" s="467">
        <v>0</v>
      </c>
      <c r="J182" s="467">
        <v>0</v>
      </c>
      <c r="K182" s="1688">
        <f>SUM(C182:J182)</f>
        <v>135508</v>
      </c>
      <c r="L182" s="466">
        <v>95376</v>
      </c>
    </row>
    <row r="183" spans="1:14" ht="12.75" customHeight="1" thickBot="1" x14ac:dyDescent="0.25">
      <c r="A183" s="1529" t="s">
        <v>1037</v>
      </c>
      <c r="B183" s="678">
        <v>2900</v>
      </c>
      <c r="C183" s="573">
        <v>0</v>
      </c>
      <c r="D183" s="573">
        <v>0</v>
      </c>
      <c r="E183" s="573">
        <v>0</v>
      </c>
      <c r="F183" s="573">
        <v>0</v>
      </c>
      <c r="G183" s="573">
        <v>0</v>
      </c>
      <c r="H183" s="573">
        <v>0</v>
      </c>
      <c r="I183" s="532">
        <v>0</v>
      </c>
      <c r="J183" s="532">
        <v>0</v>
      </c>
      <c r="K183" s="1694">
        <f>SUM(C183:J183)</f>
        <v>0</v>
      </c>
      <c r="L183" s="573">
        <v>0</v>
      </c>
    </row>
    <row r="184" spans="1:14" ht="12.75" customHeight="1" thickTop="1" thickBot="1" x14ac:dyDescent="0.25">
      <c r="A184" s="1708" t="s">
        <v>865</v>
      </c>
      <c r="B184" s="1686" t="s">
        <v>590</v>
      </c>
      <c r="C184" s="1694">
        <f>SUM(C180,C182,C183)</f>
        <v>66357</v>
      </c>
      <c r="D184" s="1694">
        <f t="shared" ref="D184:J184" si="17">SUM(D180,D182,D183)</f>
        <v>3618</v>
      </c>
      <c r="E184" s="1694">
        <f t="shared" si="17"/>
        <v>13600</v>
      </c>
      <c r="F184" s="1694">
        <f t="shared" si="17"/>
        <v>12525</v>
      </c>
      <c r="G184" s="1694">
        <f t="shared" si="17"/>
        <v>0</v>
      </c>
      <c r="H184" s="1694">
        <f t="shared" si="17"/>
        <v>39408</v>
      </c>
      <c r="I184" s="1694">
        <f t="shared" si="17"/>
        <v>0</v>
      </c>
      <c r="J184" s="1694">
        <f t="shared" si="17"/>
        <v>0</v>
      </c>
      <c r="K184" s="1694">
        <f>SUM(K180,K182,K183)</f>
        <v>135508</v>
      </c>
      <c r="L184" s="1694">
        <f>SUM(L180, L182:L183)</f>
        <v>95376</v>
      </c>
    </row>
    <row r="185" spans="1:14" ht="15.75" customHeight="1" thickTop="1" thickBot="1" x14ac:dyDescent="0.25">
      <c r="A185" s="1642" t="s">
        <v>996</v>
      </c>
      <c r="B185" s="1631">
        <v>3000</v>
      </c>
      <c r="C185" s="576"/>
      <c r="D185" s="576"/>
      <c r="E185" s="576"/>
      <c r="F185" s="576"/>
      <c r="G185" s="576"/>
      <c r="H185" s="576"/>
      <c r="I185" s="531"/>
      <c r="J185" s="531"/>
      <c r="K185" s="1687">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v>0</v>
      </c>
      <c r="F188" s="617"/>
      <c r="G188" s="617"/>
      <c r="H188" s="466">
        <v>0</v>
      </c>
      <c r="I188" s="477"/>
      <c r="J188" s="617"/>
      <c r="K188" s="1688">
        <f t="shared" ref="K188:K193" si="18">SUM(E188,H188)</f>
        <v>0</v>
      </c>
      <c r="L188" s="466">
        <v>0</v>
      </c>
    </row>
    <row r="189" spans="1:14" x14ac:dyDescent="0.2">
      <c r="A189" s="1524" t="s">
        <v>322</v>
      </c>
      <c r="B189" s="615">
        <v>4120</v>
      </c>
      <c r="C189" s="617"/>
      <c r="D189" s="617"/>
      <c r="E189" s="466">
        <v>0</v>
      </c>
      <c r="F189" s="617"/>
      <c r="G189" s="617"/>
      <c r="H189" s="466">
        <v>0</v>
      </c>
      <c r="I189" s="477"/>
      <c r="J189" s="617"/>
      <c r="K189" s="1688">
        <f t="shared" si="18"/>
        <v>0</v>
      </c>
      <c r="L189" s="466">
        <v>0</v>
      </c>
    </row>
    <row r="190" spans="1:14" x14ac:dyDescent="0.2">
      <c r="A190" s="1524" t="s">
        <v>323</v>
      </c>
      <c r="B190" s="629">
        <v>4130</v>
      </c>
      <c r="C190" s="617"/>
      <c r="D190" s="617"/>
      <c r="E190" s="466">
        <v>0</v>
      </c>
      <c r="F190" s="617"/>
      <c r="G190" s="617"/>
      <c r="H190" s="466">
        <v>0</v>
      </c>
      <c r="I190" s="477"/>
      <c r="J190" s="617"/>
      <c r="K190" s="1688">
        <f t="shared" si="18"/>
        <v>0</v>
      </c>
      <c r="L190" s="466">
        <v>0</v>
      </c>
    </row>
    <row r="191" spans="1:14" x14ac:dyDescent="0.2">
      <c r="A191" s="1524" t="s">
        <v>721</v>
      </c>
      <c r="B191" s="615">
        <v>4140</v>
      </c>
      <c r="C191" s="617"/>
      <c r="D191" s="617"/>
      <c r="E191" s="466">
        <v>0</v>
      </c>
      <c r="F191" s="617"/>
      <c r="G191" s="617"/>
      <c r="H191" s="466">
        <v>0</v>
      </c>
      <c r="I191" s="477"/>
      <c r="J191" s="617"/>
      <c r="K191" s="1688">
        <f t="shared" si="18"/>
        <v>0</v>
      </c>
      <c r="L191" s="466">
        <v>0</v>
      </c>
    </row>
    <row r="192" spans="1:14" x14ac:dyDescent="0.2">
      <c r="A192" s="1524" t="s">
        <v>88</v>
      </c>
      <c r="B192" s="615">
        <v>4170</v>
      </c>
      <c r="C192" s="617"/>
      <c r="D192" s="617"/>
      <c r="E192" s="466">
        <v>0</v>
      </c>
      <c r="F192" s="617"/>
      <c r="G192" s="617"/>
      <c r="H192" s="466">
        <v>0</v>
      </c>
      <c r="I192" s="477"/>
      <c r="J192" s="617"/>
      <c r="K192" s="1688">
        <f t="shared" si="18"/>
        <v>0</v>
      </c>
      <c r="L192" s="466">
        <v>0</v>
      </c>
    </row>
    <row r="193" spans="1:14" x14ac:dyDescent="0.2">
      <c r="A193" s="1528" t="s">
        <v>722</v>
      </c>
      <c r="B193" s="629">
        <v>4190</v>
      </c>
      <c r="C193" s="617"/>
      <c r="D193" s="617"/>
      <c r="E193" s="466">
        <v>0</v>
      </c>
      <c r="F193" s="617"/>
      <c r="G193" s="617"/>
      <c r="H193" s="466">
        <v>0</v>
      </c>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v>0</v>
      </c>
      <c r="F195" s="617"/>
      <c r="G195" s="617"/>
      <c r="H195" s="657">
        <v>0</v>
      </c>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v>0</v>
      </c>
      <c r="I199" s="617"/>
      <c r="J199" s="617"/>
      <c r="K199" s="1688">
        <f>SUM(H199)</f>
        <v>0</v>
      </c>
      <c r="L199" s="466">
        <v>0</v>
      </c>
    </row>
    <row r="200" spans="1:14" x14ac:dyDescent="0.2">
      <c r="A200" s="1524" t="s">
        <v>90</v>
      </c>
      <c r="B200" s="615">
        <v>5120</v>
      </c>
      <c r="C200" s="617"/>
      <c r="D200" s="617"/>
      <c r="E200" s="617"/>
      <c r="F200" s="617"/>
      <c r="G200" s="617"/>
      <c r="H200" s="466">
        <v>0</v>
      </c>
      <c r="I200" s="617"/>
      <c r="J200" s="617"/>
      <c r="K200" s="1688">
        <f>SUM(H200)</f>
        <v>0</v>
      </c>
      <c r="L200" s="466">
        <v>0</v>
      </c>
    </row>
    <row r="201" spans="1:14" ht="12.75" customHeight="1" x14ac:dyDescent="0.2">
      <c r="A201" s="1524" t="s">
        <v>1232</v>
      </c>
      <c r="B201" s="629" t="s">
        <v>638</v>
      </c>
      <c r="C201" s="617"/>
      <c r="D201" s="617"/>
      <c r="E201" s="617"/>
      <c r="F201" s="617"/>
      <c r="G201" s="617"/>
      <c r="H201" s="466">
        <v>0</v>
      </c>
      <c r="I201" s="617"/>
      <c r="J201" s="617"/>
      <c r="K201" s="1688">
        <f>SUM(H201)</f>
        <v>0</v>
      </c>
      <c r="L201" s="466">
        <v>0</v>
      </c>
    </row>
    <row r="202" spans="1:14" x14ac:dyDescent="0.2">
      <c r="A202" s="1524" t="s">
        <v>91</v>
      </c>
      <c r="B202" s="615" t="s">
        <v>610</v>
      </c>
      <c r="C202" s="617"/>
      <c r="D202" s="617"/>
      <c r="E202" s="617"/>
      <c r="F202" s="617"/>
      <c r="G202" s="617"/>
      <c r="H202" s="466">
        <v>0</v>
      </c>
      <c r="I202" s="617"/>
      <c r="J202" s="617"/>
      <c r="K202" s="1688">
        <f>SUM(H202)</f>
        <v>0</v>
      </c>
      <c r="L202" s="466">
        <v>0</v>
      </c>
    </row>
    <row r="203" spans="1:14" x14ac:dyDescent="0.2">
      <c r="A203" s="1536" t="s">
        <v>640</v>
      </c>
      <c r="B203" s="615" t="s">
        <v>639</v>
      </c>
      <c r="C203" s="617"/>
      <c r="D203" s="617"/>
      <c r="E203" s="617"/>
      <c r="F203" s="617"/>
      <c r="G203" s="617"/>
      <c r="H203" s="471">
        <v>0</v>
      </c>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v>0</v>
      </c>
      <c r="I205" s="617"/>
      <c r="J205" s="617"/>
      <c r="K205" s="1702">
        <f>SUM(H205)</f>
        <v>0</v>
      </c>
      <c r="L205" s="535">
        <v>0</v>
      </c>
    </row>
    <row r="206" spans="1:14" ht="30" customHeight="1" x14ac:dyDescent="0.2">
      <c r="A206" s="682" t="s">
        <v>1770</v>
      </c>
      <c r="B206" s="673" t="s">
        <v>31</v>
      </c>
      <c r="C206" s="617"/>
      <c r="D206" s="617"/>
      <c r="E206" s="617"/>
      <c r="F206" s="617"/>
      <c r="G206" s="617"/>
      <c r="H206" s="466">
        <v>0</v>
      </c>
      <c r="I206" s="617"/>
      <c r="J206" s="617"/>
      <c r="K206" s="1688">
        <f>SUM(H206)</f>
        <v>0</v>
      </c>
      <c r="L206" s="466">
        <v>39408</v>
      </c>
    </row>
    <row r="207" spans="1:14" ht="15.75" customHeight="1" x14ac:dyDescent="0.2">
      <c r="A207" s="622" t="s">
        <v>790</v>
      </c>
      <c r="B207" s="673" t="s">
        <v>86</v>
      </c>
      <c r="C207" s="617"/>
      <c r="D207" s="617"/>
      <c r="E207" s="617"/>
      <c r="F207" s="617"/>
      <c r="G207" s="617"/>
      <c r="H207" s="467">
        <v>0</v>
      </c>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39408</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66357</v>
      </c>
      <c r="D210" s="1687">
        <f>SUM(D184,D185)</f>
        <v>3618</v>
      </c>
      <c r="E210" s="1687">
        <f>SUM(E184,E185,E196)</f>
        <v>13600</v>
      </c>
      <c r="F210" s="1687">
        <f>SUM(F184,F185)</f>
        <v>12525</v>
      </c>
      <c r="G210" s="1687">
        <f>SUM(G184,G185)</f>
        <v>0</v>
      </c>
      <c r="H210" s="1687">
        <f>SUM(H184,H185,H196,H208,H209)</f>
        <v>39408</v>
      </c>
      <c r="I210" s="1687">
        <f>SUM(I184,I185)</f>
        <v>0</v>
      </c>
      <c r="J210" s="1687">
        <f>SUM(J184,J185)</f>
        <v>0</v>
      </c>
      <c r="K210" s="1688">
        <f>SUM(K184,K185,K196,K208,K209)</f>
        <v>135508</v>
      </c>
      <c r="L210" s="1687">
        <f>SUM(L184,L185,L196,L208,L209)</f>
        <v>134784</v>
      </c>
    </row>
    <row r="211" spans="1:14" ht="13.5" thickTop="1" x14ac:dyDescent="0.2">
      <c r="A211" s="2170" t="s">
        <v>1053</v>
      </c>
      <c r="B211" s="2171"/>
      <c r="C211" s="619"/>
      <c r="D211" s="619"/>
      <c r="E211" s="619"/>
      <c r="F211" s="619"/>
      <c r="G211" s="619"/>
      <c r="H211" s="619"/>
      <c r="I211" s="617"/>
      <c r="J211" s="617"/>
      <c r="K211" s="1701">
        <f>'Revenues 9-14'!F275-'Expenditures 15-22'!K210</f>
        <v>13019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13510</v>
      </c>
      <c r="E215" s="617"/>
      <c r="F215" s="617"/>
      <c r="G215" s="617"/>
      <c r="H215" s="617"/>
      <c r="I215" s="617"/>
      <c r="J215" s="617"/>
      <c r="K215" s="1688">
        <f>D215</f>
        <v>13510</v>
      </c>
      <c r="L215" s="466">
        <v>13230</v>
      </c>
    </row>
    <row r="216" spans="1:14" x14ac:dyDescent="0.2">
      <c r="A216" s="1524" t="s">
        <v>165</v>
      </c>
      <c r="B216" s="615" t="s">
        <v>1024</v>
      </c>
      <c r="C216" s="617"/>
      <c r="D216" s="467">
        <v>0</v>
      </c>
      <c r="E216" s="617"/>
      <c r="F216" s="617"/>
      <c r="G216" s="617"/>
      <c r="H216" s="617"/>
      <c r="I216" s="617"/>
      <c r="J216" s="617"/>
      <c r="K216" s="1688">
        <f t="shared" ref="K216:K228" si="19">D216</f>
        <v>0</v>
      </c>
      <c r="L216" s="466">
        <v>0</v>
      </c>
    </row>
    <row r="217" spans="1:14" x14ac:dyDescent="0.2">
      <c r="A217" s="1524" t="s">
        <v>166</v>
      </c>
      <c r="B217" s="615">
        <v>1200</v>
      </c>
      <c r="C217" s="617"/>
      <c r="D217" s="466">
        <v>10458</v>
      </c>
      <c r="E217" s="617"/>
      <c r="F217" s="617"/>
      <c r="G217" s="617"/>
      <c r="H217" s="617"/>
      <c r="I217" s="617"/>
      <c r="J217" s="617"/>
      <c r="K217" s="1688">
        <f t="shared" si="19"/>
        <v>10458</v>
      </c>
      <c r="L217" s="466">
        <v>10360</v>
      </c>
    </row>
    <row r="218" spans="1:14" x14ac:dyDescent="0.2">
      <c r="A218" s="1524" t="s">
        <v>296</v>
      </c>
      <c r="B218" s="615" t="s">
        <v>1025</v>
      </c>
      <c r="C218" s="617"/>
      <c r="D218" s="467">
        <v>0</v>
      </c>
      <c r="E218" s="617"/>
      <c r="F218" s="617"/>
      <c r="G218" s="617"/>
      <c r="H218" s="617"/>
      <c r="I218" s="617"/>
      <c r="J218" s="617"/>
      <c r="K218" s="1688">
        <f t="shared" si="19"/>
        <v>0</v>
      </c>
      <c r="L218" s="466">
        <v>0</v>
      </c>
    </row>
    <row r="219" spans="1:14" x14ac:dyDescent="0.2">
      <c r="A219" s="1524" t="s">
        <v>297</v>
      </c>
      <c r="B219" s="615">
        <v>1250</v>
      </c>
      <c r="C219" s="617"/>
      <c r="D219" s="466">
        <v>11347</v>
      </c>
      <c r="E219" s="617"/>
      <c r="F219" s="617"/>
      <c r="G219" s="617"/>
      <c r="H219" s="617"/>
      <c r="I219" s="617"/>
      <c r="J219" s="617"/>
      <c r="K219" s="1688">
        <f t="shared" si="19"/>
        <v>11347</v>
      </c>
      <c r="L219" s="466">
        <v>10888</v>
      </c>
    </row>
    <row r="220" spans="1:14" x14ac:dyDescent="0.2">
      <c r="A220" s="1524" t="s">
        <v>298</v>
      </c>
      <c r="B220" s="615" t="s">
        <v>163</v>
      </c>
      <c r="C220" s="617"/>
      <c r="D220" s="467">
        <v>0</v>
      </c>
      <c r="E220" s="617"/>
      <c r="F220" s="617"/>
      <c r="G220" s="617"/>
      <c r="H220" s="617"/>
      <c r="I220" s="617"/>
      <c r="J220" s="617"/>
      <c r="K220" s="1688">
        <f t="shared" si="19"/>
        <v>0</v>
      </c>
      <c r="L220" s="466">
        <v>0</v>
      </c>
    </row>
    <row r="221" spans="1:14" x14ac:dyDescent="0.2">
      <c r="A221" s="1524" t="s">
        <v>1019</v>
      </c>
      <c r="B221" s="615">
        <v>1300</v>
      </c>
      <c r="C221" s="617"/>
      <c r="D221" s="466">
        <v>0</v>
      </c>
      <c r="E221" s="617"/>
      <c r="F221" s="617"/>
      <c r="G221" s="617"/>
      <c r="H221" s="617"/>
      <c r="I221" s="617"/>
      <c r="J221" s="617"/>
      <c r="K221" s="1688">
        <f t="shared" si="19"/>
        <v>0</v>
      </c>
      <c r="L221" s="466">
        <v>0</v>
      </c>
    </row>
    <row r="222" spans="1:14" x14ac:dyDescent="0.2">
      <c r="A222" s="1524" t="s">
        <v>747</v>
      </c>
      <c r="B222" s="615">
        <v>1400</v>
      </c>
      <c r="C222" s="617"/>
      <c r="D222" s="466">
        <v>1951</v>
      </c>
      <c r="E222" s="617"/>
      <c r="F222" s="617"/>
      <c r="G222" s="617"/>
      <c r="H222" s="617"/>
      <c r="I222" s="617"/>
      <c r="J222" s="617"/>
      <c r="K222" s="1688">
        <f t="shared" si="19"/>
        <v>1951</v>
      </c>
      <c r="L222" s="466">
        <v>1880</v>
      </c>
    </row>
    <row r="223" spans="1:14" x14ac:dyDescent="0.2">
      <c r="A223" s="1524" t="s">
        <v>1020</v>
      </c>
      <c r="B223" s="615">
        <v>1500</v>
      </c>
      <c r="C223" s="617"/>
      <c r="D223" s="466">
        <v>1318</v>
      </c>
      <c r="E223" s="617"/>
      <c r="F223" s="617"/>
      <c r="G223" s="617"/>
      <c r="H223" s="617"/>
      <c r="I223" s="617"/>
      <c r="J223" s="617"/>
      <c r="K223" s="1688">
        <f t="shared" si="19"/>
        <v>1318</v>
      </c>
      <c r="L223" s="466">
        <v>1553</v>
      </c>
    </row>
    <row r="224" spans="1:14" x14ac:dyDescent="0.2">
      <c r="A224" s="1524" t="s">
        <v>1021</v>
      </c>
      <c r="B224" s="615">
        <v>1600</v>
      </c>
      <c r="C224" s="617"/>
      <c r="D224" s="466">
        <v>0</v>
      </c>
      <c r="E224" s="617"/>
      <c r="F224" s="617"/>
      <c r="G224" s="617"/>
      <c r="H224" s="617"/>
      <c r="I224" s="617"/>
      <c r="J224" s="617"/>
      <c r="K224" s="1688">
        <f t="shared" si="19"/>
        <v>0</v>
      </c>
      <c r="L224" s="466">
        <v>0</v>
      </c>
    </row>
    <row r="225" spans="1:12" x14ac:dyDescent="0.2">
      <c r="A225" s="1524" t="s">
        <v>1044</v>
      </c>
      <c r="B225" s="615">
        <v>1650</v>
      </c>
      <c r="C225" s="617"/>
      <c r="D225" s="466">
        <v>0</v>
      </c>
      <c r="E225" s="617"/>
      <c r="F225" s="617"/>
      <c r="G225" s="617"/>
      <c r="H225" s="617"/>
      <c r="I225" s="617"/>
      <c r="J225" s="617"/>
      <c r="K225" s="1688">
        <f t="shared" si="19"/>
        <v>0</v>
      </c>
      <c r="L225" s="466">
        <v>0</v>
      </c>
    </row>
    <row r="226" spans="1:12" x14ac:dyDescent="0.2">
      <c r="A226" s="1524" t="s">
        <v>748</v>
      </c>
      <c r="B226" s="615" t="s">
        <v>164</v>
      </c>
      <c r="C226" s="617"/>
      <c r="D226" s="467">
        <v>166</v>
      </c>
      <c r="E226" s="617"/>
      <c r="F226" s="617"/>
      <c r="G226" s="617"/>
      <c r="H226" s="617"/>
      <c r="I226" s="617"/>
      <c r="J226" s="617"/>
      <c r="K226" s="1688">
        <f t="shared" si="19"/>
        <v>166</v>
      </c>
      <c r="L226" s="466">
        <v>164</v>
      </c>
    </row>
    <row r="227" spans="1:12" x14ac:dyDescent="0.2">
      <c r="A227" s="1524" t="s">
        <v>1148</v>
      </c>
      <c r="B227" s="615">
        <v>1800</v>
      </c>
      <c r="C227" s="617"/>
      <c r="D227" s="466">
        <v>0</v>
      </c>
      <c r="E227" s="617"/>
      <c r="F227" s="617"/>
      <c r="G227" s="617"/>
      <c r="H227" s="617"/>
      <c r="I227" s="617"/>
      <c r="J227" s="617"/>
      <c r="K227" s="1688">
        <f t="shared" si="19"/>
        <v>0</v>
      </c>
      <c r="L227" s="466">
        <v>0</v>
      </c>
    </row>
    <row r="228" spans="1:12" x14ac:dyDescent="0.2">
      <c r="A228" s="1524" t="s">
        <v>1149</v>
      </c>
      <c r="B228" s="615">
        <v>1900</v>
      </c>
      <c r="C228" s="617"/>
      <c r="D228" s="466">
        <v>0</v>
      </c>
      <c r="E228" s="617"/>
      <c r="F228" s="617"/>
      <c r="G228" s="617"/>
      <c r="H228" s="617"/>
      <c r="I228" s="617"/>
      <c r="J228" s="617"/>
      <c r="K228" s="1688">
        <f t="shared" si="19"/>
        <v>0</v>
      </c>
      <c r="L228" s="466">
        <v>0</v>
      </c>
    </row>
    <row r="229" spans="1:12" ht="12.75" customHeight="1" thickBot="1" x14ac:dyDescent="0.25">
      <c r="A229" s="1685" t="s">
        <v>739</v>
      </c>
      <c r="B229" s="1692" t="s">
        <v>591</v>
      </c>
      <c r="C229" s="617"/>
      <c r="D229" s="1687">
        <f>SUM(D215:D228)</f>
        <v>38750</v>
      </c>
      <c r="E229" s="617"/>
      <c r="F229" s="617"/>
      <c r="G229" s="617"/>
      <c r="H229" s="617"/>
      <c r="I229" s="617"/>
      <c r="J229" s="617"/>
      <c r="K229" s="1687">
        <f>SUM(K215:K228)</f>
        <v>38750</v>
      </c>
      <c r="L229" s="1687">
        <f>SUM(L215:L228)</f>
        <v>38075</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0</v>
      </c>
      <c r="E232" s="617"/>
      <c r="F232" s="617"/>
      <c r="G232" s="617"/>
      <c r="H232" s="617"/>
      <c r="I232" s="617"/>
      <c r="J232" s="617"/>
      <c r="K232" s="1688">
        <f t="shared" ref="K232:K237" si="20">D232</f>
        <v>0</v>
      </c>
      <c r="L232" s="466">
        <v>0</v>
      </c>
    </row>
    <row r="233" spans="1:12" x14ac:dyDescent="0.2">
      <c r="A233" s="1524" t="s">
        <v>1151</v>
      </c>
      <c r="B233" s="615">
        <v>2120</v>
      </c>
      <c r="C233" s="617"/>
      <c r="D233" s="466">
        <v>323</v>
      </c>
      <c r="E233" s="617"/>
      <c r="F233" s="617"/>
      <c r="G233" s="617"/>
      <c r="H233" s="617"/>
      <c r="I233" s="617"/>
      <c r="J233" s="617"/>
      <c r="K233" s="1688">
        <f t="shared" si="20"/>
        <v>323</v>
      </c>
      <c r="L233" s="466">
        <v>322</v>
      </c>
    </row>
    <row r="234" spans="1:12" x14ac:dyDescent="0.2">
      <c r="A234" s="1524" t="s">
        <v>207</v>
      </c>
      <c r="B234" s="615">
        <v>2130</v>
      </c>
      <c r="C234" s="617"/>
      <c r="D234" s="466">
        <v>5985</v>
      </c>
      <c r="E234" s="617"/>
      <c r="F234" s="617"/>
      <c r="G234" s="617"/>
      <c r="H234" s="617"/>
      <c r="I234" s="617"/>
      <c r="J234" s="617"/>
      <c r="K234" s="1688">
        <f t="shared" si="20"/>
        <v>5985</v>
      </c>
      <c r="L234" s="466">
        <v>6044</v>
      </c>
    </row>
    <row r="235" spans="1:12" x14ac:dyDescent="0.2">
      <c r="A235" s="1524" t="s">
        <v>208</v>
      </c>
      <c r="B235" s="615">
        <v>2140</v>
      </c>
      <c r="C235" s="617"/>
      <c r="D235" s="466">
        <v>0</v>
      </c>
      <c r="E235" s="617"/>
      <c r="F235" s="617"/>
      <c r="G235" s="617"/>
      <c r="H235" s="617"/>
      <c r="I235" s="617"/>
      <c r="J235" s="617"/>
      <c r="K235" s="1688">
        <f t="shared" si="20"/>
        <v>0</v>
      </c>
      <c r="L235" s="466">
        <v>0</v>
      </c>
    </row>
    <row r="236" spans="1:12" x14ac:dyDescent="0.2">
      <c r="A236" s="1524" t="s">
        <v>209</v>
      </c>
      <c r="B236" s="615">
        <v>2150</v>
      </c>
      <c r="C236" s="617"/>
      <c r="D236" s="466">
        <v>0</v>
      </c>
      <c r="E236" s="617"/>
      <c r="F236" s="617"/>
      <c r="G236" s="617"/>
      <c r="H236" s="617"/>
      <c r="I236" s="617"/>
      <c r="J236" s="617"/>
      <c r="K236" s="1688">
        <f t="shared" si="20"/>
        <v>0</v>
      </c>
      <c r="L236" s="466">
        <v>0</v>
      </c>
    </row>
    <row r="237" spans="1:12" x14ac:dyDescent="0.2">
      <c r="A237" s="1524" t="s">
        <v>167</v>
      </c>
      <c r="B237" s="615">
        <v>2190</v>
      </c>
      <c r="C237" s="617"/>
      <c r="D237" s="466">
        <v>191</v>
      </c>
      <c r="E237" s="617"/>
      <c r="F237" s="617"/>
      <c r="G237" s="617"/>
      <c r="H237" s="617"/>
      <c r="I237" s="617"/>
      <c r="J237" s="617"/>
      <c r="K237" s="1688">
        <f t="shared" si="20"/>
        <v>191</v>
      </c>
      <c r="L237" s="466">
        <v>215</v>
      </c>
    </row>
    <row r="238" spans="1:12" ht="12.75" customHeight="1" thickBot="1" x14ac:dyDescent="0.25">
      <c r="A238" s="1685" t="s">
        <v>581</v>
      </c>
      <c r="B238" s="1692" t="s">
        <v>740</v>
      </c>
      <c r="C238" s="617"/>
      <c r="D238" s="1687">
        <f>SUM(D232:D237)</f>
        <v>6499</v>
      </c>
      <c r="E238" s="617"/>
      <c r="F238" s="617"/>
      <c r="G238" s="617"/>
      <c r="H238" s="617"/>
      <c r="I238" s="617"/>
      <c r="J238" s="617"/>
      <c r="K238" s="1687">
        <f>SUM(K232:K237)</f>
        <v>6499</v>
      </c>
      <c r="L238" s="1687">
        <f>SUM(L232:L237)</f>
        <v>6581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0</v>
      </c>
      <c r="E240" s="617"/>
      <c r="F240" s="617"/>
      <c r="G240" s="617"/>
      <c r="H240" s="617"/>
      <c r="I240" s="617"/>
      <c r="J240" s="617"/>
      <c r="K240" s="1689">
        <f>D240</f>
        <v>0</v>
      </c>
      <c r="L240" s="481">
        <v>0</v>
      </c>
    </row>
    <row r="241" spans="1:12" x14ac:dyDescent="0.2">
      <c r="A241" s="1524" t="s">
        <v>869</v>
      </c>
      <c r="B241" s="615">
        <v>2220</v>
      </c>
      <c r="C241" s="617"/>
      <c r="D241" s="466">
        <v>0</v>
      </c>
      <c r="E241" s="617"/>
      <c r="F241" s="617"/>
      <c r="G241" s="617"/>
      <c r="H241" s="617"/>
      <c r="I241" s="617"/>
      <c r="J241" s="617"/>
      <c r="K241" s="1689">
        <f>D241</f>
        <v>0</v>
      </c>
      <c r="L241" s="466">
        <v>0</v>
      </c>
    </row>
    <row r="242" spans="1:12" x14ac:dyDescent="0.2">
      <c r="A242" s="1524" t="s">
        <v>870</v>
      </c>
      <c r="B242" s="615">
        <v>2230</v>
      </c>
      <c r="C242" s="617"/>
      <c r="D242" s="466">
        <v>0</v>
      </c>
      <c r="E242" s="617"/>
      <c r="F242" s="617"/>
      <c r="G242" s="617"/>
      <c r="H242" s="617"/>
      <c r="I242" s="617"/>
      <c r="J242" s="617"/>
      <c r="K242" s="1689">
        <f>D242</f>
        <v>0</v>
      </c>
      <c r="L242" s="466">
        <v>0</v>
      </c>
    </row>
    <row r="243" spans="1:12" ht="12.75" customHeight="1" thickBot="1" x14ac:dyDescent="0.25">
      <c r="A243" s="1711" t="s">
        <v>582</v>
      </c>
      <c r="B243" s="1712">
        <v>2200</v>
      </c>
      <c r="C243" s="617"/>
      <c r="D243" s="1687">
        <f>SUM(D240:D242)</f>
        <v>0</v>
      </c>
      <c r="E243" s="617"/>
      <c r="F243" s="617"/>
      <c r="G243" s="617"/>
      <c r="H243" s="617"/>
      <c r="I243" s="617"/>
      <c r="J243" s="617"/>
      <c r="K243" s="1687">
        <f>SUM(K240:K242)</f>
        <v>0</v>
      </c>
      <c r="L243" s="1687">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2608</v>
      </c>
      <c r="E245" s="617"/>
      <c r="F245" s="617"/>
      <c r="G245" s="617"/>
      <c r="H245" s="617"/>
      <c r="I245" s="617"/>
      <c r="J245" s="617"/>
      <c r="K245" s="1689">
        <f>D245</f>
        <v>2608</v>
      </c>
      <c r="L245" s="481">
        <v>2445</v>
      </c>
    </row>
    <row r="246" spans="1:12" x14ac:dyDescent="0.2">
      <c r="A246" s="1524" t="s">
        <v>872</v>
      </c>
      <c r="B246" s="615">
        <v>2320</v>
      </c>
      <c r="C246" s="617"/>
      <c r="D246" s="466">
        <v>1249</v>
      </c>
      <c r="E246" s="617"/>
      <c r="F246" s="617"/>
      <c r="G246" s="617"/>
      <c r="H246" s="617"/>
      <c r="I246" s="617"/>
      <c r="J246" s="617"/>
      <c r="K246" s="1689">
        <f t="shared" ref="K246:K256" si="21">D246</f>
        <v>1249</v>
      </c>
      <c r="L246" s="466">
        <v>1300</v>
      </c>
    </row>
    <row r="247" spans="1:12" x14ac:dyDescent="0.2">
      <c r="A247" s="1524" t="s">
        <v>873</v>
      </c>
      <c r="B247" s="615">
        <v>2330</v>
      </c>
      <c r="C247" s="617"/>
      <c r="D247" s="466">
        <v>0</v>
      </c>
      <c r="E247" s="617"/>
      <c r="F247" s="617"/>
      <c r="G247" s="617"/>
      <c r="H247" s="617"/>
      <c r="I247" s="617"/>
      <c r="J247" s="617"/>
      <c r="K247" s="1689">
        <f t="shared" si="21"/>
        <v>0</v>
      </c>
      <c r="L247" s="466">
        <v>0</v>
      </c>
    </row>
    <row r="248" spans="1:12" x14ac:dyDescent="0.2">
      <c r="A248" s="1525" t="s">
        <v>317</v>
      </c>
      <c r="B248" s="603" t="s">
        <v>299</v>
      </c>
      <c r="C248" s="617"/>
      <c r="D248" s="474">
        <v>0</v>
      </c>
      <c r="E248" s="617"/>
      <c r="F248" s="617"/>
      <c r="G248" s="617"/>
      <c r="H248" s="617"/>
      <c r="I248" s="617"/>
      <c r="J248" s="617"/>
      <c r="K248" s="1689">
        <f t="shared" si="21"/>
        <v>0</v>
      </c>
      <c r="L248" s="466">
        <v>0</v>
      </c>
    </row>
    <row r="249" spans="1:12" x14ac:dyDescent="0.2">
      <c r="A249" s="1526" t="s">
        <v>1907</v>
      </c>
      <c r="B249" s="684" t="s">
        <v>300</v>
      </c>
      <c r="C249" s="617"/>
      <c r="D249" s="474">
        <v>0</v>
      </c>
      <c r="E249" s="617"/>
      <c r="F249" s="617"/>
      <c r="G249" s="617"/>
      <c r="H249" s="617"/>
      <c r="I249" s="617"/>
      <c r="J249" s="617"/>
      <c r="K249" s="1689">
        <f t="shared" si="21"/>
        <v>0</v>
      </c>
      <c r="L249" s="466">
        <v>0</v>
      </c>
    </row>
    <row r="250" spans="1:12" x14ac:dyDescent="0.2">
      <c r="A250" s="1525" t="s">
        <v>1908</v>
      </c>
      <c r="B250" s="603" t="s">
        <v>301</v>
      </c>
      <c r="C250" s="617"/>
      <c r="D250" s="474">
        <v>0</v>
      </c>
      <c r="E250" s="617"/>
      <c r="F250" s="617"/>
      <c r="G250" s="617"/>
      <c r="H250" s="617"/>
      <c r="I250" s="617"/>
      <c r="J250" s="617"/>
      <c r="K250" s="1689">
        <f t="shared" si="21"/>
        <v>0</v>
      </c>
      <c r="L250" s="466">
        <v>0</v>
      </c>
    </row>
    <row r="251" spans="1:12" x14ac:dyDescent="0.2">
      <c r="A251" s="1525" t="s">
        <v>256</v>
      </c>
      <c r="B251" s="603" t="s">
        <v>302</v>
      </c>
      <c r="C251" s="617"/>
      <c r="D251" s="474">
        <v>0</v>
      </c>
      <c r="E251" s="617"/>
      <c r="F251" s="617"/>
      <c r="G251" s="617"/>
      <c r="H251" s="617"/>
      <c r="I251" s="617"/>
      <c r="J251" s="617"/>
      <c r="K251" s="1689">
        <f t="shared" si="21"/>
        <v>0</v>
      </c>
      <c r="L251" s="466">
        <v>0</v>
      </c>
    </row>
    <row r="252" spans="1:12" x14ac:dyDescent="0.2">
      <c r="A252" s="1525" t="s">
        <v>726</v>
      </c>
      <c r="B252" s="603" t="s">
        <v>303</v>
      </c>
      <c r="C252" s="617"/>
      <c r="D252" s="474">
        <v>0</v>
      </c>
      <c r="E252" s="617"/>
      <c r="F252" s="617"/>
      <c r="G252" s="617"/>
      <c r="H252" s="617"/>
      <c r="I252" s="617"/>
      <c r="J252" s="617"/>
      <c r="K252" s="1689">
        <f t="shared" si="21"/>
        <v>0</v>
      </c>
      <c r="L252" s="466">
        <v>0</v>
      </c>
    </row>
    <row r="253" spans="1:12" x14ac:dyDescent="0.2">
      <c r="A253" s="1525" t="s">
        <v>257</v>
      </c>
      <c r="B253" s="603" t="s">
        <v>304</v>
      </c>
      <c r="C253" s="617"/>
      <c r="D253" s="474">
        <v>0</v>
      </c>
      <c r="E253" s="617"/>
      <c r="F253" s="617"/>
      <c r="G253" s="617"/>
      <c r="H253" s="617"/>
      <c r="I253" s="617"/>
      <c r="J253" s="617"/>
      <c r="K253" s="1689">
        <f t="shared" si="21"/>
        <v>0</v>
      </c>
      <c r="L253" s="466">
        <v>0</v>
      </c>
    </row>
    <row r="254" spans="1:12" ht="22.5" x14ac:dyDescent="0.2">
      <c r="A254" s="1525" t="s">
        <v>1087</v>
      </c>
      <c r="B254" s="684" t="s">
        <v>305</v>
      </c>
      <c r="C254" s="617"/>
      <c r="D254" s="474">
        <v>1955</v>
      </c>
      <c r="E254" s="617"/>
      <c r="F254" s="617"/>
      <c r="G254" s="617"/>
      <c r="H254" s="617"/>
      <c r="I254" s="617"/>
      <c r="J254" s="617"/>
      <c r="K254" s="1689">
        <f t="shared" si="21"/>
        <v>1955</v>
      </c>
      <c r="L254" s="466">
        <v>1937</v>
      </c>
    </row>
    <row r="255" spans="1:12" x14ac:dyDescent="0.2">
      <c r="A255" s="1525" t="s">
        <v>1088</v>
      </c>
      <c r="B255" s="603" t="s">
        <v>306</v>
      </c>
      <c r="C255" s="617"/>
      <c r="D255" s="474">
        <v>0</v>
      </c>
      <c r="E255" s="617"/>
      <c r="F255" s="617"/>
      <c r="G255" s="617"/>
      <c r="H255" s="617"/>
      <c r="I255" s="617"/>
      <c r="J255" s="617"/>
      <c r="K255" s="1689">
        <f t="shared" si="21"/>
        <v>0</v>
      </c>
      <c r="L255" s="466">
        <v>0</v>
      </c>
    </row>
    <row r="256" spans="1:12" x14ac:dyDescent="0.2">
      <c r="A256" s="1525" t="s">
        <v>1028</v>
      </c>
      <c r="B256" s="615" t="s">
        <v>307</v>
      </c>
      <c r="C256" s="617"/>
      <c r="D256" s="474">
        <v>0</v>
      </c>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5812</v>
      </c>
      <c r="E257" s="617"/>
      <c r="F257" s="617"/>
      <c r="G257" s="617"/>
      <c r="H257" s="617"/>
      <c r="I257" s="617"/>
      <c r="J257" s="617"/>
      <c r="K257" s="1687">
        <f>SUM(K245:K256)</f>
        <v>5812</v>
      </c>
      <c r="L257" s="1687">
        <f>SUM(L245:L256)</f>
        <v>5682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12113</v>
      </c>
      <c r="E259" s="617"/>
      <c r="F259" s="617"/>
      <c r="G259" s="617"/>
      <c r="H259" s="617"/>
      <c r="I259" s="617"/>
      <c r="J259" s="617"/>
      <c r="K259" s="1689">
        <f>D259</f>
        <v>12113</v>
      </c>
      <c r="L259" s="481">
        <v>12355</v>
      </c>
    </row>
    <row r="260" spans="1:14" s="598" customFormat="1" x14ac:dyDescent="0.2">
      <c r="A260" s="1542" t="s">
        <v>1906</v>
      </c>
      <c r="B260" s="629">
        <v>2490</v>
      </c>
      <c r="C260" s="617"/>
      <c r="D260" s="466">
        <v>0</v>
      </c>
      <c r="E260" s="617"/>
      <c r="F260" s="617"/>
      <c r="G260" s="617"/>
      <c r="H260" s="617"/>
      <c r="I260" s="617"/>
      <c r="J260" s="617"/>
      <c r="K260" s="1689">
        <f>D260</f>
        <v>0</v>
      </c>
      <c r="L260" s="466">
        <v>0</v>
      </c>
      <c r="M260" s="210"/>
      <c r="N260" s="210"/>
    </row>
    <row r="261" spans="1:14" ht="12.75" customHeight="1" thickBot="1" x14ac:dyDescent="0.25">
      <c r="A261" s="1709" t="s">
        <v>281</v>
      </c>
      <c r="B261" s="1714" t="s">
        <v>34</v>
      </c>
      <c r="C261" s="617"/>
      <c r="D261" s="1687">
        <f>SUM(D259:D260)</f>
        <v>12113</v>
      </c>
      <c r="E261" s="617"/>
      <c r="F261" s="617"/>
      <c r="G261" s="617"/>
      <c r="H261" s="617"/>
      <c r="I261" s="617"/>
      <c r="J261" s="617"/>
      <c r="K261" s="1687">
        <f>SUM(K259:K260)</f>
        <v>12113</v>
      </c>
      <c r="L261" s="1687">
        <f>SUM(L259:L260)</f>
        <v>12355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0</v>
      </c>
      <c r="E263" s="617"/>
      <c r="F263" s="617"/>
      <c r="G263" s="617"/>
      <c r="H263" s="617"/>
      <c r="I263" s="617"/>
      <c r="J263" s="617"/>
      <c r="K263" s="1689">
        <f>D263</f>
        <v>0</v>
      </c>
      <c r="L263" s="481">
        <v>0</v>
      </c>
    </row>
    <row r="264" spans="1:14" x14ac:dyDescent="0.2">
      <c r="A264" s="1524" t="s">
        <v>483</v>
      </c>
      <c r="B264" s="686">
        <v>2520</v>
      </c>
      <c r="C264" s="617"/>
      <c r="D264" s="466">
        <v>10598</v>
      </c>
      <c r="E264" s="617"/>
      <c r="F264" s="617"/>
      <c r="G264" s="617"/>
      <c r="H264" s="617"/>
      <c r="I264" s="617"/>
      <c r="J264" s="617"/>
      <c r="K264" s="1689">
        <f t="shared" ref="K264:K269" si="22">D264</f>
        <v>10598</v>
      </c>
      <c r="L264" s="466">
        <v>10100</v>
      </c>
    </row>
    <row r="265" spans="1:14" x14ac:dyDescent="0.2">
      <c r="A265" s="1524" t="s">
        <v>4</v>
      </c>
      <c r="B265" s="615">
        <v>2530</v>
      </c>
      <c r="C265" s="617"/>
      <c r="D265" s="466">
        <v>0</v>
      </c>
      <c r="E265" s="617"/>
      <c r="F265" s="617"/>
      <c r="G265" s="617"/>
      <c r="H265" s="617"/>
      <c r="I265" s="617"/>
      <c r="J265" s="617"/>
      <c r="K265" s="1689">
        <f t="shared" si="22"/>
        <v>0</v>
      </c>
      <c r="L265" s="466">
        <v>0</v>
      </c>
    </row>
    <row r="266" spans="1:14" x14ac:dyDescent="0.2">
      <c r="A266" s="1524" t="s">
        <v>206</v>
      </c>
      <c r="B266" s="615">
        <v>2540</v>
      </c>
      <c r="C266" s="617"/>
      <c r="D266" s="466">
        <v>20038</v>
      </c>
      <c r="E266" s="617"/>
      <c r="F266" s="617"/>
      <c r="G266" s="617"/>
      <c r="H266" s="617"/>
      <c r="I266" s="617"/>
      <c r="J266" s="617"/>
      <c r="K266" s="1689">
        <f t="shared" si="22"/>
        <v>20038</v>
      </c>
      <c r="L266" s="466">
        <v>20300</v>
      </c>
    </row>
    <row r="267" spans="1:14" x14ac:dyDescent="0.2">
      <c r="A267" s="1524" t="s">
        <v>1010</v>
      </c>
      <c r="B267" s="615">
        <v>2550</v>
      </c>
      <c r="C267" s="617"/>
      <c r="D267" s="466">
        <v>14032</v>
      </c>
      <c r="E267" s="617"/>
      <c r="F267" s="617"/>
      <c r="G267" s="617"/>
      <c r="H267" s="617"/>
      <c r="I267" s="617"/>
      <c r="J267" s="617"/>
      <c r="K267" s="1689">
        <f t="shared" si="22"/>
        <v>14032</v>
      </c>
      <c r="L267" s="466">
        <v>14500</v>
      </c>
    </row>
    <row r="268" spans="1:14" x14ac:dyDescent="0.2">
      <c r="A268" s="1524" t="s">
        <v>102</v>
      </c>
      <c r="B268" s="615">
        <v>2560</v>
      </c>
      <c r="C268" s="617"/>
      <c r="D268" s="466">
        <v>0</v>
      </c>
      <c r="E268" s="617"/>
      <c r="F268" s="617"/>
      <c r="G268" s="617"/>
      <c r="H268" s="617"/>
      <c r="I268" s="617"/>
      <c r="J268" s="617"/>
      <c r="K268" s="1689">
        <f t="shared" si="22"/>
        <v>0</v>
      </c>
      <c r="L268" s="466">
        <v>0</v>
      </c>
    </row>
    <row r="269" spans="1:14" x14ac:dyDescent="0.2">
      <c r="A269" s="1524" t="s">
        <v>103</v>
      </c>
      <c r="B269" s="615">
        <v>2570</v>
      </c>
      <c r="C269" s="617"/>
      <c r="D269" s="466">
        <v>0</v>
      </c>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44668</v>
      </c>
      <c r="E270" s="617"/>
      <c r="F270" s="617"/>
      <c r="G270" s="617"/>
      <c r="H270" s="617"/>
      <c r="I270" s="617"/>
      <c r="J270" s="617"/>
      <c r="K270" s="1687">
        <f>SUM(K263:K269)</f>
        <v>44668</v>
      </c>
      <c r="L270" s="1687">
        <f>SUM(L263:L269)</f>
        <v>44900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v>0</v>
      </c>
      <c r="E272" s="617"/>
      <c r="F272" s="617"/>
      <c r="G272" s="617"/>
      <c r="H272" s="617"/>
      <c r="I272" s="617"/>
      <c r="J272" s="617"/>
      <c r="K272" s="1689">
        <f>D272</f>
        <v>0</v>
      </c>
      <c r="L272" s="481">
        <v>0</v>
      </c>
    </row>
    <row r="273" spans="1:12" x14ac:dyDescent="0.2">
      <c r="A273" s="1524" t="s">
        <v>628</v>
      </c>
      <c r="B273" s="629">
        <v>2620</v>
      </c>
      <c r="C273" s="617"/>
      <c r="D273" s="466">
        <v>0</v>
      </c>
      <c r="E273" s="617"/>
      <c r="F273" s="617"/>
      <c r="G273" s="617"/>
      <c r="H273" s="617"/>
      <c r="I273" s="617"/>
      <c r="J273" s="617"/>
      <c r="K273" s="1689">
        <f>D273</f>
        <v>0</v>
      </c>
      <c r="L273" s="466">
        <v>0</v>
      </c>
    </row>
    <row r="274" spans="1:12" ht="12" customHeight="1" x14ac:dyDescent="0.2">
      <c r="A274" s="1524" t="s">
        <v>1121</v>
      </c>
      <c r="B274" s="615">
        <v>2630</v>
      </c>
      <c r="C274" s="617"/>
      <c r="D274" s="466">
        <v>0</v>
      </c>
      <c r="E274" s="617"/>
      <c r="F274" s="617"/>
      <c r="G274" s="617"/>
      <c r="H274" s="617"/>
      <c r="I274" s="617"/>
      <c r="J274" s="617"/>
      <c r="K274" s="1689">
        <f>D274</f>
        <v>0</v>
      </c>
      <c r="L274" s="466">
        <v>0</v>
      </c>
    </row>
    <row r="275" spans="1:12" x14ac:dyDescent="0.2">
      <c r="A275" s="1524" t="s">
        <v>423</v>
      </c>
      <c r="B275" s="615">
        <v>2640</v>
      </c>
      <c r="C275" s="617"/>
      <c r="D275" s="466">
        <v>0</v>
      </c>
      <c r="E275" s="617"/>
      <c r="F275" s="617"/>
      <c r="G275" s="617"/>
      <c r="H275" s="617"/>
      <c r="I275" s="617"/>
      <c r="J275" s="617"/>
      <c r="K275" s="1689">
        <f>D275</f>
        <v>0</v>
      </c>
      <c r="L275" s="466">
        <v>0</v>
      </c>
    </row>
    <row r="276" spans="1:12" x14ac:dyDescent="0.2">
      <c r="A276" s="1524" t="s">
        <v>424</v>
      </c>
      <c r="B276" s="615">
        <v>2660</v>
      </c>
      <c r="C276" s="617"/>
      <c r="D276" s="466">
        <v>0</v>
      </c>
      <c r="E276" s="617"/>
      <c r="F276" s="617"/>
      <c r="G276" s="617"/>
      <c r="H276" s="617"/>
      <c r="I276" s="617"/>
      <c r="J276" s="617"/>
      <c r="K276" s="1689">
        <f>D276</f>
        <v>0</v>
      </c>
      <c r="L276" s="466">
        <v>0</v>
      </c>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30" t="s">
        <v>1037</v>
      </c>
      <c r="B278" s="656" t="s">
        <v>595</v>
      </c>
      <c r="C278" s="617"/>
      <c r="D278" s="657">
        <v>0</v>
      </c>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69092</v>
      </c>
      <c r="E279" s="617"/>
      <c r="F279" s="617"/>
      <c r="G279" s="617"/>
      <c r="H279" s="617"/>
      <c r="I279" s="617"/>
      <c r="J279" s="617"/>
      <c r="K279" s="1694">
        <f>SUM(K238,K243,K257,K261,K270,K277,K278)</f>
        <v>69092</v>
      </c>
      <c r="L279" s="1694">
        <f>SUM(L238,L243,L257,L261,L270,L277,L278)</f>
        <v>69518</v>
      </c>
    </row>
    <row r="280" spans="1:12" ht="15.75" customHeight="1" thickTop="1" thickBot="1" x14ac:dyDescent="0.25">
      <c r="A280" s="1644" t="s">
        <v>930</v>
      </c>
      <c r="B280" s="1633">
        <v>3000</v>
      </c>
      <c r="C280" s="617"/>
      <c r="D280" s="576">
        <v>0</v>
      </c>
      <c r="E280" s="617"/>
      <c r="F280" s="617"/>
      <c r="G280" s="617"/>
      <c r="H280" s="617"/>
      <c r="I280" s="617"/>
      <c r="J280" s="617"/>
      <c r="K280" s="1696">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48" t="s">
        <v>517</v>
      </c>
      <c r="B282" s="691" t="s">
        <v>1956</v>
      </c>
      <c r="C282" s="617"/>
      <c r="D282" s="467">
        <v>0</v>
      </c>
      <c r="E282" s="617"/>
      <c r="F282" s="617"/>
      <c r="G282" s="617"/>
      <c r="H282" s="617"/>
      <c r="I282" s="617"/>
      <c r="J282" s="617"/>
      <c r="K282" s="1688">
        <f>D282</f>
        <v>0</v>
      </c>
      <c r="L282" s="467">
        <v>0</v>
      </c>
    </row>
    <row r="283" spans="1:12" x14ac:dyDescent="0.2">
      <c r="A283" s="1524" t="s">
        <v>322</v>
      </c>
      <c r="B283" s="615">
        <v>4120</v>
      </c>
      <c r="C283" s="617"/>
      <c r="D283" s="466">
        <v>0</v>
      </c>
      <c r="E283" s="617"/>
      <c r="F283" s="617"/>
      <c r="G283" s="617"/>
      <c r="H283" s="617"/>
      <c r="I283" s="617"/>
      <c r="J283" s="617"/>
      <c r="K283" s="1688">
        <f>D283</f>
        <v>0</v>
      </c>
      <c r="L283" s="466">
        <v>0</v>
      </c>
    </row>
    <row r="284" spans="1:12" x14ac:dyDescent="0.2">
      <c r="A284" s="1524" t="s">
        <v>721</v>
      </c>
      <c r="B284" s="615">
        <v>4140</v>
      </c>
      <c r="C284" s="617"/>
      <c r="D284" s="467">
        <v>0</v>
      </c>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88">
        <f>H288</f>
        <v>0</v>
      </c>
      <c r="L288" s="466">
        <v>0</v>
      </c>
    </row>
    <row r="289" spans="1:14" x14ac:dyDescent="0.2">
      <c r="A289" s="1524" t="s">
        <v>90</v>
      </c>
      <c r="B289" s="615">
        <v>5120</v>
      </c>
      <c r="C289" s="617"/>
      <c r="D289" s="617"/>
      <c r="E289" s="617"/>
      <c r="F289" s="617"/>
      <c r="G289" s="617"/>
      <c r="H289" s="466">
        <v>0</v>
      </c>
      <c r="I289" s="617"/>
      <c r="J289" s="617"/>
      <c r="K289" s="1688">
        <f>H289</f>
        <v>0</v>
      </c>
      <c r="L289" s="466">
        <v>0</v>
      </c>
    </row>
    <row r="290" spans="1:14" ht="12.75" customHeight="1" x14ac:dyDescent="0.2">
      <c r="A290" s="1524" t="s">
        <v>1232</v>
      </c>
      <c r="B290" s="629" t="s">
        <v>638</v>
      </c>
      <c r="C290" s="617"/>
      <c r="D290" s="617"/>
      <c r="E290" s="617"/>
      <c r="F290" s="617"/>
      <c r="G290" s="617"/>
      <c r="H290" s="466">
        <v>0</v>
      </c>
      <c r="I290" s="617"/>
      <c r="J290" s="617"/>
      <c r="K290" s="1688">
        <f>H290</f>
        <v>0</v>
      </c>
      <c r="L290" s="466">
        <v>0</v>
      </c>
    </row>
    <row r="291" spans="1:14" x14ac:dyDescent="0.2">
      <c r="A291" s="1524" t="s">
        <v>91</v>
      </c>
      <c r="B291" s="615" t="s">
        <v>610</v>
      </c>
      <c r="C291" s="617"/>
      <c r="D291" s="617"/>
      <c r="E291" s="617"/>
      <c r="F291" s="617"/>
      <c r="G291" s="617"/>
      <c r="H291" s="466">
        <v>0</v>
      </c>
      <c r="I291" s="617"/>
      <c r="J291" s="617"/>
      <c r="K291" s="1688">
        <f>H291</f>
        <v>0</v>
      </c>
      <c r="L291" s="466">
        <v>0</v>
      </c>
    </row>
    <row r="292" spans="1:14" x14ac:dyDescent="0.2">
      <c r="A292" s="1524" t="s">
        <v>786</v>
      </c>
      <c r="B292" s="615" t="s">
        <v>639</v>
      </c>
      <c r="C292" s="617"/>
      <c r="D292" s="617"/>
      <c r="E292" s="617"/>
      <c r="F292" s="617"/>
      <c r="G292" s="617"/>
      <c r="H292" s="466">
        <v>0</v>
      </c>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87">
        <f>SUM(D229,D279,D280,D285)</f>
        <v>107842</v>
      </c>
      <c r="E295" s="617"/>
      <c r="F295" s="617"/>
      <c r="G295" s="617"/>
      <c r="H295" s="1687">
        <f>H293</f>
        <v>0</v>
      </c>
      <c r="I295" s="617"/>
      <c r="J295" s="617"/>
      <c r="K295" s="1687">
        <f>SUM(K229,K279,K280,K285,K293,K294)</f>
        <v>107842</v>
      </c>
      <c r="L295" s="1687">
        <f>SUM(L229,L279,L280,L285,L293,L294)</f>
        <v>107593</v>
      </c>
    </row>
    <row r="296" spans="1:14" ht="13.5" thickTop="1" x14ac:dyDescent="0.2">
      <c r="A296" s="2170" t="s">
        <v>1053</v>
      </c>
      <c r="B296" s="2171"/>
      <c r="C296" s="617"/>
      <c r="D296" s="619"/>
      <c r="E296" s="617"/>
      <c r="F296" s="617"/>
      <c r="G296" s="617"/>
      <c r="H296" s="688"/>
      <c r="I296" s="617"/>
      <c r="J296" s="617"/>
      <c r="K296" s="1701">
        <f>'Revenues 9-14'!G275-'Expenditures 15-22'!K295</f>
        <v>-7661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v>0</v>
      </c>
      <c r="D301" s="466">
        <v>0</v>
      </c>
      <c r="E301" s="466">
        <v>7278</v>
      </c>
      <c r="F301" s="466">
        <v>2665</v>
      </c>
      <c r="G301" s="466">
        <v>0</v>
      </c>
      <c r="H301" s="466">
        <v>0</v>
      </c>
      <c r="I301" s="467">
        <v>0</v>
      </c>
      <c r="J301" s="467">
        <v>0</v>
      </c>
      <c r="K301" s="1688">
        <f>SUM(C301:J301)</f>
        <v>9943</v>
      </c>
      <c r="L301" s="467">
        <v>12500</v>
      </c>
    </row>
    <row r="302" spans="1:14" ht="13.5" customHeight="1" x14ac:dyDescent="0.2">
      <c r="A302" s="1537" t="s">
        <v>1037</v>
      </c>
      <c r="B302" s="615"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7278</v>
      </c>
      <c r="F303" s="1694">
        <f t="shared" si="23"/>
        <v>2665</v>
      </c>
      <c r="G303" s="1694">
        <f t="shared" si="23"/>
        <v>0</v>
      </c>
      <c r="H303" s="1694">
        <f t="shared" si="23"/>
        <v>0</v>
      </c>
      <c r="I303" s="1694">
        <f t="shared" si="23"/>
        <v>0</v>
      </c>
      <c r="J303" s="1694">
        <f t="shared" si="23"/>
        <v>0</v>
      </c>
      <c r="K303" s="1694">
        <f t="shared" si="23"/>
        <v>9943</v>
      </c>
      <c r="L303" s="1694">
        <f t="shared" si="23"/>
        <v>12500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1961</v>
      </c>
      <c r="B306" s="691" t="s">
        <v>1956</v>
      </c>
      <c r="C306" s="617"/>
      <c r="D306" s="617"/>
      <c r="E306" s="467">
        <v>0</v>
      </c>
      <c r="F306" s="617"/>
      <c r="G306" s="617"/>
      <c r="H306" s="467">
        <v>0</v>
      </c>
      <c r="I306" s="617"/>
      <c r="J306" s="617"/>
      <c r="K306" s="1688">
        <f>SUM(E306,H306)</f>
        <v>0</v>
      </c>
      <c r="L306" s="467">
        <v>0</v>
      </c>
    </row>
    <row r="307" spans="1:14" x14ac:dyDescent="0.2">
      <c r="A307" s="1524" t="s">
        <v>322</v>
      </c>
      <c r="B307" s="615">
        <v>4120</v>
      </c>
      <c r="C307" s="617"/>
      <c r="D307" s="617"/>
      <c r="E307" s="467">
        <v>0</v>
      </c>
      <c r="F307" s="617"/>
      <c r="G307" s="617"/>
      <c r="H307" s="467">
        <v>0</v>
      </c>
      <c r="I307" s="477"/>
      <c r="J307" s="617"/>
      <c r="K307" s="1688">
        <f>SUM(E307,H307)</f>
        <v>0</v>
      </c>
      <c r="L307" s="466">
        <v>0</v>
      </c>
    </row>
    <row r="308" spans="1:14" x14ac:dyDescent="0.2">
      <c r="A308" s="1524" t="s">
        <v>721</v>
      </c>
      <c r="B308" s="615">
        <v>4140</v>
      </c>
      <c r="C308" s="617"/>
      <c r="D308" s="617"/>
      <c r="E308" s="467">
        <v>0</v>
      </c>
      <c r="F308" s="617"/>
      <c r="G308" s="617"/>
      <c r="H308" s="467">
        <v>0</v>
      </c>
      <c r="I308" s="477"/>
      <c r="J308" s="617"/>
      <c r="K308" s="1688">
        <f>SUM(E308,H308)</f>
        <v>0</v>
      </c>
      <c r="L308" s="466">
        <v>0</v>
      </c>
    </row>
    <row r="309" spans="1:14" ht="12.75" customHeight="1" x14ac:dyDescent="0.2">
      <c r="A309" s="1528" t="s">
        <v>722</v>
      </c>
      <c r="B309" s="629">
        <v>4190</v>
      </c>
      <c r="C309" s="617"/>
      <c r="D309" s="617"/>
      <c r="E309" s="467">
        <v>0</v>
      </c>
      <c r="F309" s="617"/>
      <c r="G309" s="617"/>
      <c r="H309" s="467">
        <v>0</v>
      </c>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87">
        <f>SUM(C303)</f>
        <v>0</v>
      </c>
      <c r="D312" s="1687">
        <f>SUM(D303)</f>
        <v>0</v>
      </c>
      <c r="E312" s="1687">
        <f>SUM(E303,E310)</f>
        <v>7278</v>
      </c>
      <c r="F312" s="1687">
        <f>SUM(F303)</f>
        <v>2665</v>
      </c>
      <c r="G312" s="1687">
        <f>SUM(G303)</f>
        <v>0</v>
      </c>
      <c r="H312" s="1687">
        <f>SUM(H303,H310)</f>
        <v>0</v>
      </c>
      <c r="I312" s="1687">
        <f>SUM(I303)</f>
        <v>0</v>
      </c>
      <c r="J312" s="1687">
        <f>SUM(J303)</f>
        <v>0</v>
      </c>
      <c r="K312" s="1687">
        <f>SUM(K303,K310,K311)</f>
        <v>9943</v>
      </c>
      <c r="L312" s="1687">
        <f>SUM(L303,L310,L311)</f>
        <v>12500</v>
      </c>
      <c r="M312" s="666"/>
      <c r="N312" s="666"/>
    </row>
    <row r="313" spans="1:14" ht="13.5" thickTop="1" x14ac:dyDescent="0.2">
      <c r="A313" s="2181" t="s">
        <v>1053</v>
      </c>
      <c r="B313" s="2182"/>
      <c r="C313" s="627"/>
      <c r="D313" s="627"/>
      <c r="E313" s="627"/>
      <c r="F313" s="627"/>
      <c r="G313" s="627"/>
      <c r="H313" s="627"/>
      <c r="I313" s="627"/>
      <c r="J313" s="627"/>
      <c r="K313" s="1702">
        <f>'Revenues 9-14'!H275-'Expenditures 15-22'!K312</f>
        <v>17747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v>0</v>
      </c>
      <c r="D319" s="467">
        <v>0</v>
      </c>
      <c r="E319" s="467">
        <v>0</v>
      </c>
      <c r="F319" s="467">
        <v>0</v>
      </c>
      <c r="G319" s="467">
        <v>0</v>
      </c>
      <c r="H319" s="467">
        <v>0</v>
      </c>
      <c r="I319" s="467">
        <v>0</v>
      </c>
      <c r="J319" s="467">
        <v>0</v>
      </c>
      <c r="K319" s="1688">
        <f>SUM(C319:J319)</f>
        <v>0</v>
      </c>
      <c r="L319" s="467">
        <v>0</v>
      </c>
      <c r="M319" s="666"/>
      <c r="N319" s="666"/>
    </row>
    <row r="320" spans="1:14" s="675" customFormat="1" x14ac:dyDescent="0.2">
      <c r="A320" s="1543" t="s">
        <v>1907</v>
      </c>
      <c r="B320" s="699" t="s">
        <v>300</v>
      </c>
      <c r="C320" s="467">
        <v>0</v>
      </c>
      <c r="D320" s="467">
        <v>17463</v>
      </c>
      <c r="E320" s="467">
        <v>0</v>
      </c>
      <c r="F320" s="467">
        <v>0</v>
      </c>
      <c r="G320" s="467">
        <v>0</v>
      </c>
      <c r="H320" s="467">
        <v>0</v>
      </c>
      <c r="I320" s="467">
        <v>0</v>
      </c>
      <c r="J320" s="467">
        <v>0</v>
      </c>
      <c r="K320" s="1688">
        <f t="shared" ref="K320:K327" si="24">SUM(C320:J320)</f>
        <v>17463</v>
      </c>
      <c r="L320" s="467">
        <v>17463</v>
      </c>
      <c r="M320" s="666"/>
      <c r="N320" s="666"/>
    </row>
    <row r="321" spans="1:14" s="675" customFormat="1" x14ac:dyDescent="0.2">
      <c r="A321" s="1539" t="s">
        <v>318</v>
      </c>
      <c r="B321" s="698" t="s">
        <v>301</v>
      </c>
      <c r="C321" s="467">
        <v>0</v>
      </c>
      <c r="D321" s="467">
        <v>8404</v>
      </c>
      <c r="E321" s="467">
        <v>0</v>
      </c>
      <c r="F321" s="467">
        <v>0</v>
      </c>
      <c r="G321" s="467">
        <v>0</v>
      </c>
      <c r="H321" s="467">
        <v>0</v>
      </c>
      <c r="I321" s="467">
        <v>0</v>
      </c>
      <c r="J321" s="467">
        <v>0</v>
      </c>
      <c r="K321" s="1688">
        <f t="shared" si="24"/>
        <v>8404</v>
      </c>
      <c r="L321" s="467">
        <v>9000</v>
      </c>
      <c r="M321" s="666"/>
      <c r="N321" s="666"/>
    </row>
    <row r="322" spans="1:14" s="675" customFormat="1" x14ac:dyDescent="0.2">
      <c r="A322" s="1539" t="s">
        <v>256</v>
      </c>
      <c r="B322" s="698" t="s">
        <v>302</v>
      </c>
      <c r="C322" s="467">
        <v>0</v>
      </c>
      <c r="D322" s="467">
        <v>0</v>
      </c>
      <c r="E322" s="467">
        <v>25418</v>
      </c>
      <c r="F322" s="467">
        <v>0</v>
      </c>
      <c r="G322" s="467">
        <v>0</v>
      </c>
      <c r="H322" s="467">
        <v>0</v>
      </c>
      <c r="I322" s="467">
        <v>0</v>
      </c>
      <c r="J322" s="467">
        <v>0</v>
      </c>
      <c r="K322" s="1688">
        <f t="shared" si="24"/>
        <v>25418</v>
      </c>
      <c r="L322" s="467">
        <v>25100</v>
      </c>
      <c r="M322" s="666"/>
      <c r="N322" s="666"/>
    </row>
    <row r="323" spans="1:14" s="675" customFormat="1" x14ac:dyDescent="0.2">
      <c r="A323" s="1539" t="s">
        <v>726</v>
      </c>
      <c r="B323" s="698" t="s">
        <v>303</v>
      </c>
      <c r="C323" s="467">
        <v>0</v>
      </c>
      <c r="D323" s="467">
        <v>0</v>
      </c>
      <c r="E323" s="467">
        <v>0</v>
      </c>
      <c r="F323" s="467">
        <v>0</v>
      </c>
      <c r="G323" s="467">
        <v>0</v>
      </c>
      <c r="H323" s="467">
        <v>0</v>
      </c>
      <c r="I323" s="467">
        <v>0</v>
      </c>
      <c r="J323" s="467">
        <v>0</v>
      </c>
      <c r="K323" s="1688">
        <f t="shared" si="24"/>
        <v>0</v>
      </c>
      <c r="L323" s="467">
        <v>0</v>
      </c>
      <c r="M323" s="666"/>
      <c r="N323" s="666"/>
    </row>
    <row r="324" spans="1:14" s="675" customFormat="1" x14ac:dyDescent="0.2">
      <c r="A324" s="1539" t="s">
        <v>257</v>
      </c>
      <c r="B324" s="698" t="s">
        <v>304</v>
      </c>
      <c r="C324" s="467">
        <v>0</v>
      </c>
      <c r="D324" s="467">
        <v>0</v>
      </c>
      <c r="E324" s="467">
        <v>0</v>
      </c>
      <c r="F324" s="467">
        <v>0</v>
      </c>
      <c r="G324" s="467">
        <v>0</v>
      </c>
      <c r="H324" s="467">
        <v>0</v>
      </c>
      <c r="I324" s="467">
        <v>0</v>
      </c>
      <c r="J324" s="467">
        <v>0</v>
      </c>
      <c r="K324" s="1688">
        <f t="shared" si="24"/>
        <v>0</v>
      </c>
      <c r="L324" s="467">
        <v>0</v>
      </c>
      <c r="M324" s="666"/>
      <c r="N324" s="666"/>
    </row>
    <row r="325" spans="1:14" s="675" customFormat="1" ht="22.5" x14ac:dyDescent="0.2">
      <c r="A325" s="1539" t="s">
        <v>1087</v>
      </c>
      <c r="B325" s="699" t="s">
        <v>305</v>
      </c>
      <c r="C325" s="467">
        <v>10930</v>
      </c>
      <c r="D325" s="467">
        <v>0</v>
      </c>
      <c r="E325" s="467">
        <v>7706</v>
      </c>
      <c r="F325" s="467">
        <v>0</v>
      </c>
      <c r="G325" s="467">
        <v>0</v>
      </c>
      <c r="H325" s="467">
        <v>0</v>
      </c>
      <c r="I325" s="467">
        <v>0</v>
      </c>
      <c r="J325" s="467">
        <v>0</v>
      </c>
      <c r="K325" s="1688">
        <f t="shared" si="24"/>
        <v>18636</v>
      </c>
      <c r="L325" s="467">
        <v>18700</v>
      </c>
      <c r="M325" s="666"/>
      <c r="N325" s="666"/>
    </row>
    <row r="326" spans="1:14" s="675" customFormat="1" x14ac:dyDescent="0.2">
      <c r="A326" s="1539" t="s">
        <v>1088</v>
      </c>
      <c r="B326" s="698" t="s">
        <v>306</v>
      </c>
      <c r="C326" s="467">
        <v>0</v>
      </c>
      <c r="D326" s="467">
        <v>0</v>
      </c>
      <c r="E326" s="467">
        <v>0</v>
      </c>
      <c r="F326" s="467">
        <v>0</v>
      </c>
      <c r="G326" s="467">
        <v>0</v>
      </c>
      <c r="H326" s="467">
        <v>0</v>
      </c>
      <c r="I326" s="467">
        <v>0</v>
      </c>
      <c r="J326" s="467">
        <v>0</v>
      </c>
      <c r="K326" s="1688">
        <f t="shared" si="24"/>
        <v>0</v>
      </c>
      <c r="L326" s="467">
        <v>0</v>
      </c>
      <c r="M326" s="666"/>
      <c r="N326" s="666"/>
    </row>
    <row r="327" spans="1:14" s="675" customFormat="1" x14ac:dyDescent="0.2">
      <c r="A327" s="1539" t="s">
        <v>1028</v>
      </c>
      <c r="B327" s="698" t="s">
        <v>307</v>
      </c>
      <c r="C327" s="467">
        <v>0</v>
      </c>
      <c r="D327" s="467">
        <v>0</v>
      </c>
      <c r="E327" s="467">
        <v>9351</v>
      </c>
      <c r="F327" s="467">
        <v>0</v>
      </c>
      <c r="G327" s="467">
        <v>0</v>
      </c>
      <c r="H327" s="467">
        <v>0</v>
      </c>
      <c r="I327" s="467">
        <v>0</v>
      </c>
      <c r="J327" s="467">
        <v>0</v>
      </c>
      <c r="K327" s="1688">
        <f t="shared" si="24"/>
        <v>9351</v>
      </c>
      <c r="L327" s="467">
        <v>10000</v>
      </c>
      <c r="M327" s="666"/>
      <c r="N327" s="666"/>
    </row>
    <row r="328" spans="1:14" s="675" customFormat="1" x14ac:dyDescent="0.2">
      <c r="A328" s="1540" t="s">
        <v>492</v>
      </c>
      <c r="B328" s="691" t="s">
        <v>1194</v>
      </c>
      <c r="C328" s="474">
        <v>0</v>
      </c>
      <c r="D328" s="474">
        <v>0</v>
      </c>
      <c r="E328" s="474">
        <v>0</v>
      </c>
      <c r="F328" s="474">
        <v>0</v>
      </c>
      <c r="G328" s="474">
        <v>0</v>
      </c>
      <c r="H328" s="474">
        <v>0</v>
      </c>
      <c r="I328" s="474">
        <v>0</v>
      </c>
      <c r="J328" s="474">
        <v>0</v>
      </c>
      <c r="K328" s="1716">
        <f>SUM(C328:J328)</f>
        <v>0</v>
      </c>
      <c r="L328" s="474">
        <v>0</v>
      </c>
      <c r="M328" s="666"/>
      <c r="N328" s="666"/>
    </row>
    <row r="329" spans="1:14" s="675" customFormat="1" x14ac:dyDescent="0.2">
      <c r="A329" s="1540" t="s">
        <v>1195</v>
      </c>
      <c r="B329" s="691" t="s">
        <v>1196</v>
      </c>
      <c r="C329" s="474">
        <v>0</v>
      </c>
      <c r="D329" s="474">
        <v>0</v>
      </c>
      <c r="E329" s="474">
        <v>0</v>
      </c>
      <c r="F329" s="474">
        <v>0</v>
      </c>
      <c r="G329" s="474">
        <v>0</v>
      </c>
      <c r="H329" s="474">
        <v>0</v>
      </c>
      <c r="I329" s="474">
        <v>0</v>
      </c>
      <c r="J329" s="474">
        <v>0</v>
      </c>
      <c r="K329" s="1716">
        <f>SUM(C329:J329)</f>
        <v>0</v>
      </c>
      <c r="L329" s="474">
        <v>0</v>
      </c>
      <c r="M329" s="666"/>
      <c r="N329" s="666"/>
    </row>
    <row r="330" spans="1:14" s="675" customFormat="1" ht="12.75" customHeight="1" thickBot="1" x14ac:dyDescent="0.25">
      <c r="A330" s="1717" t="s">
        <v>741</v>
      </c>
      <c r="B330" s="1686" t="s">
        <v>590</v>
      </c>
      <c r="C330" s="1687">
        <f>SUM(C319:C329)</f>
        <v>10930</v>
      </c>
      <c r="D330" s="1687">
        <f t="shared" ref="D330:J330" si="25">SUM(D319:D329)</f>
        <v>25867</v>
      </c>
      <c r="E330" s="1687">
        <f t="shared" si="25"/>
        <v>42475</v>
      </c>
      <c r="F330" s="1687">
        <f t="shared" si="25"/>
        <v>0</v>
      </c>
      <c r="G330" s="1687">
        <f t="shared" si="25"/>
        <v>0</v>
      </c>
      <c r="H330" s="1687">
        <f t="shared" si="25"/>
        <v>0</v>
      </c>
      <c r="I330" s="1687">
        <f t="shared" si="25"/>
        <v>0</v>
      </c>
      <c r="J330" s="1687">
        <f t="shared" si="25"/>
        <v>0</v>
      </c>
      <c r="K330" s="1687">
        <f>SUM(K319:K329)</f>
        <v>79272</v>
      </c>
      <c r="L330" s="1687">
        <f>SUM(L319:L329)</f>
        <v>80263</v>
      </c>
      <c r="M330" s="666"/>
      <c r="N330" s="666"/>
    </row>
    <row r="331" spans="1:14" s="675" customFormat="1" ht="12.75" customHeight="1" thickTop="1" x14ac:dyDescent="0.2">
      <c r="A331" s="1849" t="s">
        <v>1962</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1956</v>
      </c>
      <c r="C332" s="1851"/>
      <c r="D332" s="1851"/>
      <c r="E332" s="1851"/>
      <c r="F332" s="1851"/>
      <c r="G332" s="1851"/>
      <c r="H332" s="467">
        <v>0</v>
      </c>
      <c r="I332" s="1851"/>
      <c r="J332" s="1851"/>
      <c r="K332" s="1688">
        <f>H332</f>
        <v>0</v>
      </c>
      <c r="L332" s="467">
        <v>0</v>
      </c>
      <c r="M332" s="666"/>
      <c r="N332" s="666"/>
    </row>
    <row r="333" spans="1:14" s="675" customFormat="1" ht="12.75" customHeight="1" x14ac:dyDescent="0.2">
      <c r="A333" s="1850" t="s">
        <v>322</v>
      </c>
      <c r="B333" s="1845" t="s">
        <v>1958</v>
      </c>
      <c r="C333" s="1851"/>
      <c r="D333" s="1851"/>
      <c r="E333" s="1851"/>
      <c r="F333" s="1851"/>
      <c r="G333" s="1851"/>
      <c r="H333" s="467">
        <v>0</v>
      </c>
      <c r="I333" s="1851"/>
      <c r="J333" s="1851"/>
      <c r="K333" s="1688">
        <f>H333</f>
        <v>0</v>
      </c>
      <c r="L333" s="467">
        <v>0</v>
      </c>
      <c r="M333" s="666"/>
      <c r="N333" s="666"/>
    </row>
    <row r="334" spans="1:14" s="675" customFormat="1" ht="12.75" customHeight="1" thickBot="1" x14ac:dyDescent="0.25">
      <c r="A334" s="1850" t="s">
        <v>1963</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v>0</v>
      </c>
      <c r="I337" s="639"/>
      <c r="J337" s="639"/>
      <c r="K337" s="1688">
        <f>H337</f>
        <v>0</v>
      </c>
      <c r="L337" s="478">
        <v>0</v>
      </c>
    </row>
    <row r="338" spans="1:14" ht="12.75" customHeight="1" x14ac:dyDescent="0.2">
      <c r="A338" s="1538" t="s">
        <v>1232</v>
      </c>
      <c r="B338" s="691" t="s">
        <v>638</v>
      </c>
      <c r="C338" s="639"/>
      <c r="D338" s="639"/>
      <c r="E338" s="639"/>
      <c r="F338" s="639"/>
      <c r="G338" s="639"/>
      <c r="H338" s="478">
        <v>0</v>
      </c>
      <c r="I338" s="639"/>
      <c r="J338" s="639"/>
      <c r="K338" s="1688">
        <f>H338</f>
        <v>0</v>
      </c>
      <c r="L338" s="478">
        <v>0</v>
      </c>
    </row>
    <row r="339" spans="1:14" x14ac:dyDescent="0.2">
      <c r="A339" s="1524" t="s">
        <v>957</v>
      </c>
      <c r="B339" s="629">
        <v>5150</v>
      </c>
      <c r="C339" s="639"/>
      <c r="D339" s="639"/>
      <c r="E339" s="639"/>
      <c r="F339" s="639"/>
      <c r="G339" s="639"/>
      <c r="H339" s="467">
        <v>0</v>
      </c>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10930</v>
      </c>
      <c r="D342" s="1687">
        <f>SUM(D330)</f>
        <v>25867</v>
      </c>
      <c r="E342" s="1687">
        <f>SUM(E330)</f>
        <v>42475</v>
      </c>
      <c r="F342" s="1687">
        <f>SUM(F330)</f>
        <v>0</v>
      </c>
      <c r="G342" s="1687">
        <f>SUM(G330)</f>
        <v>0</v>
      </c>
      <c r="H342" s="1687">
        <f>SUM(H330,H334,H340)</f>
        <v>0</v>
      </c>
      <c r="I342" s="1687">
        <f>SUM(I330)</f>
        <v>0</v>
      </c>
      <c r="J342" s="1687">
        <f>SUM(J330)</f>
        <v>0</v>
      </c>
      <c r="K342" s="1687">
        <f>SUM(K330,K334,K340)</f>
        <v>79272</v>
      </c>
      <c r="L342" s="1694">
        <f>SUM(L330,L340,L341)</f>
        <v>80263</v>
      </c>
    </row>
    <row r="343" spans="1:14" ht="12.75" customHeight="1" thickTop="1" x14ac:dyDescent="0.2">
      <c r="A343" s="2183" t="s">
        <v>1053</v>
      </c>
      <c r="B343" s="2184"/>
      <c r="C343" s="617"/>
      <c r="D343" s="617"/>
      <c r="E343" s="617"/>
      <c r="F343" s="617"/>
      <c r="G343" s="617"/>
      <c r="H343" s="617"/>
      <c r="I343" s="617"/>
      <c r="J343" s="617"/>
      <c r="K343" s="1701">
        <f>'Revenues 9-14'!J275-'Expenditures 15-22'!K342</f>
        <v>1915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v>0</v>
      </c>
      <c r="D348" s="466">
        <v>0</v>
      </c>
      <c r="E348" s="466">
        <v>0</v>
      </c>
      <c r="F348" s="466">
        <v>0</v>
      </c>
      <c r="G348" s="466">
        <v>0</v>
      </c>
      <c r="H348" s="466">
        <v>0</v>
      </c>
      <c r="I348" s="467">
        <v>0</v>
      </c>
      <c r="J348" s="467">
        <v>0</v>
      </c>
      <c r="K348" s="1688">
        <f>SUM(C348:J348)</f>
        <v>0</v>
      </c>
      <c r="L348" s="466">
        <v>0</v>
      </c>
    </row>
    <row r="349" spans="1:14" x14ac:dyDescent="0.2">
      <c r="A349" s="1524" t="s">
        <v>206</v>
      </c>
      <c r="B349" s="615">
        <v>2540</v>
      </c>
      <c r="C349" s="466">
        <v>0</v>
      </c>
      <c r="D349" s="466">
        <v>0</v>
      </c>
      <c r="E349" s="466">
        <v>28664</v>
      </c>
      <c r="F349" s="466">
        <v>592</v>
      </c>
      <c r="G349" s="466">
        <v>341571</v>
      </c>
      <c r="H349" s="466">
        <v>0</v>
      </c>
      <c r="I349" s="467">
        <v>0</v>
      </c>
      <c r="J349" s="467">
        <v>0</v>
      </c>
      <c r="K349" s="1688">
        <f>SUM(C349:J349)</f>
        <v>370827</v>
      </c>
      <c r="L349" s="466">
        <v>378500</v>
      </c>
    </row>
    <row r="350" spans="1:14" ht="12.75" customHeight="1" thickBot="1" x14ac:dyDescent="0.25">
      <c r="A350" s="1685" t="s">
        <v>743</v>
      </c>
      <c r="B350" s="1686" t="s">
        <v>35</v>
      </c>
      <c r="C350" s="1687">
        <f>SUM(C348:C349)</f>
        <v>0</v>
      </c>
      <c r="D350" s="1687">
        <f t="shared" ref="D350:L350" si="26">SUM(D348:D349)</f>
        <v>0</v>
      </c>
      <c r="E350" s="1687">
        <f t="shared" si="26"/>
        <v>28664</v>
      </c>
      <c r="F350" s="1687">
        <f t="shared" si="26"/>
        <v>592</v>
      </c>
      <c r="G350" s="1687">
        <f t="shared" si="26"/>
        <v>341571</v>
      </c>
      <c r="H350" s="1687">
        <f t="shared" si="26"/>
        <v>0</v>
      </c>
      <c r="I350" s="1687">
        <f t="shared" si="26"/>
        <v>0</v>
      </c>
      <c r="J350" s="1687">
        <f t="shared" si="26"/>
        <v>0</v>
      </c>
      <c r="K350" s="1687">
        <f t="shared" si="26"/>
        <v>370827</v>
      </c>
      <c r="L350" s="1687">
        <f t="shared" si="26"/>
        <v>378500</v>
      </c>
    </row>
    <row r="351" spans="1:14" ht="12.75" customHeight="1" thickTop="1" x14ac:dyDescent="0.2">
      <c r="A351" s="1530"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28664</v>
      </c>
      <c r="F352" s="1687">
        <f t="shared" si="27"/>
        <v>592</v>
      </c>
      <c r="G352" s="1687">
        <f t="shared" si="27"/>
        <v>341571</v>
      </c>
      <c r="H352" s="1687">
        <f t="shared" si="27"/>
        <v>0</v>
      </c>
      <c r="I352" s="1687">
        <f t="shared" si="27"/>
        <v>0</v>
      </c>
      <c r="J352" s="1687">
        <f t="shared" si="27"/>
        <v>0</v>
      </c>
      <c r="K352" s="1687">
        <f t="shared" si="27"/>
        <v>370827</v>
      </c>
      <c r="L352" s="1687">
        <f t="shared" si="27"/>
        <v>378500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2" t="s">
        <v>1964</v>
      </c>
      <c r="B354" s="684" t="s">
        <v>1956</v>
      </c>
      <c r="C354" s="617"/>
      <c r="D354" s="617"/>
      <c r="E354" s="617"/>
      <c r="F354" s="617"/>
      <c r="G354" s="617"/>
      <c r="H354" s="474">
        <v>0</v>
      </c>
      <c r="I354" s="702"/>
      <c r="J354" s="617"/>
      <c r="K354" s="1716">
        <f>H354</f>
        <v>0</v>
      </c>
      <c r="L354" s="471">
        <v>0</v>
      </c>
    </row>
    <row r="355" spans="1:14" ht="12.75" customHeight="1" x14ac:dyDescent="0.2">
      <c r="A355" s="1533" t="s">
        <v>1965</v>
      </c>
      <c r="B355" s="691" t="s">
        <v>1958</v>
      </c>
      <c r="C355" s="617"/>
      <c r="D355" s="617"/>
      <c r="E355" s="617"/>
      <c r="F355" s="617"/>
      <c r="G355" s="617"/>
      <c r="H355" s="467">
        <v>0</v>
      </c>
      <c r="I355" s="702"/>
      <c r="J355" s="617"/>
      <c r="K355" s="1760">
        <f>H355</f>
        <v>0</v>
      </c>
      <c r="L355" s="467">
        <v>0</v>
      </c>
    </row>
    <row r="356" spans="1:14" ht="12.75" customHeight="1" x14ac:dyDescent="0.2">
      <c r="A356" s="1852" t="s">
        <v>722</v>
      </c>
      <c r="B356" s="684" t="s">
        <v>579</v>
      </c>
      <c r="C356" s="617"/>
      <c r="D356" s="617"/>
      <c r="E356" s="617"/>
      <c r="F356" s="617"/>
      <c r="G356" s="617"/>
      <c r="H356" s="479">
        <v>0</v>
      </c>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88">
        <f>SUM(C360:J360)</f>
        <v>0</v>
      </c>
      <c r="L360" s="466">
        <v>0</v>
      </c>
    </row>
    <row r="361" spans="1:14" ht="12.75" customHeight="1" x14ac:dyDescent="0.2">
      <c r="A361" s="1525" t="s">
        <v>640</v>
      </c>
      <c r="B361" s="603" t="s">
        <v>639</v>
      </c>
      <c r="C361" s="617"/>
      <c r="D361" s="617"/>
      <c r="E361" s="617"/>
      <c r="F361" s="617"/>
      <c r="G361" s="617"/>
      <c r="H361" s="467">
        <v>0</v>
      </c>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v>0</v>
      </c>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8">
        <f>SUM(C364:J364)</f>
        <v>0</v>
      </c>
      <c r="L364" s="708">
        <v>0</v>
      </c>
    </row>
    <row r="365" spans="1:14" s="675" customFormat="1" ht="12.75" customHeight="1" thickBot="1" x14ac:dyDescent="0.25">
      <c r="A365" s="1541"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28664</v>
      </c>
      <c r="F367" s="1687">
        <f t="shared" si="28"/>
        <v>592</v>
      </c>
      <c r="G367" s="1687">
        <f t="shared" si="28"/>
        <v>341571</v>
      </c>
      <c r="H367" s="1687">
        <f t="shared" si="28"/>
        <v>0</v>
      </c>
      <c r="I367" s="1687">
        <f t="shared" si="28"/>
        <v>0</v>
      </c>
      <c r="J367" s="1687">
        <f t="shared" si="28"/>
        <v>0</v>
      </c>
      <c r="K367" s="1687">
        <f t="shared" si="28"/>
        <v>370827</v>
      </c>
      <c r="L367" s="1687">
        <f t="shared" si="28"/>
        <v>378500</v>
      </c>
    </row>
    <row r="368" spans="1:14" ht="13.5" thickTop="1" x14ac:dyDescent="0.2">
      <c r="A368" s="2170" t="s">
        <v>1053</v>
      </c>
      <c r="B368" s="2171"/>
      <c r="C368" s="655"/>
      <c r="D368" s="655"/>
      <c r="E368" s="627"/>
      <c r="F368" s="627"/>
      <c r="G368" s="627"/>
      <c r="H368" s="627"/>
      <c r="I368" s="627"/>
      <c r="J368" s="624"/>
      <c r="K368" s="1688">
        <f>'Revenues 9-14'!K275-'Expenditures 15-22'!K367</f>
        <v>-360392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gridLinesSet="0"/>
  <pageMargins left="0.1" right="0.2" top="1.61" bottom="1.6" header="0.28000000000000003" footer="0.1"/>
  <pageSetup scale="57" firstPageNumber="15" fitToHeight="8" orientation="landscape" useFirstPageNumber="1" r:id="rId1"/>
  <headerFooter alignWithMargins="0">
    <oddHeader>&amp;L&amp;"Calibri,Regular"&amp;8Page &amp;P&amp;C&amp;"Calibri,Bold"&amp;9STATEMENT OF EXPENDITURES DISBURSED/EXPENDITURES, BUDGET TO ACTUAL
FOR THE YEAR ENDING JUNE 30, 2018&amp;R&amp;"Calibri,Regular"&amp;8Page &amp;P</oddHeader>
    <oddFooter>&amp;L&amp;"Calibri,Regular"&amp;8Print Date: &amp;D
&amp;F&amp;C&amp;"Calibri,Regular"&amp;8The Notes to the Basic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purl.org/dc/elements/1.1/"/>
    <ds:schemaRef ds:uri="http://purl.org/dc/dcmitype/"/>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SF&amp;QC Sec-1 37</vt:lpstr>
      <vt:lpstr>SF&amp;QC Sec-2 38</vt:lpstr>
      <vt:lpstr>SF&amp;QC Sec-2 39</vt:lpstr>
      <vt:lpstr>SF&amp;QC Sec-2 40</vt:lpstr>
      <vt:lpstr>SSPAF 41</vt:lpstr>
      <vt:lpstr>AUDITCHECK</vt:lpstr>
      <vt:lpstr>Single Audit Cover</vt:lpstr>
      <vt:lpstr>Single Audit Checklist</vt:lpstr>
      <vt:lpstr>SEFA Reconcile</vt:lpstr>
      <vt:lpstr>SEFA NOTES</vt:lpstr>
      <vt:lpstr> SEFA</vt:lpstr>
      <vt:lpstr>SF&amp;QC Sec-3</vt:lpstr>
      <vt:lpstr>' SEFA'!Print_Area</vt:lpstr>
      <vt:lpstr>'SEFA NOTES'!Print_Area</vt:lpstr>
      <vt:lpstr>'SEFA Reconcile'!Print_Area</vt:lpstr>
      <vt:lpstr>'SF&amp;QC Sec-1 37'!Print_Area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2018-08-24T16:35:30Z</cp:lastPrinted>
  <dcterms:created xsi:type="dcterms:W3CDTF">2003-10-29T19:06:34Z</dcterms:created>
  <dcterms:modified xsi:type="dcterms:W3CDTF">2018-09-18T16:45:05Z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