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s="1"/>
  <c r="B5115" i="106"/>
  <c r="D5115" i="106"/>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s="1"/>
  <c r="B6317" i="106"/>
  <c r="D6317" i="106" s="1"/>
  <c r="B6319" i="106"/>
  <c r="D6319" i="106" s="1"/>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c r="B6332" i="106"/>
  <c r="D6332" i="106" s="1"/>
  <c r="B6333" i="106"/>
  <c r="D6333" i="106"/>
  <c r="B6334" i="106"/>
  <c r="D6334" i="106" s="1"/>
  <c r="B6335" i="106"/>
  <c r="D6335" i="106"/>
  <c r="B6336" i="106"/>
  <c r="D6336" i="106" s="1"/>
  <c r="B6337" i="106"/>
  <c r="D6337" i="106"/>
  <c r="B6338" i="106"/>
  <c r="D6338" i="106" s="1"/>
  <c r="B6339" i="106"/>
  <c r="D6339" i="106"/>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s="1"/>
  <c r="B6353" i="106"/>
  <c r="D6353" i="106"/>
  <c r="B6354" i="106"/>
  <c r="D6354" i="106" s="1"/>
  <c r="B6355" i="106"/>
  <c r="D6355" i="106"/>
  <c r="B6356" i="106"/>
  <c r="D6356" i="106" s="1"/>
  <c r="B6358" i="106"/>
  <c r="D6358" i="106"/>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c r="B6729" i="106"/>
  <c r="D6729" i="106" s="1"/>
  <c r="B6730" i="106"/>
  <c r="D6730" i="106" s="1"/>
  <c r="B6731" i="106"/>
  <c r="D6731" i="106" s="1"/>
  <c r="B6732" i="106"/>
  <c r="D6732" i="106"/>
  <c r="B6733" i="106"/>
  <c r="D6733" i="106" s="1"/>
  <c r="B6734" i="106"/>
  <c r="D6734" i="106" s="1"/>
  <c r="B6735" i="106"/>
  <c r="D6735" i="106" s="1"/>
  <c r="B6736" i="106"/>
  <c r="D6736" i="106"/>
  <c r="B6737" i="106"/>
  <c r="D6737" i="106" s="1"/>
  <c r="B6738" i="106"/>
  <c r="D6738" i="106" s="1"/>
  <c r="B6739" i="106"/>
  <c r="D6739" i="106" s="1"/>
  <c r="B6740" i="106"/>
  <c r="D6740" i="106"/>
  <c r="B6741" i="106"/>
  <c r="D6741" i="106" s="1"/>
  <c r="B6742" i="106"/>
  <c r="D6742" i="106" s="1"/>
  <c r="B6743" i="106"/>
  <c r="D6743" i="106" s="1"/>
  <c r="B6744" i="106"/>
  <c r="D6744" i="106"/>
  <c r="B6745" i="106"/>
  <c r="D6745" i="106" s="1"/>
  <c r="B6746" i="106"/>
  <c r="D6746" i="106" s="1"/>
  <c r="B6747" i="106"/>
  <c r="D6747" i="106" s="1"/>
  <c r="B6748" i="106"/>
  <c r="D6748" i="106"/>
  <c r="B6749" i="106"/>
  <c r="D6749" i="106" s="1"/>
  <c r="B6750" i="106"/>
  <c r="D6750" i="106" s="1"/>
  <c r="B6751" i="106"/>
  <c r="D6751" i="106" s="1"/>
  <c r="B6752" i="106"/>
  <c r="D6752" i="106"/>
  <c r="B6753" i="106"/>
  <c r="D6753" i="106" s="1"/>
  <c r="B6754" i="106"/>
  <c r="D6754" i="106" s="1"/>
  <c r="B6755" i="106"/>
  <c r="D6755" i="106" s="1"/>
  <c r="B6756" i="106"/>
  <c r="D6756" i="106"/>
  <c r="B6757" i="106"/>
  <c r="D6757" i="106" s="1"/>
  <c r="B6758" i="106"/>
  <c r="D6758" i="106" s="1"/>
  <c r="B6759" i="106"/>
  <c r="D6759" i="106" s="1"/>
  <c r="B6760" i="106"/>
  <c r="D6760" i="106"/>
  <c r="B6761" i="106"/>
  <c r="D6761" i="106" s="1"/>
  <c r="B6762" i="106"/>
  <c r="D6762" i="106" s="1"/>
  <c r="B6763" i="106"/>
  <c r="D6763" i="106" s="1"/>
  <c r="B6764" i="106"/>
  <c r="D6764" i="106"/>
  <c r="B6765" i="106"/>
  <c r="D6765" i="106" s="1"/>
  <c r="B6766" i="106"/>
  <c r="D6766" i="106" s="1"/>
  <c r="B6767" i="106"/>
  <c r="D6767" i="106" s="1"/>
  <c r="B6768" i="106"/>
  <c r="D6768" i="106"/>
  <c r="B6769" i="106"/>
  <c r="D6769" i="106" s="1"/>
  <c r="B6770" i="106"/>
  <c r="D6770" i="106" s="1"/>
  <c r="B6771" i="106"/>
  <c r="D6771" i="106" s="1"/>
  <c r="B6772" i="106"/>
  <c r="D6772" i="106"/>
  <c r="B6773" i="106"/>
  <c r="D6773" i="106" s="1"/>
  <c r="B6774" i="106"/>
  <c r="D6774" i="106" s="1"/>
  <c r="B6775" i="106"/>
  <c r="D6775" i="106" s="1"/>
  <c r="B6776" i="106"/>
  <c r="D6776" i="106"/>
  <c r="B6777" i="106"/>
  <c r="D6777" i="106" s="1"/>
  <c r="B6778" i="106"/>
  <c r="D6778" i="106" s="1"/>
  <c r="B6779" i="106"/>
  <c r="D6779" i="106" s="1"/>
  <c r="B6780" i="106"/>
  <c r="D6780" i="106"/>
  <c r="B6781" i="106"/>
  <c r="D6781" i="106" s="1"/>
  <c r="B6782" i="106"/>
  <c r="D6782" i="106" s="1"/>
  <c r="B6783" i="106"/>
  <c r="D6783" i="106" s="1"/>
  <c r="B6784" i="106"/>
  <c r="D6784" i="106"/>
  <c r="B6785" i="106"/>
  <c r="D6785" i="106" s="1"/>
  <c r="B6786" i="106"/>
  <c r="D6786" i="106" s="1"/>
  <c r="B6787" i="106"/>
  <c r="D6787" i="106" s="1"/>
  <c r="B6788" i="106"/>
  <c r="D6788" i="106"/>
  <c r="B6789" i="106"/>
  <c r="D6789" i="106" s="1"/>
  <c r="B6790" i="106"/>
  <c r="D6790" i="106" s="1"/>
  <c r="B6791" i="106"/>
  <c r="D6791" i="106" s="1"/>
  <c r="B6792" i="106"/>
  <c r="D6792" i="106"/>
  <c r="B6793" i="106"/>
  <c r="D6793" i="106" s="1"/>
  <c r="B6794" i="106"/>
  <c r="D6794" i="106" s="1"/>
  <c r="B6795" i="106"/>
  <c r="D6795" i="106" s="1"/>
  <c r="B6796" i="106"/>
  <c r="D6796" i="106"/>
  <c r="B6797" i="106"/>
  <c r="D6797" i="106" s="1"/>
  <c r="B6798" i="106"/>
  <c r="D6798" i="106" s="1"/>
  <c r="B6799" i="106"/>
  <c r="D6799" i="106" s="1"/>
  <c r="B6800" i="106"/>
  <c r="D6800" i="106"/>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G28" i="108"/>
  <c r="E29" i="108"/>
  <c r="G29"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F128" i="34" s="1"/>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D5" i="7"/>
  <c r="B1761" i="106" s="1"/>
  <c r="D1761" i="106" s="1"/>
  <c r="D13" i="7"/>
  <c r="B3726" i="106" s="1"/>
  <c r="D3726" i="106" s="1"/>
  <c r="D9" i="7"/>
  <c r="B1767" i="106" s="1"/>
  <c r="D1767" i="106" s="1"/>
  <c r="F136" i="34"/>
  <c r="F127" i="34"/>
  <c r="B5599" i="106"/>
  <c r="D5599" i="106" s="1"/>
  <c r="H173" i="5"/>
  <c r="B5906" i="106" s="1"/>
  <c r="D5906" i="106" s="1"/>
  <c r="D109" i="5"/>
  <c r="B5356" i="106" s="1"/>
  <c r="D5356" i="106" s="1"/>
  <c r="F106" i="34"/>
  <c r="D7" i="7"/>
  <c r="B1763" i="106" s="1"/>
  <c r="D1763" i="106" s="1"/>
  <c r="B1746" i="106"/>
  <c r="D1746" i="106" s="1"/>
  <c r="D17" i="7"/>
  <c r="B4104" i="106" s="1"/>
  <c r="D4104" i="106" s="1"/>
  <c r="D11" i="7"/>
  <c r="B1768" i="106" s="1"/>
  <c r="D1768" i="106" s="1"/>
  <c r="D15" i="7"/>
  <c r="B1772" i="106" s="1"/>
  <c r="D1772" i="106" s="1"/>
  <c r="D12" i="7" l="1"/>
  <c r="B1769" i="106" s="1"/>
  <c r="D1769" i="106" s="1"/>
  <c r="F130" i="34"/>
  <c r="E109" i="5"/>
  <c r="E4" i="4" s="1"/>
  <c r="B2630" i="106" s="1"/>
  <c r="D2630" i="106" s="1"/>
  <c r="K274" i="5"/>
  <c r="F111" i="34"/>
  <c r="F131" i="34"/>
  <c r="L342" i="29"/>
  <c r="B7235" i="106"/>
  <c r="D7235" i="106" s="1"/>
  <c r="B3565" i="106"/>
  <c r="D3565" i="106" s="1"/>
  <c r="K41" i="3"/>
  <c r="B3254" i="106"/>
  <c r="D3254" i="106" s="1"/>
  <c r="F77" i="4"/>
  <c r="B3255" i="106" s="1"/>
  <c r="D3255" i="106" s="1"/>
  <c r="H6" i="4"/>
  <c r="B2656" i="106" s="1"/>
  <c r="D2656" i="106" s="1"/>
  <c r="C172" i="5"/>
  <c r="B5214" i="106" s="1"/>
  <c r="D5214" i="106" s="1"/>
  <c r="B5770" i="106"/>
  <c r="D5770" i="106" s="1"/>
  <c r="D4" i="7"/>
  <c r="B1760" i="106" s="1"/>
  <c r="D1760" i="106" s="1"/>
  <c r="K28" i="118"/>
  <c r="O27" i="118" s="1"/>
  <c r="O29" i="118" s="1"/>
  <c r="D5" i="4"/>
  <c r="B3406" i="106" s="1"/>
  <c r="D3406" i="106" s="1"/>
  <c r="J274" i="5"/>
  <c r="B7054" i="106" s="1"/>
  <c r="D7054" i="106" s="1"/>
  <c r="I173" i="5"/>
  <c r="B4216" i="106" s="1"/>
  <c r="D4216" i="106" s="1"/>
  <c r="L312" i="29"/>
  <c r="F34" i="34"/>
  <c r="B3619" i="106"/>
  <c r="D3619" i="106" s="1"/>
  <c r="C352" i="29"/>
  <c r="I24" i="12"/>
  <c r="B1274" i="106"/>
  <c r="D1274" i="106" s="1"/>
  <c r="K76" i="4"/>
  <c r="B3586" i="106" s="1"/>
  <c r="D3586" i="106" s="1"/>
  <c r="F21" i="8"/>
  <c r="K285" i="29"/>
  <c r="B3724" i="106" s="1"/>
  <c r="D3724" i="106" s="1"/>
  <c r="G210" i="29"/>
  <c r="E174" i="29"/>
  <c r="B1309" i="106" s="1"/>
  <c r="D1309" i="106" s="1"/>
  <c r="B1329" i="106"/>
  <c r="D1329" i="106" s="1"/>
  <c r="F61" i="34"/>
  <c r="F19" i="7"/>
  <c r="B1807" i="106" s="1"/>
  <c r="D1807" i="106" s="1"/>
  <c r="D37" i="108"/>
  <c r="F37" i="108"/>
  <c r="C173" i="5"/>
  <c r="B5223" i="106" s="1"/>
  <c r="D5223" i="106" s="1"/>
  <c r="C109" i="5"/>
  <c r="B5121" i="106" s="1"/>
  <c r="D5121" i="106" s="1"/>
  <c r="D4" i="4"/>
  <c r="B2564" i="106" s="1"/>
  <c r="D2564" i="106" s="1"/>
  <c r="K184" i="29"/>
  <c r="F13" i="4" s="1"/>
  <c r="B2596" i="106" s="1"/>
  <c r="D2596" i="106" s="1"/>
  <c r="B1410" i="106"/>
  <c r="D1410" i="106" s="1"/>
  <c r="G109" i="5"/>
  <c r="B6024" i="106" s="1"/>
  <c r="D6024" i="106" s="1"/>
  <c r="H109" i="5"/>
  <c r="B3649" i="106"/>
  <c r="D3649" i="106" s="1"/>
  <c r="G367" i="29"/>
  <c r="K350" i="29"/>
  <c r="L15" i="11"/>
  <c r="B3459" i="106" s="1"/>
  <c r="D3459" i="106" s="1"/>
  <c r="L13" i="11"/>
  <c r="B2060" i="106" s="1"/>
  <c r="D2060" i="106" s="1"/>
  <c r="L5" i="11"/>
  <c r="B2056" i="106" s="1"/>
  <c r="D2056"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C6" i="4"/>
  <c r="B2553" i="106" s="1"/>
  <c r="D2553" i="106" s="1"/>
  <c r="K7" i="4"/>
  <c r="B3718" i="106" s="1"/>
  <c r="D3718" i="106" s="1"/>
  <c r="F105" i="34"/>
  <c r="F107" i="34"/>
  <c r="F109" i="5"/>
  <c r="F275" i="5" s="1"/>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D19" i="7"/>
  <c r="B1775" i="106" s="1"/>
  <c r="D1775" i="106" s="1"/>
  <c r="B7270" i="106"/>
  <c r="D7256" i="106" l="1"/>
  <c r="D7251" i="106"/>
  <c r="B1879" i="106"/>
  <c r="D1879" i="106" s="1"/>
  <c r="H22" i="37"/>
  <c r="B3621" i="106"/>
  <c r="D3621" i="106" s="1"/>
  <c r="C367" i="29"/>
  <c r="B3622" i="106" s="1"/>
  <c r="D3622" i="106" s="1"/>
  <c r="B3628" i="106"/>
  <c r="D3628" i="106" s="1"/>
  <c r="D7253" i="106"/>
  <c r="B1365" i="106"/>
  <c r="D1365" i="106" s="1"/>
  <c r="F65" i="34"/>
  <c r="D7254" i="106"/>
  <c r="D7250" i="106"/>
  <c r="H367" i="29"/>
  <c r="B3660" i="106" s="1"/>
  <c r="D3660" i="106" s="1"/>
  <c r="B3568" i="106"/>
  <c r="D3568" i="106" s="1"/>
  <c r="D52" i="36"/>
  <c r="F73" i="34"/>
  <c r="G15" i="4"/>
  <c r="B6032" i="106" s="1"/>
  <c r="D6032" i="106" s="1"/>
  <c r="B1996" i="106"/>
  <c r="D1996" i="106" s="1"/>
  <c r="I26" i="12"/>
  <c r="B7741" i="106" s="1"/>
  <c r="D7741" i="106" s="1"/>
  <c r="C114" i="29"/>
  <c r="B757" i="106" s="1"/>
  <c r="D757" i="106" s="1"/>
  <c r="C4" i="4"/>
  <c r="B2551" i="106" s="1"/>
  <c r="D2551" i="106" s="1"/>
  <c r="G4" i="4"/>
  <c r="B2603" i="106" s="1"/>
  <c r="D2603" i="106" s="1"/>
  <c r="B6025" i="106"/>
  <c r="D6025" i="106" s="1"/>
  <c r="H4" i="4"/>
  <c r="K342" i="29"/>
  <c r="F13" i="34" s="1"/>
  <c r="B3670" i="106"/>
  <c r="D3670" i="106" s="1"/>
  <c r="K352" i="29"/>
  <c r="K367" i="29"/>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G41" i="108" l="1"/>
  <c r="E41" i="108"/>
  <c r="E44" i="108" s="1"/>
  <c r="E45" i="108" s="1"/>
  <c r="B2655" i="106"/>
  <c r="D2655" i="106" s="1"/>
  <c r="H8" i="4"/>
  <c r="J17" i="4"/>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G44" i="108"/>
  <c r="G45" i="108"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D10" i="171"/>
  <c r="D19" i="171" s="1"/>
  <c r="D32" i="171" s="1"/>
  <c r="D49" i="171" s="1"/>
  <c r="D8" i="4"/>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<sst xmlns="http://schemas.openxmlformats.org/spreadsheetml/2006/main" count="5111" uniqueCount="2134">
  <si>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</si>
  <si>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</si>
  <si>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</si>
  <si>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</si>
  <si>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</si>
  <si>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</si>
  <si>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</si>
  <si>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</si>
  <si>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</si>
  <si>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</si>
  <si>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</si>
  <si>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</si>
  <si>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</si>
  <si>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</si>
  <si>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</si>
  <si>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</si>
  <si>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</si>
  <si>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</si>
  <si>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</si>
  <si>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</si>
  <si>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</si>
  <si>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</si>
  <si>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</si>
  <si>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</si>
  <si>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</si>
  <si>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</si>
  <si>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</si>
  <si>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</si>
  <si>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</si>
  <si>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</si>
  <si>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</si>
  <si>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</si>
  <si>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</si>
  <si>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</si>
  <si>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</si>
  <si>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</si>
  <si>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</si>
  <si>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</si>
  <si>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</si>
  <si>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</si>
  <si>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</si>
  <si>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</si>
  <si>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</si>
  <si>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</si>
  <si>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</si>
  <si>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</si>
  <si>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</si>
  <si>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</si>
  <si>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</si>
  <si>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</si>
  <si>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</si>
  <si>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</si>
  <si>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</si>
  <si>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</si>
  <si>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</si>
  <si>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</si>
  <si>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</si>
  <si>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</si>
  <si>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</si>
  <si>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</si>
  <si>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</si>
  <si>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</si>
  <si>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</si>
  <si>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</si>
  <si>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</si>
  <si>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</si>
  <si>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</si>
  <si>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</si>
  <si>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</si>
  <si>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</si>
  <si>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</si>
  <si>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</si>
  <si>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</si>
  <si>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</si>
  <si>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</si>
  <si>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</si>
  <si>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</si>
  <si>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</si>
  <si>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</si>
  <si>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</si>
  <si>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</si>
  <si>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</si>
  <si>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</si>
  <si>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</si>
  <si>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</si>
  <si>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</si>
  <si>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</si>
  <si>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</si>
  <si>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</si>
  <si>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</si>
  <si>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</si>
  <si>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</si>
  <si>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</si>
  <si>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</si>
  <si>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</si>
  <si>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</si>
  <si>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</si>
  <si>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</si>
  <si>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</si>
  <si>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</si>
  <si>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</si>
  <si>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</si>
  <si>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</si>
  <si>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</si>
  <si>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</si>
  <si>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</si>
  <si>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</si>
  <si>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</si>
  <si>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</si>
  <si>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</si>
  <si>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</si>
  <si>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</si>
  <si>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</si>
  <si>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</si>
  <si>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</si>
  <si>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</si>
  <si>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</si>
  <si>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</si>
  <si>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</si>
  <si>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</si>
  <si>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</si>
  <si>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</si>
  <si>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</si>
  <si>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</si>
  <si>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</si>
  <si>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</si>
  <si>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</si>
  <si>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</si>
  <si>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</si>
  <si>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</si>
  <si>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</si>
  <si>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</si>
  <si>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</si>
  <si>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</si>
  <si>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</si>
  <si>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</si>
  <si>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</si>
  <si>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</si>
  <si>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</si>
  <si>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</si>
  <si>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</si>
  <si>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</si>
  <si>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</si>
  <si>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</si>
  <si>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</si>
  <si>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</si>
  <si>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</si>
  <si>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</si>
  <si>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</si>
  <si>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</si>
  <si>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</si>
  <si>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</si>
  <si>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</si>
  <si>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</si>
  <si>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</si>
  <si>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</si>
  <si>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</si>
  <si>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</si>
  <si>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</si>
  <si>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</si>
  <si>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</si>
  <si>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</si>
  <si>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</si>
  <si>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</si>
  <si>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</si>
  <si>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</si>
  <si>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</si>
  <si>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</si>
  <si>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</si>
  <si>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</si>
  <si>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</si>
  <si>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</si>
  <si>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</si>
  <si>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</si>
  <si>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</si>
  <si>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</si>
  <si>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</si>
  <si>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</si>
  <si>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</si>
  <si>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</si>
  <si>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</si>
  <si>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</si>
  <si>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</si>
  <si>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</si>
  <si>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</si>
  <si>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</si>
  <si>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</si>
  <si>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</si>
  <si>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</si>
  <si>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</si>
  <si>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</si>
  <si>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</si>
  <si>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</si>
  <si>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</si>
  <si>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</si>
  <si>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</si>
  <si>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</si>
  <si>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</si>
  <si>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</si>
  <si>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</si>
  <si>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</si>
  <si>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</si>
  <si>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</si>
  <si>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</si>
  <si>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</si>
  <si>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</si>
  <si>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</si>
  <si>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</si>
  <si>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</si>
  <si>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</si>
  <si>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</si>
  <si>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</si>
  <si>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</si>
  <si>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</si>
  <si>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</si>
  <si>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</si>
  <si>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</si>
  <si>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</si>
  <si>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</si>
  <si>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</si>
  <si>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</si>
  <si>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</si>
  <si>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</si>
  <si>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</si>
  <si>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</si>
  <si>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</si>
  <si>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</si>
  <si>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</si>
  <si>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</si>
  <si>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</si>
  <si>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</si>
  <si>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</si>
  <si>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</si>
  <si>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</si>
  <si>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</si>
  <si>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</si>
  <si>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</si>
  <si>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</si>
  <si>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</si>
  <si>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</si>
  <si>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</si>
  <si>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</si>
  <si>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</si>
  <si>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</si>
  <si>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</si>
  <si>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</si>
  <si>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</si>
  <si>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</si>
  <si>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</si>
  <si>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</si>
  <si>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</si>
  <si>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</si>
  <si>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</si>
  <si>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</si>
  <si>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</si>
  <si>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</si>
  <si>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</si>
  <si>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</si>
  <si>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</si>
  <si>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</si>
  <si>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</si>
  <si>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</si>
  <si>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</si>
  <si>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</si>
  <si>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</si>
  <si>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</si>
  <si>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</si>
  <si>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</si>
  <si>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</si>
  <si>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</si>
  <si>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</si>
  <si>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</si>
  <si>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</si>
  <si>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</si>
  <si>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</si>
  <si>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</si>
  <si>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</si>
  <si>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</si>
  <si>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</si>
  <si>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</si>
  <si>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</si>
  <si>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</si>
  <si>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</si>
  <si>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</si>
  <si>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</si>
  <si>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</si>
  <si>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</si>
  <si>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</si>
  <si>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</si>
  <si>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</si>
  <si>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</si>
  <si>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</si>
  <si>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</si>
  <si>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</si>
  <si>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</si>
  <si>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</si>
  <si>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</si>
  <si>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</si>
  <si>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</si>
  <si>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</si>
  <si>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</si>
  <si>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</si>
  <si>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</si>
  <si>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</si>
  <si>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</si>
  <si>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</si>
  <si>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</si>
  <si>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</si>
  <si>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</si>
  <si>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</si>
  <si>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</si>
  <si>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</si>
  <si>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</si>
  <si>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</si>
  <si>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</si>
  <si>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</si>
  <si>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</si>
  <si>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</si>
  <si>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</si>
  <si>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</si>
  <si>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</si>
  <si>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</si>
  <si>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</si>
  <si>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</si>
  <si>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</si>
  <si>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</si>
  <si>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</si>
  <si>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</si>
  <si>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</si>
  <si>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</si>
  <si>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</si>
  <si>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</si>
  <si>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</si>
  <si>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</si>
  <si>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</si>
  <si>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</si>
  <si>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</si>
  <si>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</si>
  <si>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</si>
  <si>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</si>
  <si>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</si>
  <si>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</si>
  <si>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</si>
  <si>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</si>
  <si>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</si>
  <si>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</si>
  <si>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</si>
  <si>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</si>
  <si>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</si>
  <si>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</si>
  <si>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</si>
  <si>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</si>
  <si>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</si>
  <si>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</si>
  <si>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</si>
  <si>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</si>
  <si>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</si>
  <si>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</si>
  <si>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</si>
  <si>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</si>
  <si>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</si>
  <si>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</si>
  <si>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</si>
  <si>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</si>
  <si>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</si>
  <si>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</si>
  <si>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</si>
  <si>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</si>
  <si>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</si>
  <si>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</si>
  <si>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</si>
  <si>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</si>
  <si>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</si>
  <si>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</si>
  <si>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</si>
  <si>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</si>
  <si>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</si>
  <si>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</si>
  <si>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</si>
  <si>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</si>
  <si>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</si>
  <si>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</si>
  <si>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</si>
  <si>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</si>
  <si>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</si>
  <si>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</si>
  <si>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</si>
  <si>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</si>
  <si>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</si>
  <si>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</si>
  <si>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</si>
  <si>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</si>
  <si>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</si>
  <si>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</si>
  <si>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</si>
  <si>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</si>
  <si>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</si>
  <si>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</si>
  <si>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</si>
  <si>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</si>
  <si>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</si>
  <si>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</si>
  <si>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</si>
  <si>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</si>
  <si>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</si>
  <si>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</si>
  <si>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</si>
  <si>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</si>
  <si>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</si>
  <si>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</si>
  <si>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</si>
  <si>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</si>
  <si>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</si>
  <si>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</si>
  <si>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</si>
  <si>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</si>
  <si>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</si>
  <si>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</si>
  <si>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</si>
  <si>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</si>
  <si>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</si>
  <si>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</si>
  <si>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</si>
  <si>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</si>
  <si>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</si>
  <si>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</si>
  <si>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</si>
  <si>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</si>
  <si>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</si>
  <si>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</si>
  <si>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</si>
  <si>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</si>
  <si>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</si>
  <si>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</si>
  <si>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</si>
  <si>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</si>
  <si>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</si>
  <si>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</si>
  <si>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</si>
  <si>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</si>
  <si>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</si>
  <si>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</si>
  <si>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</si>
  <si>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</si>
  <si>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</si>
  <si>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</si>
  <si>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</si>
  <si>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</si>
  <si>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</si>
  <si>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</si>
  <si>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</si>
  <si>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</si>
  <si>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</si>
  <si>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</si>
  <si>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</si>
  <si>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</si>
  <si>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</si>
  <si>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</si>
  <si>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</si>
  <si>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</si>
  <si>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</si>
  <si>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</si>
  <si>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</si>
  <si>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</si>
  <si>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</si>
  <si>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</si>
  <si>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</si>
  <si>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</si>
  <si>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</si>
  <si>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</si>
  <si>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</si>
  <si>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</si>
  <si>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</si>
  <si>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</si>
  <si>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</si>
  <si>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</si>
  <si>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</si>
  <si>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</si>
  <si>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</si>
  <si>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</si>
  <si>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</si>
  <si>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</si>
  <si>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</si>
  <si>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</si>
  <si>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</si>
  <si>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</si>
  <si>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</si>
  <si>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</si>
  <si>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</si>
  <si>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</si>
  <si>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</si>
  <si>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</si>
  <si>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</si>
  <si>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</si>
  <si>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</si>
  <si>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</si>
  <si>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</si>
  <si>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</si>
  <si>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</si>
  <si>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</si>
  <si>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</si>
  <si>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</si>
  <si>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</si>
  <si>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</si>
  <si>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</si>
  <si>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</si>
  <si>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</si>
  <si>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</si>
  <si>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</si>
  <si>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</si>
  <si>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</si>
  <si>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</si>
  <si>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</si>
  <si>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</si>
  <si>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</si>
  <si>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</si>
  <si>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</si>
  <si>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</si>
  <si>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</si>
  <si>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</si>
  <si>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</si>
  <si>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</si>
  <si>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</si>
  <si>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</si>
  <si>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</si>
  <si>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</si>
  <si>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</si>
  <si>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</si>
  <si>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</si>
  <si>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</si>
  <si>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</si>
  <si>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</si>
  <si>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</si>
  <si>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</si>
  <si>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</si>
  <si>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</si>
  <si>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</si>
  <si>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</si>
  <si>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</si>
  <si>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</si>
  <si>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</si>
  <si>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</si>
  <si>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</si>
  <si>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</si>
  <si>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</si>
  <si>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</si>
  <si>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</si>
  <si>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</si>
  <si>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</si>
  <si>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</si>
  <si>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</si>
  <si>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</si>
  <si>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</si>
  <si>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</si>
  <si>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</si>
  <si>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</si>
  <si>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</si>
  <si>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</si>
  <si>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</si>
  <si>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</si>
  <si>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</si>
  <si>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</si>
  <si>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</si>
  <si>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</si>
  <si>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</si>
  <si>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</si>
  <si>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</si>
  <si>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</si>
  <si>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</si>
  <si>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</si>
  <si>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</si>
  <si>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</si>
  <si>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</si>
  <si>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</si>
  <si>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</si>
  <si>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</si>
  <si>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</si>
  <si>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</si>
  <si>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</si>
  <si>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</si>
  <si>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</si>
  <si>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</si>
  <si>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</si>
  <si>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</si>
  <si>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</si>
  <si>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</si>
  <si>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</si>
  <si>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</si>
  <si>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</si>
  <si>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</si>
  <si>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</si>
  <si>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</si>
  <si>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</si>
  <si>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</si>
  <si>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</si>
  <si>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</si>
  <si>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</si>
  <si>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</si>
  <si>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</si>
  <si>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</si>
  <si>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</si>
  <si>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</si>
  <si>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</si>
  <si>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</si>
  <si>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</si>
  <si>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</si>
  <si>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</si>
  <si>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</si>
  <si>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</si>
  <si>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</si>
  <si>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</si>
  <si>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</si>
  <si>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</si>
  <si>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</si>
  <si>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</si>
  <si>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</si>
  <si>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</si>
  <si>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</si>
  <si>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</si>
  <si>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</si>
  <si>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</si>
  <si>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</si>
  <si>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</si>
  <si>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</si>
  <si>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</si>
  <si>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</si>
  <si>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</si>
  <si>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</si>
  <si>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</si>
  <si>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</si>
  <si>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</si>
  <si>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</si>
  <si>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</si>
  <si>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</si>
  <si>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</si>
  <si>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</si>
  <si>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</si>
  <si>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</si>
  <si>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</si>
  <si>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</si>
  <si>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</si>
  <si>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</si>
  <si>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</si>
  <si>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</si>
  <si>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</si>
  <si>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</si>
  <si>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</si>
  <si>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</si>
  <si>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</si>
  <si>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</si>
  <si>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</si>
  <si>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</si>
  <si>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</si>
  <si>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</si>
  <si>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</si>
  <si>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</si>
  <si>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</si>
  <si>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</si>
  <si>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</si>
  <si>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</si>
  <si>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</si>
  <si>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</si>
  <si>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</si>
  <si>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</si>
  <si>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</si>
  <si>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</si>
  <si>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</si>
  <si>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</si>
  <si>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</si>
  <si>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</si>
  <si>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</si>
  <si>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</si>
  <si>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</si>
  <si>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</si>
  <si>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</si>
  <si>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</si>
  <si>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</si>
  <si>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</si>
  <si>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</si>
  <si>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</si>
  <si>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</si>
  <si>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</si>
  <si>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</si>
  <si>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</si>
  <si>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</si>
  <si>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</si>
  <si>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</si>
  <si>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</si>
  <si>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</si>
  <si>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</si>
  <si>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</si>
  <si>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</si>
  <si>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</si>
  <si>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</si>
  <si>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</si>
  <si>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</si>
  <si>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</si>
  <si>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</si>
  <si>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</si>
  <si>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</si>
  <si>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</si>
  <si>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</si>
  <si>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</si>
  <si>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</si>
  <si>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</si>
  <si>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</si>
  <si>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</si>
  <si>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</si>
  <si>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</si>
  <si>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</si>
  <si>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</si>
  <si>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</si>
  <si>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</si>
  <si>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</si>
  <si>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</si>
  <si>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</si>
  <si>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</si>
  <si>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</si>
  <si>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</si>
  <si>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</si>
  <si>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</si>
  <si>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</si>
  <si>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</si>
  <si>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</si>
  <si>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</si>
  <si>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</si>
  <si>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</si>
  <si>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</si>
  <si>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</si>
  <si>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</si>
  <si>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</si>
  <si>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</si>
  <si>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</si>
  <si>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</si>
  <si>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</si>
  <si>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</si>
  <si>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</si>
  <si>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</si>
  <si>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</si>
  <si>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</si>
  <si>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</si>
  <si>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</si>
  <si>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</si>
  <si>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</si>
  <si>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</si>
  <si>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</si>
  <si>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</si>
  <si>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</si>
  <si>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</si>
  <si>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</si>
  <si>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</si>
  <si>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</si>
  <si>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</si>
  <si>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</si>
  <si>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</si>
  <si>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</si>
  <si>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</si>
  <si>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</si>
  <si>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</si>
  <si>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</si>
  <si>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</si>
  <si>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</si>
  <si>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</si>
  <si>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</si>
  <si>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</si>
  <si>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</si>
  <si>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</si>
  <si>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</si>
  <si>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</si>
  <si>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</si>
  <si>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</si>
  <si>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</si>
  <si>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</si>
  <si>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</si>
  <si>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</si>
  <si>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</si>
  <si>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</si>
  <si>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</si>
  <si>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</si>
  <si>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</si>
  <si>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</si>
  <si>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</si>
  <si>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</si>
  <si>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</si>
  <si>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</si>
  <si>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</si>
  <si>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</si>
  <si>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</si>
  <si>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</si>
  <si>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</si>
  <si>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</si>
  <si>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</si>
  <si>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</si>
  <si>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</si>
  <si>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</si>
  <si>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</si>
  <si>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</si>
  <si>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</si>
  <si>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</si>
  <si>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</si>
  <si>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</si>
  <si>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</si>
  <si>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</si>
  <si>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</si>
  <si>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</si>
  <si>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</si>
  <si>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</si>
  <si>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</si>
  <si>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</si>
  <si>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</si>
  <si>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</si>
  <si>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</si>
  <si>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</si>
  <si>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</si>
  <si>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</si>
  <si>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</si>
  <si>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</si>
  <si>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</si>
  <si>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</si>
  <si>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</si>
  <si>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</si>
  <si>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</si>
  <si>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</si>
  <si>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</si>
  <si>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</si>
  <si>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</si>
  <si>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</si>
  <si>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</si>
  <si>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</si>
  <si>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</si>
  <si>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</si>
  <si>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</si>
  <si>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</si>
  <si>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</si>
  <si>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</si>
  <si>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</si>
  <si>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</si>
  <si>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</si>
  <si>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</si>
  <si>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</si>
  <si>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</si>
  <si>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</si>
  <si>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</si>
  <si>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</si>
  <si>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</si>
  <si>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</si>
  <si>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</si>
  <si>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</si>
  <si>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</si>
  <si>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</si>
  <si>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</si>
  <si>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</si>
  <si>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</si>
  <si>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</si>
  <si>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</si>
  <si>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</si>
  <si>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</si>
  <si>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</si>
  <si>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</si>
  <si>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</si>
  <si>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</si>
  <si>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</si>
  <si>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</si>
  <si>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</si>
  <si>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</si>
  <si>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</si>
  <si>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</si>
  <si>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</si>
  <si>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</si>
  <si>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</si>
  <si>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</si>
  <si>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</si>
  <si>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</si>
  <si>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</si>
  <si>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</si>
  <si>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</si>
  <si>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</si>
  <si>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</si>
  <si>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</si>
  <si>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</si>
  <si>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</si>
  <si>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</si>
  <si>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</si>
  <si>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</si>
  <si>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</si>
  <si>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</si>
  <si>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</si>
  <si>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</si>
  <si>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</si>
  <si>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</si>
  <si>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</si>
  <si>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</si>
  <si>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</si>
  <si>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</si>
  <si>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</si>
  <si>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</si>
  <si>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</si>
  <si>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</si>
  <si>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</si>
  <si>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</si>
  <si>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</si>
  <si>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</si>
  <si>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</si>
  <si>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</si>
  <si>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</si>
  <si>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</si>
  <si>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</si>
  <si>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</si>
  <si>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</si>
  <si>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</si>
  <si>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</si>
  <si>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</si>
  <si>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</si>
  <si>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</si>
  <si>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</si>
  <si>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</si>
  <si>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</si>
  <si>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</si>
  <si>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</si>
  <si>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</si>
  <si>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</si>
  <si>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</si>
  <si>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</si>
  <si>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</si>
  <si>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</si>
  <si>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</si>
  <si>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</si>
  <si>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</si>
  <si>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</si>
  <si>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</si>
  <si>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</si>
  <si>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</si>
  <si>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</si>
  <si>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</si>
  <si>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</si>
  <si>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</si>
  <si>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</si>
  <si>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</si>
  <si>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</si>
  <si>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</si>
  <si>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</si>
  <si>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</si>
  <si>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</si>
  <si>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</si>
  <si>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</si>
  <si>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</si>
  <si>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</si>
  <si>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</si>
  <si>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</si>
  <si>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</si>
  <si>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</si>
  <si>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</si>
  <si>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</si>
  <si>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</si>
  <si>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</si>
  <si>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</si>
  <si>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</si>
  <si>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</si>
  <si>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</si>
  <si>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</si>
  <si>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</si>
  <si>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</si>
  <si>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</si>
  <si>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</si>
  <si>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</si>
  <si>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</si>
  <si>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</si>
  <si>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</si>
  <si>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</si>
  <si>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</si>
  <si>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</si>
  <si>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</si>
  <si>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</si>
  <si>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</si>
  <si>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</si>
  <si>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</si>
  <si>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</si>
  <si>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</si>
  <si>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</si>
  <si>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</si>
  <si>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</si>
  <si>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</si>
  <si>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</si>
  <si>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</si>
  <si>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</si>
  <si>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</si>
  <si>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</si>
  <si>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</si>
  <si>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</si>
  <si>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</si>
  <si>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</si>
  <si>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</si>
  <si>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</si>
  <si>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</si>
  <si>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</si>
  <si>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</si>
  <si>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</si>
  <si>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</si>
  <si>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</si>
  <si>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</si>
  <si>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</si>
  <si>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</si>
  <si>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</si>
  <si>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</si>
  <si>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</si>
  <si>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</si>
  <si>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</si>
  <si>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</si>
  <si>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</si>
  <si>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</si>
  <si>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</si>
  <si>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</si>
  <si>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</si>
  <si>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</si>
  <si>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</si>
  <si>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</si>
  <si>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</si>
  <si>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</si>
  <si>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</si>
  <si>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</si>
  <si>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</si>
  <si>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</si>
  <si>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</si>
  <si>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</si>
  <si>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</si>
  <si>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</si>
  <si>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</si>
  <si>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</si>
  <si>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</si>
  <si>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</si>
  <si>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</si>
  <si>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</si>
  <si>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</si>
  <si>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</si>
  <si>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</si>
  <si>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</si>
  <si>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</si>
  <si>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</si>
  <si>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</si>
  <si>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</si>
  <si>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</si>
  <si>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</si>
  <si>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</si>
  <si>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</si>
  <si>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</si>
  <si>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</si>
  <si>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</si>
  <si>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</si>
  <si>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</si>
  <si>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</si>
  <si>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</si>
  <si>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</si>
  <si>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</si>
  <si>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</si>
  <si>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</si>
  <si>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</si>
  <si>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</si>
  <si>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</si>
  <si>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</si>
  <si>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</si>
  <si>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</si>
  <si>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</si>
  <si>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</si>
  <si>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</si>
  <si>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</si>
  <si>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</si>
  <si>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</si>
  <si>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</si>
  <si>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</si>
  <si>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</si>
  <si>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</si>
  <si>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</si>
  <si>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</si>
  <si>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</si>
  <si>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</si>
  <si>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</si>
  <si>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</si>
  <si>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</si>
  <si>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</si>
  <si>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</si>
  <si>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</si>
  <si>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</si>
  <si>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</si>
  <si>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</si>
  <si>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</si>
  <si>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</si>
  <si>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</si>
  <si>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</si>
  <si>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</si>
  <si>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</si>
  <si>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</si>
  <si>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</si>
  <si>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</si>
  <si>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</si>
  <si>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</si>
  <si>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</si>
  <si>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</si>
  <si>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</si>
  <si>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</si>
  <si>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</si>
  <si>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</si>
  <si>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</si>
  <si>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</si>
  <si>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</si>
  <si>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</si>
  <si>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</si>
  <si>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</si>
  <si>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</si>
  <si>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</si>
  <si>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</si>
  <si>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</si>
  <si>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</si>
  <si>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</si>
  <si>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</si>
  <si>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</si>
  <si>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</si>
  <si>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</si>
  <si>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</si>
  <si>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</si>
  <si>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</si>
  <si>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</si>
  <si>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</si>
  <si>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</si>
  <si>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</si>
  <si>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</si>
  <si>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</si>
  <si>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</si>
  <si>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</si>
  <si>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</si>
  <si>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</si>
  <si>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</si>
  <si>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</si>
  <si>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</si>
  <si>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</si>
  <si>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</si>
  <si>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</si>
  <si>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</si>
  <si>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</si>
  <si>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</si>
  <si>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</si>
  <si>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</si>
  <si>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</si>
  <si>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</si>
  <si>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</si>
  <si>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</si>
  <si>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</si>
  <si>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</si>
  <si>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</si>
  <si>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</si>
  <si>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</si>
  <si>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</si>
  <si>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</si>
  <si>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</si>
  <si>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</si>
  <si>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</si>
  <si>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</si>
  <si>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</si>
  <si>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</si>
  <si>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</si>
  <si>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</si>
  <si>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</si>
  <si>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</si>
  <si>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</si>
  <si>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</si>
  <si>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</si>
  <si>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</si>
  <si>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</si>
  <si>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</si>
  <si>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</si>
  <si>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</si>
  <si>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</si>
  <si>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</si>
  <si>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</si>
  <si>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</si>
  <si>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</si>
  <si>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</si>
  <si>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</si>
  <si>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</si>
  <si>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</si>
  <si>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</si>
  <si>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</si>
  <si>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</si>
  <si>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</si>
  <si>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</si>
  <si>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</si>
  <si>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</si>
  <si>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</si>
  <si>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</si>
  <si>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</si>
  <si>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</si>
  <si>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</si>
  <si>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</si>
  <si>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</si>
  <si>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</si>
  <si>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</si>
  <si>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</si>
  <si>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</si>
  <si>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</si>
  <si>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</si>
  <si>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</si>
  <si>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</si>
  <si>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</si>
  <si>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</si>
  <si>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</si>
  <si>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</si>
  <si>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</si>
  <si>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</si>
  <si>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</si>
  <si>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</si>
  <si>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</si>
  <si>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</si>
  <si>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</si>
  <si>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</si>
  <si>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</si>
  <si>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</si>
  <si>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</si>
  <si>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</si>
  <si>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</si>
  <si>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</si>
  <si>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</si>
  <si>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</si>
  <si>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</si>
  <si>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</si>
  <si>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</si>
  <si>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</si>
  <si>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</si>
  <si>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</si>
  <si>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</si>
  <si>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</si>
  <si>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</si>
  <si>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</si>
  <si>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</si>
  <si>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</si>
  <si>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</si>
  <si>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</si>
  <si>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</si>
  <si>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</si>
  <si>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</si>
  <si>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</si>
  <si>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</si>
  <si>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</si>
  <si>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</si>
  <si>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</si>
  <si>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</si>
  <si>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</si>
  <si>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</si>
  <si>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</si>
  <si>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</si>
  <si>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</si>
  <si>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</si>
  <si>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</si>
  <si>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</si>
  <si>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</si>
  <si>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</si>
  <si>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</si>
  <si>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</si>
  <si>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</si>
  <si>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</si>
  <si>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</si>
  <si>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</si>
  <si>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</si>
  <si>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</si>
  <si>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</si>
  <si>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</si>
  <si>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</si>
  <si>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</si>
  <si>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</si>
  <si>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</si>
  <si>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</si>
  <si>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</si>
  <si>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</si>
  <si>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</si>
  <si>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</si>
  <si>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</si>
  <si>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</si>
  <si>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</si>
  <si>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</si>
  <si>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</si>
  <si>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</si>
  <si>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</si>
  <si>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</si>
  <si>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</si>
  <si>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</si>
  <si>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</si>
  <si>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</si>
  <si>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</si>
  <si>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</si>
  <si>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</si>
  <si>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</si>
  <si>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</si>
  <si>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</si>
  <si>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</si>
  <si>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</si>
  <si>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</si>
  <si>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</si>
  <si>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</si>
  <si>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</si>
  <si>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</si>
  <si>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</si>
  <si>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</si>
  <si>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</si>
  <si>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</si>
  <si>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</si>
  <si>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</si>
  <si>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</si>
  <si>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</si>
  <si>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</si>
  <si>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</si>
  <si>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</si>
  <si>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</si>
  <si>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</si>
  <si>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</si>
  <si>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</si>
  <si>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</si>
  <si>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</si>
  <si>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</si>
  <si>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</si>
  <si>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</si>
  <si>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</si>
  <si>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</si>
  <si>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</si>
  <si>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</si>
  <si>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</si>
  <si>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</si>
  <si>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</si>
  <si>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</si>
  <si>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</si>
  <si>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</si>
  <si>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</si>
  <si>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</si>
  <si>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</si>
  <si>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</si>
  <si>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</si>
  <si>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</si>
  <si>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</si>
  <si>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</si>
  <si>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</si>
  <si>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</si>
  <si>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</si>
  <si>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</si>
  <si>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</si>
  <si>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</si>
  <si>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</si>
  <si>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</si>
  <si>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</si>
  <si>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</si>
  <si>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</si>
  <si>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</si>
  <si>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</si>
  <si>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</si>
  <si>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</si>
  <si>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</si>
  <si>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</si>
  <si>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</si>
  <si>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</si>
  <si>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</si>
  <si>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</si>
  <si>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</si>
  <si>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</si>
  <si>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</si>
  <si>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</si>
  <si>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</si>
  <si>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</si>
  <si>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</si>
  <si>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</si>
  <si>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</si>
  <si>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</si>
  <si>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</si>
  <si>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</si>
  <si>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</si>
  <si>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</si>
  <si>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</si>
  <si>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</si>
  <si>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</si>
  <si>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</si>
  <si>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</si>
  <si>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</si>
  <si>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</si>
  <si>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</si>
  <si>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</si>
  <si>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</si>
  <si>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</si>
  <si>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</si>
  <si>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</si>
  <si>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</si>
  <si>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</si>
  <si>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</si>
  <si>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</si>
  <si>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</si>
  <si>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</si>
  <si>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</si>
  <si>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</si>
  <si>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</si>
  <si>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</si>
  <si>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</si>
  <si>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</si>
  <si>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</si>
  <si>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</si>
  <si>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</si>
  <si>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</si>
  <si>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</si>
  <si>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</si>
  <si>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</si>
  <si>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</si>
  <si>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</si>
  <si>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</si>
  <si>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</si>
  <si>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</si>
  <si>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</si>
  <si>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</si>
  <si>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</si>
  <si>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</si>
  <si>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</si>
  <si>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</si>
  <si>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</si>
  <si>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</si>
  <si>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</si>
  <si>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</si>
  <si>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</si>
  <si>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</si>
  <si>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</si>
  <si>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</si>
  <si>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</si>
  <si>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</si>
  <si>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</si>
  <si>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</si>
  <si>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</si>
  <si>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</si>
  <si>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</si>
  <si>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</si>
  <si>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</si>
  <si>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</si>
  <si>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</si>
  <si>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</si>
  <si>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</si>
  <si>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</si>
  <si>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</si>
  <si>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</si>
  <si>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</si>
  <si>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</si>
  <si>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</si>
  <si>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</si>
  <si>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</si>
  <si>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</si>
  <si>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</si>
  <si>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</si>
  <si>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</si>
  <si>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</si>
  <si>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</si>
  <si>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</si>
  <si>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</si>
  <si>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</si>
  <si>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</si>
  <si>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</si>
  <si>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</si>
  <si>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</si>
  <si>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</si>
  <si>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</si>
  <si>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</si>
  <si>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</si>
  <si>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</si>
  <si>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</si>
  <si>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</si>
  <si>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</si>
  <si>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</si>
  <si>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</si>
  <si>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</si>
  <si>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</si>
  <si>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</si>
  <si>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</si>
  <si>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</si>
  <si>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</si>
  <si>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</si>
  <si>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</si>
  <si>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</si>
  <si>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</si>
  <si>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</si>
  <si>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</si>
  <si>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</si>
  <si>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</si>
  <si>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</si>
  <si>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</si>
  <si>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</si>
  <si>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</si>
  <si>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</si>
  <si>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</si>
  <si>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</si>
  <si>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</si>
  <si>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</si>
  <si>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</si>
  <si>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</si>
  <si>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</si>
  <si>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</si>
  <si>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</si>
  <si>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</si>
  <si>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</si>
  <si>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</si>
  <si>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</si>
  <si>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</si>
  <si>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</si>
  <si>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</si>
  <si>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</si>
  <si>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</si>
  <si>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</si>
  <si>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</si>
  <si>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</si>
  <si>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</si>
  <si>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</si>
  <si>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</si>
  <si>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</si>
  <si>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</si>
  <si>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</si>
  <si>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</si>
  <si>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</si>
  <si>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</si>
  <si>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</si>
  <si>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</si>
  <si>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</si>
  <si>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</si>
  <si>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</si>
  <si>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</si>
  <si>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</si>
  <si>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</si>
  <si>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</si>
  <si>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</si>
  <si>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</si>
  <si>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</si>
  <si>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</si>
  <si>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</si>
  <si>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</si>
  <si>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</si>
  <si>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</si>
  <si>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</si>
  <si>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</si>
  <si>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</si>
  <si>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</si>
  <si>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</si>
  <si>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</si>
  <si>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</si>
  <si>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</si>
  <si>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</si>
  <si>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</si>
  <si>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</si>
  <si>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</si>
  <si>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</si>
  <si>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</si>
  <si>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</si>
  <si>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</si>
  <si>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</si>
  <si>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</si>
  <si>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</si>
  <si>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</si>
  <si>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</si>
  <si>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</si>
  <si>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</si>
  <si>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</si>
  <si>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</si>
  <si>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</si>
  <si>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</si>
  <si>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</si>
  <si>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</si>
  <si>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</si>
  <si>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</si>
  <si>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</si>
  <si>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</si>
  <si>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</si>
  <si>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</si>
  <si>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</si>
  <si>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</si>
  <si>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</si>
  <si>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</si>
  <si>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</si>
  <si>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</si>
  <si>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</si>
  <si>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</si>
  <si>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</si>
  <si>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</si>
  <si>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</si>
  <si>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</si>
  <si>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</si>
  <si>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</si>
  <si>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</si>
  <si>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</si>
  <si>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</si>
  <si>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</si>
  <si>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</si>
  <si>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</si>
  <si>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</si>
  <si>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</si>
  <si>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</si>
  <si>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</si>
  <si>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</si>
  <si>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</si>
  <si>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</si>
  <si>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</si>
  <si>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</si>
  <si>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</si>
  <si>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</si>
  <si>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</si>
  <si>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</si>
  <si>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</si>
  <si>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</si>
  <si>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</si>
  <si>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</si>
  <si>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</si>
  <si>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</si>
  <si>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</si>
  <si>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</si>
  <si>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</si>
  <si>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</si>
  <si>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</si>
  <si>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</si>
  <si>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</si>
  <si>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</si>
  <si>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</si>
  <si>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</si>
  <si>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</si>
  <si>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</si>
  <si>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</si>
  <si>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</si>
  <si>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</si>
  <si>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</si>
  <si>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</si>
  <si>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</si>
  <si>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</si>
  <si>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</si>
  <si>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</si>
  <si>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</si>
  <si>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</si>
  <si>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</si>
  <si>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</si>
  <si>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</si>
  <si>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</si>
  <si>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</si>
  <si>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</si>
  <si>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</si>
  <si>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</si>
  <si>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</si>
  <si>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</si>
  <si>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</si>
  <si>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</si>
  <si>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</si>
  <si>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</si>
  <si>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</si>
  <si>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</si>
  <si>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</si>
  <si>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</si>
  <si>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</si>
  <si>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</si>
  <si>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</si>
  <si>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</si>
  <si>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</si>
  <si>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</si>
  <si>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</si>
  <si>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</si>
  <si>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</si>
  <si>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</si>
  <si>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</si>
  <si>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</si>
  <si>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</si>
  <si>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</si>
  <si>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</si>
  <si>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</si>
  <si>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</si>
  <si>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</si>
  <si>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</si>
  <si>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</si>
  <si>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</si>
  <si>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</si>
  <si>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</si>
  <si>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</si>
  <si>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</si>
  <si>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</si>
  <si>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</si>
  <si>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</si>
  <si>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</si>
  <si>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</si>
  <si>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</si>
  <si>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</si>
  <si>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</si>
  <si>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</si>
  <si>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</si>
  <si>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</si>
  <si>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</si>
  <si>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</si>
  <si>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</si>
  <si>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</si>
  <si>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</si>
  <si>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</si>
  <si>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</si>
  <si>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</si>
  <si>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</si>
  <si>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</si>
  <si>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</si>
  <si>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</si>
  <si>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</si>
  <si>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</si>
  <si>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</si>
  <si>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</si>
  <si>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</si>
  <si>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</si>
  <si>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</si>
  <si>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</si>
  <si>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</si>
  <si>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</si>
  <si>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</si>
  <si>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</si>
  <si>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</si>
  <si>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</si>
  <si>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</si>
  <si>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</si>
  <si>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</si>
  <si>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</si>
  <si>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</si>
  <si>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</si>
  <si>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</si>
  <si>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</si>
  <si>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</si>
  <si>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</si>
  <si>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</si>
  <si>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</si>
  <si>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</si>
  <si>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</si>
  <si>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</si>
  <si>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</si>
  <si>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</si>
  <si>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</si>
  <si>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</si>
  <si>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</si>
  <si>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</si>
  <si>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</si>
  <si>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</si>
  <si>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</si>
  <si>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</si>
  <si>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</si>
  <si>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</si>
  <si>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</si>
  <si>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</si>
  <si>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</si>
  <si>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</si>
  <si>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</si>
  <si>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</si>
  <si>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</si>
  <si>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</si>
  <si>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</si>
  <si>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</si>
  <si>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</si>
  <si>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</si>
  <si>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</si>
  <si>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</si>
  <si>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</si>
  <si>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</si>
  <si>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</si>
  <si>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</si>
  <si>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</si>
  <si>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</si>
  <si>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</si>
  <si>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</si>
  <si>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</si>
  <si>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</si>
  <si>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</si>
  <si>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</si>
  <si>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</si>
  <si>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</si>
  <si>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</si>
  <si>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</si>
  <si>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</si>
  <si>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</si>
  <si>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</si>
  <si>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</si>
  <si>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</si>
  <si>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</si>
  <si>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</si>
  <si>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</si>
  <si>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</si>
  <si>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</si>
  <si>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</si>
  <si>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</si>
  <si>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</si>
  <si>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</si>
  <si>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</si>
  <si>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</si>
  <si>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</si>
  <si>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</si>
  <si>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</si>
  <si>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</si>
  <si>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</si>
  <si>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</si>
  <si>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</si>
  <si>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</si>
  <si>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</si>
  <si>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</si>
  <si>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</si>
  <si>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</si>
  <si>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</si>
  <si>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</si>
  <si>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</si>
  <si>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</si>
  <si>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</si>
  <si>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</si>
  <si>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</si>
  <si>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</si>
  <si>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</si>
  <si>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</si>
  <si>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</si>
  <si>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</si>
  <si>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</si>
  <si>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</si>
  <si>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</si>
  <si>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</si>
  <si>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</si>
  <si>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</si>
  <si>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</si>
  <si>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</si>
  <si>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</si>
  <si>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</si>
  <si>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</si>
  <si>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</si>
  <si>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</si>
  <si>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</si>
  <si>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</si>
  <si>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</si>
  <si>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</si>
  <si>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</si>
  <si>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</si>
  <si>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</si>
  <si>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</si>
  <si>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</si>
  <si>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</si>
  <si>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</si>
  <si>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</si>
  <si>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</si>
  <si>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</si>
  <si>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</si>
  <si>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</si>
  <si>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</si>
  <si>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</si>
  <si>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</si>
  <si>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</si>
  <si>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</si>
  <si>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</si>
  <si>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</si>
  <si>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</si>
  <si>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</si>
  <si>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</si>
  <si>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</si>
  <si>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</si>
  <si>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</si>
  <si>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</si>
  <si>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</si>
  <si>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</si>
  <si>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</si>
  <si>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</si>
  <si>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</si>
  <si>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</si>
  <si>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</si>
  <si>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</si>
  <si>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</si>
  <si>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</si>
  <si>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</si>
  <si>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</si>
  <si>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</si>
  <si>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</si>
  <si>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</si>
  <si>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</si>
  <si>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</si>
  <si>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</si>
  <si>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</si>
  <si>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</si>
  <si>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</si>
  <si>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</si>
  <si>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</si>
  <si>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</si>
  <si>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</si>
  <si>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</si>
  <si>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</si>
  <si>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</si>
  <si>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</si>
  <si>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</si>
  <si>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</si>
  <si>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</si>
  <si>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</si>
  <si>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</si>
  <si>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</si>
  <si>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</si>
  <si>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</si>
  <si>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</si>
  <si>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</si>
  <si>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</si>
  <si>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</si>
  <si>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</si>
  <si>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</si>
  <si>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</si>
  <si>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</si>
  <si>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</si>
  <si>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</si>
  <si>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</si>
  <si>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</si>
  <si>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</si>
  <si>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</si>
  <si>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</si>
  <si>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</si>
  <si>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</si>
  <si>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</si>
  <si>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</si>
  <si>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</si>
  <si>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</si>
  <si>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</si>
  <si>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</si>
  <si>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</si>
  <si>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</si>
  <si>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</si>
  <si>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</si>
  <si>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</si>
  <si>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</si>
  <si>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</si>
  <si>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</si>
  <si>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</si>
  <si>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</si>
  <si>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</si>
  <si>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</si>
  <si>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</si>
  <si>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</si>
  <si>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</si>
  <si>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</si>
  <si>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</si>
  <si>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</si>
  <si>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</si>
  <si>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</si>
  <si>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</si>
  <si>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</si>
  <si>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</si>
  <si>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</si>
  <si>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</si>
  <si>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</si>
  <si>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</si>
  <si>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</si>
  <si>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</si>
  <si>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</si>
  <si>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</si>
  <si>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</si>
  <si>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</si>
  <si>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</si>
  <si>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</si>
  <si>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</si>
  <si>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</si>
  <si>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</si>
  <si>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</si>
  <si>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</si>
  <si>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</si>
  <si>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</si>
  <si>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</si>
  <si>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</si>
  <si>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</si>
  <si>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</si>
  <si>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</si>
  <si>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</si>
  <si>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</si>
  <si>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</si>
  <si>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</si>
  <si>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</si>
  <si>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</si>
  <si>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</si>
  <si>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</si>
  <si>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</si>
  <si>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</si>
  <si>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</si>
  <si>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</si>
  <si>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</si>
  <si>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</si>
  <si>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</si>
  <si>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</si>
  <si>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</si>
  <si>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</si>
  <si>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</si>
  <si>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</si>
  <si>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</si>
  <si>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</si>
  <si>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</si>
  <si>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</si>
  <si>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</si>
  <si>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</si>
  <si>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</si>
  <si>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</si>
  <si>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</si>
  <si>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</si>
  <si>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</si>
  <si>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</si>
  <si>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</si>
  <si>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</si>
  <si>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</si>
  <si>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</si>
  <si>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</si>
  <si>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</si>
  <si>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</si>
  <si>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</si>
  <si>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</si>
  <si>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</si>
  <si>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</si>
  <si>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</si>
  <si>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</si>
  <si>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</si>
  <si>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</si>
  <si>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</si>
  <si>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</si>
  <si>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</si>
  <si>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</si>
  <si>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</si>
  <si>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</si>
  <si>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</si>
  <si>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</si>
  <si>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</si>
  <si>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</si>
  <si>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</si>
  <si>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</si>
  <si>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</si>
  <si>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</si>
  <si>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</si>
  <si>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</si>
  <si>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</si>
  <si>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</si>
  <si>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</si>
  <si>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</si>
  <si>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</si>
  <si>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</si>
  <si>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</si>
  <si>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</si>
  <si>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</si>
  <si>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</si>
  <si>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</si>
  <si>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</si>
  <si>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</si>
  <si>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</si>
  <si>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</si>
  <si>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</si>
  <si>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</si>
  <si>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</si>
  <si>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</si>
  <si>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</si>
  <si>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</si>
  <si>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</si>
  <si>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</si>
  <si>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</si>
  <si>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</si>
  <si>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</si>
  <si>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</si>
  <si>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</si>
  <si>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</si>
  <si>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</si>
  <si>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</si>
  <si>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</si>
  <si>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</si>
  <si>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</si>
  <si>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</si>
  <si>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</si>
  <si>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</si>
  <si>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</si>
  <si>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</si>
  <si>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</si>
  <si>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</si>
  <si>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</si>
  <si>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</si>
  <si>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</si>
  <si>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</si>
  <si>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</si>
  <si>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</si>
  <si>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</si>
  <si>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</si>
  <si>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</si>
  <si>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</si>
  <si>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</si>
  <si>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</si>
  <si>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</si>
  <si>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</si>
  <si>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</si>
  <si>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</si>
  <si>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</si>
  <si>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</si>
  <si>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</si>
  <si>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</si>
  <si>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</si>
  <si>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</si>
  <si>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</si>
  <si>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</si>
  <si>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</si>
  <si>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</si>
  <si>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</si>
  <si>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FRANKLIN</t>
  </si>
  <si>
    <t>51 N. MAIN ST.</t>
  </si>
  <si>
    <t>EWING</t>
  </si>
  <si>
    <t>KRISTIN ING</t>
  </si>
  <si>
    <t>618-629-2181</t>
  </si>
  <si>
    <t>618-6292510</t>
  </si>
  <si>
    <t>king@ewinggradeschool.org</t>
  </si>
  <si>
    <t>x</t>
  </si>
  <si>
    <t>Qualified Zone Acadamy Bonds</t>
  </si>
  <si>
    <t>QZAB</t>
  </si>
  <si>
    <t>ED-Instruction-Purchased Service</t>
  </si>
  <si>
    <t>Xerox Capital</t>
  </si>
  <si>
    <t>10-1000-300</t>
  </si>
  <si>
    <t>10-2520-300</t>
  </si>
  <si>
    <t>ED-Support Services Business-Purchased Service</t>
  </si>
  <si>
    <t>TR-Support Services Business-Purchased Service</t>
  </si>
  <si>
    <t>40-2550-300</t>
  </si>
  <si>
    <t>Midwest Transit Equipment, Inc.</t>
  </si>
  <si>
    <t>Egyptian Area Schools Employee Benefit Trust</t>
  </si>
  <si>
    <t>Ameren Energy Marketing &amp; Constellation Energy</t>
  </si>
  <si>
    <t>Southern Illinois School Disrict Coop Buying Group</t>
  </si>
  <si>
    <t>WCSIT and Illinois School District Agency</t>
  </si>
  <si>
    <t>Franklin-Jefferson Special Education #801</t>
  </si>
  <si>
    <t>Regional Office of Education #21</t>
  </si>
  <si>
    <t>QNS - Quality Network Solutions</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</si>
  <si>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</si>
  <si>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</si>
  <si>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</si>
  <si>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</si>
  <si>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</si>
  <si>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</si>
  <si>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</si>
  <si>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</si>
  <si>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</si>
  <si>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</si>
  <si>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</si>
  <si>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</si>
  <si>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continue to receive and review the unopened bank statement.</t>
  </si>
  <si>
    <t>Due to the small size of the District and its limited funds, hiring additional personnel is not feasible.  The District agrees with the finding and recommendation.</t>
  </si>
  <si>
    <t>Page 9, Line 17 - TVA Tax</t>
  </si>
  <si>
    <t>Page 10, Line 81 - Yearbook</t>
  </si>
  <si>
    <t>Page 10, Line 107 - Education - Grants $4,030; Erate $119; Reimbursements $2,661</t>
  </si>
  <si>
    <t>Page 12, Line 183 - REAP Grant</t>
  </si>
  <si>
    <t>Page 15, Line 41 - Extracurricular and playground aides</t>
  </si>
  <si>
    <t>Page 19, Line 237 - Extracurricular and playground aides benefits</t>
  </si>
  <si>
    <t>Page 26, Line 10 - Mobile Home Privelege Tax</t>
  </si>
  <si>
    <t>Ewing Northern CCSD 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</si>
</sst>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304800</xdr:colOff>
          <xdr:row>13</xdr:row>
          <xdr:rowOff>38100</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10"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21028115004</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2087</v>
      </c>
      <c r="B15" s="2006"/>
      <c r="C15" s="2006"/>
      <c r="D15" s="2006"/>
      <c r="E15" s="2006"/>
      <c r="F15" s="2006"/>
      <c r="G15" s="2006"/>
      <c r="H15" s="2007"/>
      <c r="T15" s="1969" t="s">
        <v>2079</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2133</v>
      </c>
      <c r="B17" s="2031"/>
      <c r="C17" s="2031"/>
      <c r="D17" s="2031"/>
      <c r="E17" s="2031"/>
      <c r="F17" s="2031"/>
      <c r="G17" s="2031"/>
      <c r="H17" s="2032"/>
      <c r="T17" s="2018" t="s">
        <v>2080</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2088</v>
      </c>
      <c r="B19" s="2002"/>
      <c r="C19" s="2002"/>
      <c r="D19" s="2002"/>
      <c r="E19" s="2002"/>
      <c r="F19" s="2002"/>
      <c r="G19" s="2002"/>
      <c r="H19" s="2000"/>
      <c r="I19" s="30"/>
      <c r="J19" s="99"/>
      <c r="K19" s="40"/>
      <c r="L19" s="38"/>
      <c r="M19" s="112" t="s">
        <v>333</v>
      </c>
      <c r="P19" s="27"/>
      <c r="Q19" s="27"/>
      <c r="R19" s="27"/>
      <c r="S19" s="31"/>
      <c r="T19" s="2001" t="s">
        <v>2081</v>
      </c>
      <c r="U19" s="1999"/>
      <c r="V19" s="1999"/>
      <c r="W19" s="2000"/>
      <c r="X19" s="2016" t="s">
        <v>2082</v>
      </c>
      <c r="Y19" s="2017"/>
      <c r="Z19" s="2014">
        <v>62870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2089</v>
      </c>
      <c r="B21" s="1999"/>
      <c r="C21" s="1999"/>
      <c r="D21" s="1999"/>
      <c r="E21" s="1999"/>
      <c r="F21" s="1999"/>
      <c r="G21" s="1999"/>
      <c r="H21" s="2000"/>
      <c r="I21" s="2024" t="s">
        <v>699</v>
      </c>
      <c r="J21" s="1987"/>
      <c r="K21" s="1987"/>
      <c r="L21" s="1987"/>
      <c r="M21" s="1987"/>
      <c r="N21" s="1987"/>
      <c r="O21" s="1987"/>
      <c r="P21" s="1987"/>
      <c r="Q21" s="1987"/>
      <c r="R21" s="1987"/>
      <c r="S21" s="1988"/>
      <c r="T21" s="1966" t="s">
        <v>2083</v>
      </c>
      <c r="U21" s="1967"/>
      <c r="V21" s="1967"/>
      <c r="W21" s="1967"/>
      <c r="X21" s="1980" t="s">
        <v>2084</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2093</v>
      </c>
      <c r="B23" s="2022"/>
      <c r="C23" s="2022"/>
      <c r="D23" s="2022"/>
      <c r="E23" s="2022"/>
      <c r="F23" s="2022"/>
      <c r="G23" s="2022"/>
      <c r="H23" s="2023"/>
      <c r="T23" s="1961" t="s">
        <v>2085</v>
      </c>
      <c r="U23" s="1962"/>
      <c r="V23" s="1962"/>
      <c r="W23" s="1962"/>
      <c r="X23" s="1977">
        <v>43466</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62836</v>
      </c>
      <c r="B25" s="1999"/>
      <c r="C25" s="1999"/>
      <c r="D25" s="1999"/>
      <c r="E25" s="1999"/>
      <c r="F25" s="1999"/>
      <c r="G25" s="1999"/>
      <c r="H25" s="2000"/>
      <c r="I25" s="113"/>
      <c r="J25" s="2065"/>
      <c r="K25" s="2065"/>
      <c r="L25" s="2065"/>
      <c r="M25" s="2065"/>
      <c r="N25" s="2065"/>
      <c r="O25" s="2065"/>
      <c r="P25" s="2065"/>
      <c r="Q25" s="2065"/>
      <c r="R25" s="2065"/>
      <c r="S25" s="2066"/>
      <c r="T25" s="1958" t="s">
        <v>2086</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2090</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2093</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2091</v>
      </c>
      <c r="B42" s="2048"/>
      <c r="C42" s="2049"/>
      <c r="D42" s="2062" t="s">
        <v>2092</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0" sqref="A40:H4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0">
        <f>'Revenues 9-14'!C5</f>
        <v>417390</v>
      </c>
      <c r="C4" s="1546"/>
      <c r="D4" s="1773">
        <f>B4-C4</f>
        <v>417390</v>
      </c>
      <c r="E4" s="1546">
        <v>459814</v>
      </c>
      <c r="F4" s="1773">
        <f>E4-C4</f>
        <v>459814</v>
      </c>
    </row>
    <row r="5" spans="1:6" ht="13.7" customHeight="1" x14ac:dyDescent="0.2">
      <c r="A5" s="716" t="s">
        <v>925</v>
      </c>
      <c r="B5" s="1771">
        <f>'Revenues 9-14'!D5</f>
        <v>108068</v>
      </c>
      <c r="C5" s="585"/>
      <c r="D5" s="1774">
        <f t="shared" ref="D5:D18" si="0">B5-C5</f>
        <v>108068</v>
      </c>
      <c r="E5" s="585">
        <v>116217</v>
      </c>
      <c r="F5" s="1774">
        <f>E5-C5</f>
        <v>116217</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38068</v>
      </c>
      <c r="C7" s="585"/>
      <c r="D7" s="1774">
        <f t="shared" si="0"/>
        <v>38068</v>
      </c>
      <c r="E7" s="585">
        <v>40186</v>
      </c>
      <c r="F7" s="1774">
        <f t="shared" si="1"/>
        <v>40186</v>
      </c>
    </row>
    <row r="8" spans="1:6" ht="13.7" customHeight="1" x14ac:dyDescent="0.2">
      <c r="A8" s="716" t="s">
        <v>1241</v>
      </c>
      <c r="B8" s="1771">
        <f>'Revenues 9-14'!G5</f>
        <v>43481</v>
      </c>
      <c r="C8" s="585"/>
      <c r="D8" s="1774">
        <f t="shared" si="0"/>
        <v>43481</v>
      </c>
      <c r="E8" s="585">
        <v>36340</v>
      </c>
      <c r="F8" s="1774">
        <f t="shared" si="1"/>
        <v>36340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8972</v>
      </c>
      <c r="C10" s="585"/>
      <c r="D10" s="1774">
        <f t="shared" si="0"/>
        <v>8972</v>
      </c>
      <c r="E10" s="585">
        <v>9037</v>
      </c>
      <c r="F10" s="1774">
        <f t="shared" si="1"/>
        <v>9037</v>
      </c>
    </row>
    <row r="11" spans="1:6" x14ac:dyDescent="0.2">
      <c r="A11" s="716" t="s">
        <v>429</v>
      </c>
      <c r="B11" s="1771">
        <f>'Revenues 9-14'!J5</f>
        <v>9648</v>
      </c>
      <c r="C11" s="585"/>
      <c r="D11" s="1774">
        <f t="shared" si="0"/>
        <v>9648</v>
      </c>
      <c r="E11" s="585">
        <v>13348</v>
      </c>
      <c r="F11" s="1774">
        <f t="shared" si="1"/>
        <v>13348</v>
      </c>
    </row>
    <row r="12" spans="1:6" ht="13.7" customHeight="1" x14ac:dyDescent="0.2">
      <c r="A12" s="716" t="s">
        <v>159</v>
      </c>
      <c r="B12" s="1771">
        <f>'Revenues 9-14'!K5</f>
        <v>1201</v>
      </c>
      <c r="C12" s="585"/>
      <c r="D12" s="1774">
        <f t="shared" si="0"/>
        <v>1201</v>
      </c>
      <c r="E12" s="585">
        <v>1336</v>
      </c>
      <c r="F12" s="1774">
        <f t="shared" si="1"/>
        <v>1336</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22788</v>
      </c>
      <c r="C14" s="585"/>
      <c r="D14" s="1774">
        <f t="shared" si="0"/>
        <v>22788</v>
      </c>
      <c r="E14" s="585">
        <v>25110</v>
      </c>
      <c r="F14" s="1774">
        <f t="shared" si="1"/>
        <v>25110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43481</v>
      </c>
      <c r="C16" s="585"/>
      <c r="D16" s="1774">
        <f t="shared" si="0"/>
        <v>43481</v>
      </c>
      <c r="E16" s="585">
        <v>36340</v>
      </c>
      <c r="F16" s="1774">
        <f t="shared" si="1"/>
        <v>36340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693097</v>
      </c>
      <c r="C19" s="1772">
        <f>SUM(C4:C18)</f>
        <v>0</v>
      </c>
      <c r="D19" s="1772">
        <f>SUM(D4:D18)</f>
        <v>693097</v>
      </c>
      <c r="E19" s="1772">
        <f>SUM(E4:E18)</f>
        <v>737728</v>
      </c>
      <c r="F19" s="1772">
        <f>SUM(F4:F18)</f>
        <v>737728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9" colorId="8" zoomScale="110" zoomScaleNormal="110" workbookViewId="0">
      <selection activeCell="A40" sqref="A40:H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7" t="s">
        <v>2038</v>
      </c>
      <c r="D2" s="724" t="s">
        <v>2045</v>
      </c>
      <c r="E2" s="724" t="s">
        <v>2046</v>
      </c>
      <c r="F2" s="1907" t="s">
        <v>2039</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6">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4" t="s">
        <v>652</v>
      </c>
      <c r="B15" s="2205"/>
      <c r="C15" s="1776">
        <f>SUM(C6:C14)</f>
        <v>0</v>
      </c>
      <c r="D15" s="1776">
        <f>SUM(D6:D14)</f>
        <v>0</v>
      </c>
      <c r="E15" s="1776">
        <f>SUM(E6:E14)</f>
        <v>0</v>
      </c>
      <c r="F15" s="1776">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6">
        <f>SUM(C17+D17)-E17</f>
        <v>0</v>
      </c>
    </row>
    <row r="18" spans="1:11" ht="12.75" customHeight="1" thickTop="1" thickBot="1" x14ac:dyDescent="0.25">
      <c r="A18" s="2227" t="s">
        <v>6</v>
      </c>
      <c r="B18" s="2228"/>
      <c r="C18" s="727"/>
      <c r="D18" s="585"/>
      <c r="E18" s="727"/>
      <c r="F18" s="1776">
        <f>SUM(C18+D18)-E18</f>
        <v>0</v>
      </c>
    </row>
    <row r="19" spans="1:11" ht="12.75" customHeight="1" thickTop="1" thickBot="1" x14ac:dyDescent="0.25">
      <c r="A19" s="2227" t="s">
        <v>406</v>
      </c>
      <c r="B19" s="2228"/>
      <c r="C19" s="727"/>
      <c r="D19" s="585"/>
      <c r="E19" s="727"/>
      <c r="F19" s="1776">
        <f>SUM(C19+D19)-E19</f>
        <v>0</v>
      </c>
    </row>
    <row r="20" spans="1:11" ht="12.75" customHeight="1" thickTop="1" thickBot="1" x14ac:dyDescent="0.25">
      <c r="A20" s="2227" t="s">
        <v>468</v>
      </c>
      <c r="B20" s="2228"/>
      <c r="C20" s="727"/>
      <c r="D20" s="585"/>
      <c r="E20" s="727"/>
      <c r="F20" s="1776">
        <f>SUM(C20+D20)-E20</f>
        <v>0</v>
      </c>
    </row>
    <row r="21" spans="1:11" ht="14.25" thickTop="1" thickBot="1" x14ac:dyDescent="0.25">
      <c r="A21" s="2204" t="s">
        <v>653</v>
      </c>
      <c r="B21" s="2205"/>
      <c r="C21" s="1776">
        <f>SUM(C17:C20)</f>
        <v>0</v>
      </c>
      <c r="D21" s="1776">
        <f>SUM(D17:D20)</f>
        <v>0</v>
      </c>
      <c r="E21" s="1776">
        <f>SUM(E17:E20)</f>
        <v>0</v>
      </c>
      <c r="F21" s="1776">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6">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6">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6">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2095</v>
      </c>
      <c r="B32" s="734">
        <v>40296</v>
      </c>
      <c r="C32" s="735">
        <v>525300</v>
      </c>
      <c r="D32" s="736">
        <v>7</v>
      </c>
      <c r="E32" s="735">
        <v>280160</v>
      </c>
      <c r="F32" s="735"/>
      <c r="G32" s="735"/>
      <c r="H32" s="735">
        <v>35020</v>
      </c>
      <c r="I32" s="1777">
        <f>((E32+F32)-H32)+G32</f>
        <v>245140</v>
      </c>
      <c r="J32" s="735">
        <v>193156</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525300</v>
      </c>
      <c r="D49" s="746"/>
      <c r="E49" s="1777">
        <f t="shared" ref="E49:J49" si="2">SUM(E31:E48)</f>
        <v>280160</v>
      </c>
      <c r="F49" s="1777">
        <f t="shared" si="2"/>
        <v>0</v>
      </c>
      <c r="G49" s="1777">
        <f t="shared" si="2"/>
        <v>0</v>
      </c>
      <c r="H49" s="1777">
        <f t="shared" si="2"/>
        <v>35020</v>
      </c>
      <c r="I49" s="1777">
        <f t="shared" si="2"/>
        <v>245140</v>
      </c>
      <c r="J49" s="1777">
        <f t="shared" si="2"/>
        <v>193156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t="s">
        <v>2096</v>
      </c>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40" sqref="A40:H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v>0</v>
      </c>
      <c r="I3" s="765">
        <v>0</v>
      </c>
      <c r="J3" s="766">
        <v>52786</v>
      </c>
      <c r="K3" s="766">
        <v>0</v>
      </c>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22788</v>
      </c>
      <c r="I5" s="773"/>
      <c r="J5" s="774"/>
      <c r="K5" s="774"/>
    </row>
    <row r="6" spans="1:11" x14ac:dyDescent="0.2">
      <c r="A6" s="775" t="s">
        <v>744</v>
      </c>
      <c r="B6" s="776"/>
      <c r="C6" s="776"/>
      <c r="D6" s="776"/>
      <c r="E6" s="777"/>
      <c r="F6" s="778" t="s">
        <v>904</v>
      </c>
      <c r="G6" s="765"/>
      <c r="H6" s="765"/>
      <c r="I6" s="765"/>
      <c r="J6" s="766">
        <v>141</v>
      </c>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84119</v>
      </c>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v>100</v>
      </c>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8"/>
      <c r="G12" s="1779">
        <f>SUM(G5:G11)</f>
        <v>0</v>
      </c>
      <c r="H12" s="1779">
        <f>SUM(H5:H11)</f>
        <v>22888</v>
      </c>
      <c r="I12" s="1779">
        <f>SUM(I5:I11)</f>
        <v>0</v>
      </c>
      <c r="J12" s="1779">
        <f>SUM(J5:J11)</f>
        <v>84260</v>
      </c>
      <c r="K12" s="1779">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22888</v>
      </c>
      <c r="I14" s="772"/>
      <c r="J14" s="774"/>
      <c r="K14" s="766"/>
    </row>
    <row r="15" spans="1:11" x14ac:dyDescent="0.2">
      <c r="A15" s="2231" t="s">
        <v>4</v>
      </c>
      <c r="B15" s="2231"/>
      <c r="C15" s="2231"/>
      <c r="D15" s="2231"/>
      <c r="E15" s="2259"/>
      <c r="F15" s="790" t="s">
        <v>910</v>
      </c>
      <c r="G15" s="772"/>
      <c r="H15" s="765"/>
      <c r="I15" s="765"/>
      <c r="J15" s="766">
        <v>24146</v>
      </c>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v>35020</v>
      </c>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0"/>
      <c r="G21" s="793"/>
      <c r="H21" s="797"/>
      <c r="I21" s="797"/>
      <c r="J21" s="1781">
        <f>SUM(J18:J20)</f>
        <v>35020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2"/>
      <c r="G23" s="1779">
        <f>SUM(G14:G16,G21,G22)</f>
        <v>0</v>
      </c>
      <c r="H23" s="1779">
        <f>SUM(H14:H16,H21,H22)</f>
        <v>22888</v>
      </c>
      <c r="I23" s="1779">
        <f>SUM(I14:I16,I21,I22)</f>
        <v>0</v>
      </c>
      <c r="J23" s="1779">
        <f>SUM(J14:J16,J21,J22)</f>
        <v>59166</v>
      </c>
      <c r="K23" s="1779">
        <f>SUM(K14:K16,K21,K22)</f>
        <v>0</v>
      </c>
    </row>
    <row r="24" spans="1:11" ht="14.25" thickTop="1" thickBot="1" x14ac:dyDescent="0.25">
      <c r="A24" s="2252" t="s">
        <v>2026</v>
      </c>
      <c r="B24" s="2251"/>
      <c r="C24" s="2251"/>
      <c r="D24" s="2251"/>
      <c r="E24" s="2251"/>
      <c r="F24" s="1783"/>
      <c r="G24" s="1784">
        <f>SUM(G3,G12)-G23</f>
        <v>0</v>
      </c>
      <c r="H24" s="1784">
        <f>SUM(H3,H12)-H23</f>
        <v>0</v>
      </c>
      <c r="I24" s="1784">
        <f>SUM(I3,I12)-I23</f>
        <v>0</v>
      </c>
      <c r="J24" s="1784">
        <f>SUM(J3,J12)-J23</f>
        <v>77880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77880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40" sqref="A40:H4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16173</v>
      </c>
      <c r="D5" s="842"/>
      <c r="E5" s="842"/>
      <c r="F5" s="1781">
        <f>(C5+D5)-E5</f>
        <v>16173</v>
      </c>
      <c r="G5" s="838"/>
      <c r="H5" s="843"/>
      <c r="I5" s="843"/>
      <c r="J5" s="843"/>
      <c r="K5" s="794"/>
      <c r="L5" s="1790">
        <f>F5-K5</f>
        <v>16173</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2586265</v>
      </c>
      <c r="D8" s="845">
        <v>10467</v>
      </c>
      <c r="E8" s="845"/>
      <c r="F8" s="1781">
        <f>(C8+D8)-E8</f>
        <v>2596732</v>
      </c>
      <c r="G8" s="844">
        <v>50</v>
      </c>
      <c r="H8" s="766">
        <v>886316</v>
      </c>
      <c r="I8" s="766">
        <v>53204</v>
      </c>
      <c r="J8" s="766"/>
      <c r="K8" s="1790">
        <f>(H8+I8)-J8</f>
        <v>939520</v>
      </c>
      <c r="L8" s="1790">
        <f>F8-K8</f>
        <v>1657212</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130531</v>
      </c>
      <c r="D10" s="847"/>
      <c r="E10" s="847"/>
      <c r="F10" s="1785">
        <f>(C10+D10)-E10</f>
        <v>130531</v>
      </c>
      <c r="G10" s="844">
        <v>20</v>
      </c>
      <c r="H10" s="848">
        <v>74250</v>
      </c>
      <c r="I10" s="848">
        <v>6527</v>
      </c>
      <c r="J10" s="848"/>
      <c r="K10" s="1790">
        <f>(H10+I10)-J10</f>
        <v>80777</v>
      </c>
      <c r="L10" s="1790">
        <f>F10-K10</f>
        <v>49754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1209104</v>
      </c>
      <c r="D12" s="845">
        <v>19745</v>
      </c>
      <c r="E12" s="845"/>
      <c r="F12" s="1781">
        <f>(C12+D12)-E12</f>
        <v>1228849</v>
      </c>
      <c r="G12" s="844">
        <v>10</v>
      </c>
      <c r="H12" s="766">
        <v>1024800</v>
      </c>
      <c r="I12" s="766">
        <v>28235</v>
      </c>
      <c r="J12" s="766"/>
      <c r="K12" s="1790">
        <f>(H12+I12)-J12</f>
        <v>1053035</v>
      </c>
      <c r="L12" s="1790">
        <f>F12-K12</f>
        <v>175814</v>
      </c>
    </row>
    <row r="13" spans="1:14" ht="14.25" thickTop="1" thickBot="1" x14ac:dyDescent="0.25">
      <c r="A13" s="849" t="s">
        <v>1184</v>
      </c>
      <c r="B13" s="841">
        <v>252</v>
      </c>
      <c r="C13" s="845">
        <v>15804</v>
      </c>
      <c r="D13" s="845"/>
      <c r="E13" s="845"/>
      <c r="F13" s="1781">
        <f>(C13+D13)-E13</f>
        <v>15804</v>
      </c>
      <c r="G13" s="844">
        <v>5</v>
      </c>
      <c r="H13" s="766">
        <v>15804</v>
      </c>
      <c r="I13" s="766"/>
      <c r="J13" s="766"/>
      <c r="K13" s="1790">
        <f>(H13+I13)-J13</f>
        <v>15804</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v>15930</v>
      </c>
      <c r="E15" s="845"/>
      <c r="F15" s="1781">
        <f>(C15+D15)-E15</f>
        <v>15930</v>
      </c>
      <c r="G15" s="850" t="s">
        <v>917</v>
      </c>
      <c r="H15" s="782"/>
      <c r="I15" s="782"/>
      <c r="J15" s="782"/>
      <c r="K15" s="782"/>
      <c r="L15" s="1790">
        <f>F15-K15</f>
        <v>15930</v>
      </c>
    </row>
    <row r="16" spans="1:14" ht="15" customHeight="1" thickTop="1" thickBot="1" x14ac:dyDescent="0.25">
      <c r="A16" s="1786" t="s">
        <v>664</v>
      </c>
      <c r="B16" s="1787">
        <v>200</v>
      </c>
      <c r="C16" s="1781">
        <f>SUM(C3,C5:C6,C8:C10,C12:C15)</f>
        <v>3957877</v>
      </c>
      <c r="D16" s="1781">
        <f>SUM(D3,D5:D6,D8:D10,D12:D15)</f>
        <v>46142</v>
      </c>
      <c r="E16" s="1781">
        <f>SUM(E3,E5:E6,E8:E10,E12:E15)</f>
        <v>0</v>
      </c>
      <c r="F16" s="1781">
        <f>SUM(F3,F5:F6,F8:F10,F12:F15)</f>
        <v>4004019</v>
      </c>
      <c r="G16" s="844"/>
      <c r="H16" s="1781">
        <f>SUM(H3,H6,H8:H10,H12:H14,)</f>
        <v>2001170</v>
      </c>
      <c r="I16" s="1781">
        <f>SUM(I3,I6,I8:I10,I12:I14,)</f>
        <v>87966</v>
      </c>
      <c r="J16" s="1781">
        <f>SUM(J3,J6,J8:J10,J12:J14,)</f>
        <v>0</v>
      </c>
      <c r="K16" s="1781">
        <f>(H16+I16)-J16</f>
        <v>2089136</v>
      </c>
      <c r="L16" s="1781">
        <f>F16-K16</f>
        <v>1914883</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87966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0" sqref="A40:H40"/>
      <selection pane="bottomLeft" activeCell="A40" sqref="A40:H4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1658101</v>
      </c>
      <c r="G8" s="866"/>
    </row>
    <row r="9" spans="1:7" x14ac:dyDescent="0.2">
      <c r="A9" s="870" t="s">
        <v>480</v>
      </c>
      <c r="B9" s="871" t="s">
        <v>1989</v>
      </c>
      <c r="C9" s="872"/>
      <c r="D9" s="870" t="s">
        <v>522</v>
      </c>
      <c r="E9" s="869"/>
      <c r="F9" s="1933">
        <f>'Expenditures 15-22'!K151</f>
        <v>192416</v>
      </c>
      <c r="G9" s="873"/>
    </row>
    <row r="10" spans="1:7" x14ac:dyDescent="0.2">
      <c r="A10" s="870" t="s">
        <v>520</v>
      </c>
      <c r="B10" s="871" t="s">
        <v>1990</v>
      </c>
      <c r="C10" s="872"/>
      <c r="D10" s="870" t="s">
        <v>522</v>
      </c>
      <c r="E10" s="869"/>
      <c r="F10" s="1933">
        <f>'Expenditures 15-22'!K174</f>
        <v>35020</v>
      </c>
      <c r="G10" s="873"/>
    </row>
    <row r="11" spans="1:7" x14ac:dyDescent="0.2">
      <c r="A11" s="870" t="s">
        <v>481</v>
      </c>
      <c r="B11" s="871" t="s">
        <v>1991</v>
      </c>
      <c r="C11" s="872"/>
      <c r="D11" s="870" t="s">
        <v>522</v>
      </c>
      <c r="E11" s="869"/>
      <c r="F11" s="1933">
        <f>'Expenditures 15-22'!K210</f>
        <v>93418</v>
      </c>
      <c r="G11" s="873"/>
    </row>
    <row r="12" spans="1:7" x14ac:dyDescent="0.2">
      <c r="A12" s="870" t="s">
        <v>482</v>
      </c>
      <c r="B12" s="871" t="s">
        <v>1992</v>
      </c>
      <c r="C12" s="872"/>
      <c r="D12" s="870" t="s">
        <v>522</v>
      </c>
      <c r="E12" s="869"/>
      <c r="F12" s="1933">
        <f>'Expenditures 15-22'!K295</f>
        <v>89506</v>
      </c>
      <c r="G12" s="873"/>
    </row>
    <row r="13" spans="1:7" x14ac:dyDescent="0.2">
      <c r="A13" s="870" t="s">
        <v>108</v>
      </c>
      <c r="B13" s="871" t="s">
        <v>1993</v>
      </c>
      <c r="C13" s="872"/>
      <c r="D13" s="870" t="s">
        <v>522</v>
      </c>
      <c r="E13" s="869"/>
      <c r="F13" s="1933">
        <f>'Expenditures 15-22'!K342</f>
        <v>39432</v>
      </c>
      <c r="G13" s="874"/>
    </row>
    <row r="14" spans="1:7" ht="12" customHeight="1" thickBot="1" x14ac:dyDescent="0.25">
      <c r="A14" s="1791"/>
      <c r="B14" s="1792"/>
      <c r="C14" s="1793"/>
      <c r="D14" s="1794" t="s">
        <v>522</v>
      </c>
      <c r="E14" s="1795" t="s">
        <v>1015</v>
      </c>
      <c r="F14" s="1796">
        <f>SUM(F8:F13)</f>
        <v>2107893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2950</v>
      </c>
      <c r="G52" s="866"/>
    </row>
    <row r="53" spans="1:7" x14ac:dyDescent="0.2">
      <c r="A53" s="870" t="s">
        <v>479</v>
      </c>
      <c r="B53" s="870" t="s">
        <v>1551</v>
      </c>
      <c r="C53" s="890">
        <f>'Expenditures 15-22'!B102</f>
        <v>4000</v>
      </c>
      <c r="D53" s="889" t="str">
        <f>'Expenditures 15-22'!A102</f>
        <v>Total Payments to Other Govt Units</v>
      </c>
      <c r="E53" s="869"/>
      <c r="F53" s="1937">
        <f>'Expenditures 15-22'!K102</f>
        <v>24766</v>
      </c>
      <c r="G53" s="866"/>
    </row>
    <row r="54" spans="1:7" x14ac:dyDescent="0.2">
      <c r="A54" s="870" t="s">
        <v>479</v>
      </c>
      <c r="B54" s="870" t="s">
        <v>1552</v>
      </c>
      <c r="C54" s="890" t="s">
        <v>1039</v>
      </c>
      <c r="D54" s="886" t="s">
        <v>1157</v>
      </c>
      <c r="E54" s="869"/>
      <c r="F54" s="1937">
        <f>'Expenditures 15-22'!G114</f>
        <v>2401</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11231</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35020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76368</v>
      </c>
      <c r="G76" s="866"/>
    </row>
    <row r="77" spans="1:8" s="894" customFormat="1" ht="12" customHeight="1" thickTop="1" thickBot="1" x14ac:dyDescent="0.25">
      <c r="A77" s="1800"/>
      <c r="B77" s="1797"/>
      <c r="C77" s="1793"/>
      <c r="D77" s="1798" t="s">
        <v>2012</v>
      </c>
      <c r="E77" s="1795"/>
      <c r="F77" s="1801">
        <f>(F14-F76)</f>
        <v>2031525</v>
      </c>
      <c r="G77" s="870"/>
    </row>
    <row r="78" spans="1:8" s="894" customFormat="1" ht="12" customHeight="1" thickTop="1" x14ac:dyDescent="0.2">
      <c r="A78" s="1802"/>
      <c r="B78" s="1797"/>
      <c r="C78" s="1793"/>
      <c r="D78" s="1798" t="s">
        <v>2059</v>
      </c>
      <c r="E78" s="1795"/>
      <c r="F78" s="899">
        <v>202.86</v>
      </c>
      <c r="G78" s="900"/>
      <c r="H78" s="870"/>
    </row>
    <row r="79" spans="1:8" s="894" customFormat="1" ht="12" customHeight="1" thickBot="1" x14ac:dyDescent="0.25">
      <c r="A79" s="1803"/>
      <c r="B79" s="1797"/>
      <c r="C79" s="1793"/>
      <c r="D79" s="1798" t="s">
        <v>2013</v>
      </c>
      <c r="E79" s="1795" t="s">
        <v>1015</v>
      </c>
      <c r="F79" s="1804">
        <f>IF(F78&gt;0,F77/F78," Complete Line 78")</f>
        <v>10014.418811002661</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32480</v>
      </c>
      <c r="G94" s="913"/>
    </row>
    <row r="95" spans="1:7" x14ac:dyDescent="0.2">
      <c r="A95" s="909" t="s">
        <v>142</v>
      </c>
      <c r="B95" s="909" t="s">
        <v>177</v>
      </c>
      <c r="C95" s="911">
        <v>1700</v>
      </c>
      <c r="D95" s="919" t="str">
        <f>'Revenues 9-14'!A82</f>
        <v>Total District/School Activity Income</v>
      </c>
      <c r="E95" s="907"/>
      <c r="F95" s="1810">
        <f>SUM('Revenues 9-14'!C82,'Revenues 9-14'!D82)</f>
        <v>10295</v>
      </c>
      <c r="G95" s="913"/>
    </row>
    <row r="96" spans="1:7" x14ac:dyDescent="0.2">
      <c r="A96" s="909" t="s">
        <v>479</v>
      </c>
      <c r="B96" s="909" t="s">
        <v>178</v>
      </c>
      <c r="C96" s="911">
        <f>'Revenues 9-14'!B84</f>
        <v>1811</v>
      </c>
      <c r="D96" s="912" t="str">
        <f>'Revenues 9-14'!A84</f>
        <v>Rentals - Regular Textbooks</v>
      </c>
      <c r="E96" s="907"/>
      <c r="F96" s="1810">
        <f>'Revenues 9-14'!C84</f>
        <v>1944</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1010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6720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34144</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882</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100671</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17775</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66781</v>
      </c>
      <c r="G129" s="931"/>
    </row>
    <row r="130" spans="1:7" x14ac:dyDescent="0.2">
      <c r="A130" s="928" t="s">
        <v>689</v>
      </c>
      <c r="B130" s="928" t="s">
        <v>804</v>
      </c>
      <c r="C130" s="933">
        <v>4300</v>
      </c>
      <c r="D130" s="934" t="str">
        <f>'Revenues 9-14'!A211</f>
        <v>Total Title I</v>
      </c>
      <c r="E130" s="907"/>
      <c r="F130" s="1810">
        <f>SUM('Revenues 9-14'!C211,'Revenues 9-14'!D211,'Revenues 9-14'!F211,'Revenues 9-14'!G211)</f>
        <v>53365</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11987</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11518</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7431</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2862</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359865</v>
      </c>
    </row>
    <row r="179" spans="1:7" ht="12" customHeight="1" x14ac:dyDescent="0.2">
      <c r="A179" s="1791"/>
      <c r="B179" s="1805"/>
      <c r="C179" s="1806"/>
      <c r="D179" s="1807" t="s">
        <v>2015</v>
      </c>
      <c r="E179" s="1808"/>
      <c r="F179" s="1810">
        <f>'PCTC-OEPP 27-28'!F77-F178</f>
        <v>1671660</v>
      </c>
    </row>
    <row r="180" spans="1:7" ht="12" customHeight="1" x14ac:dyDescent="0.2">
      <c r="A180" s="1791"/>
      <c r="B180" s="1805"/>
      <c r="C180" s="1806"/>
      <c r="D180" s="1807" t="s">
        <v>1924</v>
      </c>
      <c r="E180" s="1808"/>
      <c r="F180" s="1810">
        <f>'Cap Outlay Deprec 26'!I18</f>
        <v>87966</v>
      </c>
    </row>
    <row r="181" spans="1:7" ht="12" customHeight="1" x14ac:dyDescent="0.2">
      <c r="A181" s="1791"/>
      <c r="B181" s="1805"/>
      <c r="C181" s="1806"/>
      <c r="D181" s="1807" t="s">
        <v>2016</v>
      </c>
      <c r="E181" s="1808"/>
      <c r="F181" s="1810">
        <f>F179+F180</f>
        <v>1759626</v>
      </c>
    </row>
    <row r="182" spans="1:7" ht="12" customHeight="1" x14ac:dyDescent="0.2">
      <c r="A182" s="1791"/>
      <c r="B182" s="1811"/>
      <c r="C182" s="1806"/>
      <c r="D182" s="1807" t="str">
        <f>D78</f>
        <v>9 Month ADA from District Average Daily Attendance/Prior General State Aid Inquiry 2017-2018</v>
      </c>
      <c r="E182" s="1808"/>
      <c r="F182" s="1812">
        <f>'PCTC-OEPP 27-28'!F78</f>
        <v>202.86</v>
      </c>
      <c r="G182" s="931"/>
    </row>
    <row r="183" spans="1:7" ht="12" customHeight="1" thickBot="1" x14ac:dyDescent="0.25">
      <c r="A183" s="1791"/>
      <c r="B183" s="1811"/>
      <c r="C183" s="1806"/>
      <c r="D183" s="1807" t="s">
        <v>2017</v>
      </c>
      <c r="E183" s="1808" t="s">
        <v>1626</v>
      </c>
      <c r="F183" s="1813">
        <f>F181/F182</f>
        <v>8674.0905057675245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A40" sqref="A40:H40"/>
      <selection pane="bottomLeft" activeCell="A40" sqref="A40:H4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2097</v>
      </c>
      <c r="B17" s="1956" t="s">
        <v>2099</v>
      </c>
      <c r="C17" s="1957" t="s">
        <v>2098</v>
      </c>
      <c r="D17" s="1865">
        <v>4385</v>
      </c>
      <c r="E17" s="1562">
        <f t="shared" ref="E17:E30" si="1">IF(D17&lt;=25000,D17,IF(D17&gt;25000,25000,0))</f>
        <v>4385</v>
      </c>
      <c r="F17" s="1814">
        <f t="shared" si="0"/>
        <v>4385</v>
      </c>
      <c r="G17" s="1815">
        <f>IF(F17=0,0,D17-F17)</f>
        <v>0</v>
      </c>
      <c r="H17" s="1669"/>
    </row>
    <row r="18" spans="1:8" x14ac:dyDescent="0.25">
      <c r="A18" s="1955" t="s">
        <v>2101</v>
      </c>
      <c r="B18" s="1956" t="s">
        <v>2100</v>
      </c>
      <c r="C18" s="1957" t="s">
        <v>2098</v>
      </c>
      <c r="D18" s="1865">
        <v>1765</v>
      </c>
      <c r="E18" s="1562">
        <f t="shared" ref="E18:E29" si="2">IF(D18&lt;=25000,D18,IF(D18&gt;25000,25000,0))</f>
        <v>1765</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1765</v>
      </c>
      <c r="G18" s="1815">
        <f t="shared" ref="G18:G29" si="4">IF(F18=0,0,D18-F18)</f>
        <v>0</v>
      </c>
    </row>
    <row r="19" spans="1:8" x14ac:dyDescent="0.25">
      <c r="A19" s="1955" t="s">
        <v>2102</v>
      </c>
      <c r="B19" s="1956" t="s">
        <v>2103</v>
      </c>
      <c r="C19" s="1957" t="s">
        <v>2104</v>
      </c>
      <c r="D19" s="1865">
        <v>35883</v>
      </c>
      <c r="E19" s="1562">
        <f t="shared" si="2"/>
        <v>25000</v>
      </c>
      <c r="F19" s="1814">
        <f t="shared" si="3"/>
        <v>25000</v>
      </c>
      <c r="G19" s="1815">
        <f t="shared" si="4"/>
        <v>10883</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42033</v>
      </c>
      <c r="E30" s="1563">
        <f t="shared" si="1"/>
        <v>25000</v>
      </c>
      <c r="F30" s="1816">
        <f>SUM(F17:F29)</f>
        <v>31150</v>
      </c>
      <c r="G30" s="1817">
        <f>SUM(G17:G29)</f>
        <v>10883</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A40" sqref="A40:H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42889</v>
      </c>
      <c r="F10" s="975"/>
      <c r="G10" s="976"/>
      <c r="H10" s="162"/>
      <c r="I10" s="162"/>
    </row>
    <row r="11" spans="1:9" s="669" customFormat="1" ht="22.5" customHeight="1" x14ac:dyDescent="0.2">
      <c r="A11" s="2304" t="s">
        <v>1945</v>
      </c>
      <c r="B11" s="2305"/>
      <c r="C11" s="2305"/>
      <c r="D11" s="2306"/>
      <c r="E11" s="978">
        <v>7386</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1310518</v>
      </c>
      <c r="F19" s="1821"/>
      <c r="G19" s="1823">
        <f>'Expenditures 15-22'!K33-SUM('Expenditures 15-22'!G33,'Expenditures 15-22'!I33)+'Expenditures 15-22'!D229</f>
        <v>1310518</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37674</v>
      </c>
      <c r="F21" s="1824"/>
      <c r="G21" s="1827">
        <f>'Expenditures 15-22'!K42-SUM('Expenditures 15-22'!G42,'Expenditures 15-22'!I42)+'Expenditures 15-22'!K120-SUM('Expenditures 15-22'!G120,'Expenditures 15-22'!I120)+'Expenditures 15-22'!K180-SUM('Expenditures 15-22'!G180,'Expenditures 15-22'!I180)+'Expenditures 15-22'!D238</f>
        <v>37674</v>
      </c>
      <c r="H21" s="988"/>
      <c r="I21" s="162"/>
    </row>
    <row r="22" spans="1:9" s="669" customFormat="1" ht="12" customHeight="1" x14ac:dyDescent="0.2">
      <c r="A22" s="995" t="s">
        <v>585</v>
      </c>
      <c r="B22" s="996"/>
      <c r="C22" s="994">
        <v>2200</v>
      </c>
      <c r="D22" s="1824"/>
      <c r="E22" s="1826">
        <f>'Expenditures 15-22'!K47-SUM('Expenditures 15-22'!G47,'Expenditures 15-22'!I47)+'Expenditures 15-22'!D243</f>
        <v>13614</v>
      </c>
      <c r="F22" s="1824"/>
      <c r="G22" s="1827">
        <f>'Expenditures 15-22'!K47-SUM('Expenditures 15-22'!G47,'Expenditures 15-22'!I47)+'Expenditures 15-22'!D243</f>
        <v>13614</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131867</v>
      </c>
      <c r="F23" s="1824"/>
      <c r="G23" s="1826">
        <f>'Expenditures 15-22'!K53-SUM('Expenditures 15-22'!G53,'Expenditures 15-22'!I53)+'Expenditures 15-22'!D257+'Expenditures 15-22'!K330-SUM('Expenditures 15-22'!G330,'Expenditures 15-22'!I330)</f>
        <v>131867</v>
      </c>
      <c r="H23" s="988"/>
      <c r="I23" s="162"/>
    </row>
    <row r="24" spans="1:9" s="669" customFormat="1" ht="12" customHeight="1" x14ac:dyDescent="0.2">
      <c r="A24" s="995" t="s">
        <v>587</v>
      </c>
      <c r="B24" s="996"/>
      <c r="C24" s="994">
        <v>2400</v>
      </c>
      <c r="D24" s="1824"/>
      <c r="E24" s="1826">
        <f>'Expenditures 15-22'!K57-SUM('Expenditures 15-22'!G57,'Expenditures 15-22'!I57)+'Expenditures 15-22'!D261</f>
        <v>26431</v>
      </c>
      <c r="F24" s="1824"/>
      <c r="G24" s="1827">
        <f>'Expenditures 15-22'!K57-SUM('Expenditures 15-22'!G57,'Expenditures 15-22'!I57)+'Expenditures 15-22'!D261</f>
        <v>26431</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69773</v>
      </c>
      <c r="E27" s="1826">
        <f>E8</f>
        <v>0</v>
      </c>
      <c r="F27" s="1826">
        <f>'Expenditures 15-22'!K60-SUM('Expenditures 15-22'!G60,'Expenditures 15-22'!I60)+'Expenditures 15-22'!D264-E8</f>
        <v>69773</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201196</v>
      </c>
      <c r="F28" s="1828">
        <f>'Expenditures 15-22'!K61-SUM('Expenditures 15-22'!G61,'Expenditures 15-22'!I61)+'Expenditures 15-22'!K124-SUM('Expenditures 15-22'!G124,'Expenditures 15-22'!I124)+'Expenditures 15-22'!D266-E9</f>
        <v>201196</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99354</v>
      </c>
      <c r="F29" s="1824"/>
      <c r="G29" s="1827">
        <f>'Expenditures 15-22'!K62-SUM('Expenditures 15-22'!G62,'Expenditures 15-22'!I62)+'Expenditures 15-22'!K125-SUM('Expenditures 15-22'!G125,'Expenditures 15-22'!I125)+'Expenditures 15-22'!K182-SUM('Expenditures 15-22'!G182,'Expenditures 15-22'!I182)+'Expenditures 15-22'!D267</f>
        <v>99354</v>
      </c>
      <c r="H29" s="986"/>
    </row>
    <row r="30" spans="1:9" ht="12" customHeight="1" x14ac:dyDescent="0.2">
      <c r="A30" s="995" t="s">
        <v>102</v>
      </c>
      <c r="B30" s="998"/>
      <c r="C30" s="994">
        <v>2560</v>
      </c>
      <c r="D30" s="1824"/>
      <c r="E30" s="1826">
        <f>'Expenditures 15-22'!K63-SUM('Expenditures 15-22'!G63,'Expenditures 15-22'!I63)+'Expenditures 15-22'!D268-E10</f>
        <v>66857</v>
      </c>
      <c r="F30" s="1824"/>
      <c r="G30" s="1826">
        <f>'Expenditures 15-22'!K63-SUM('Expenditures 15-22'!G63,'Expenditures 15-22'!I63)+'Expenditures 15-22'!D268-E10</f>
        <v>66857</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31352</v>
      </c>
      <c r="E37" s="1826">
        <f>E14</f>
        <v>0</v>
      </c>
      <c r="F37" s="1826">
        <f>'Expenditures 15-22'!K71-SUM('Expenditures 15-22'!G71,'Expenditures 15-22'!I71)+'Expenditures 15-22'!D276-E14</f>
        <v>31352</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2950</v>
      </c>
      <c r="F39" s="1824"/>
      <c r="G39" s="1826">
        <f>'Expenditures 15-22'!K75-SUM('Expenditures 15-22'!G75,'Expenditures 15-22'!I75)+'Expenditures 15-22'!K130-SUM('Expenditures 15-22'!G130,'Expenditures 15-22'!I130)+'Expenditures 15-22'!K185-SUM('Expenditures 15-22'!G185,'Expenditures 15-22'!I185)+'Expenditures 15-22'!D280</f>
        <v>2950</v>
      </c>
    </row>
    <row r="40" spans="1:7" ht="12" customHeight="1" x14ac:dyDescent="0.2">
      <c r="A40" s="991" t="s">
        <v>1930</v>
      </c>
      <c r="B40" s="992"/>
      <c r="C40" s="994"/>
      <c r="D40" s="1824"/>
      <c r="E40" s="1828">
        <f>-'Contracts Paid in CY 29'!G30</f>
        <v>-10883</v>
      </c>
      <c r="F40" s="1824"/>
      <c r="G40" s="1828">
        <f>-'Contracts Paid in CY 29'!G30</f>
        <v>-10883</v>
      </c>
    </row>
    <row r="41" spans="1:7" ht="12" customHeight="1" x14ac:dyDescent="0.2">
      <c r="A41" s="999" t="s">
        <v>158</v>
      </c>
      <c r="B41" s="1000"/>
      <c r="C41" s="1001"/>
      <c r="D41" s="1828">
        <f>SUM(D19:D39)</f>
        <v>101125</v>
      </c>
      <c r="E41" s="1828">
        <f>SUM(E19:E40)</f>
        <v>1879578</v>
      </c>
      <c r="F41" s="1828">
        <f>SUM(F19:F39)</f>
        <v>302321</v>
      </c>
      <c r="G41" s="1828">
        <f>SUM(G19:G40)</f>
        <v>1678382</v>
      </c>
    </row>
    <row r="42" spans="1:7" x14ac:dyDescent="0.2">
      <c r="A42" s="988"/>
      <c r="B42" s="162"/>
      <c r="C42" s="1002"/>
      <c r="D42" s="2302" t="s">
        <v>543</v>
      </c>
      <c r="E42" s="2303"/>
      <c r="F42" s="1003" t="s">
        <v>544</v>
      </c>
      <c r="G42" s="1004"/>
    </row>
    <row r="43" spans="1:7" ht="12" customHeight="1" x14ac:dyDescent="0.2">
      <c r="A43" s="988"/>
      <c r="B43" s="162"/>
      <c r="C43" s="1002"/>
      <c r="D43" s="1829" t="s">
        <v>493</v>
      </c>
      <c r="E43" s="1830">
        <f>D41</f>
        <v>101125</v>
      </c>
      <c r="F43" s="1829" t="s">
        <v>495</v>
      </c>
      <c r="G43" s="1830">
        <f>F41</f>
        <v>302321</v>
      </c>
    </row>
    <row r="44" spans="1:7" ht="12" customHeight="1" x14ac:dyDescent="0.2">
      <c r="A44" s="988"/>
      <c r="B44" s="162"/>
      <c r="C44" s="1002"/>
      <c r="D44" s="1829" t="s">
        <v>494</v>
      </c>
      <c r="E44" s="1830">
        <f>E41</f>
        <v>1879578</v>
      </c>
      <c r="F44" s="1829" t="s">
        <v>494</v>
      </c>
      <c r="G44" s="1830">
        <f>G41</f>
        <v>1678382</v>
      </c>
    </row>
    <row r="45" spans="1:7" ht="12" customHeight="1" x14ac:dyDescent="0.2">
      <c r="A45" s="988"/>
      <c r="B45" s="162"/>
      <c r="C45" s="162"/>
      <c r="D45" s="1831" t="s">
        <v>1063</v>
      </c>
      <c r="E45" s="1832">
        <f>(E43/E44)</f>
        <v>5.3801970442301408E-2</v>
      </c>
      <c r="F45" s="1831" t="s">
        <v>1063</v>
      </c>
      <c r="G45" s="1832">
        <f>(G43/G44)</f>
        <v>0.18012645512165884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0" sqref="A40:H40"/>
      <selection pane="bottomLeft" activeCell="A40" sqref="A40:H40"/>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0" t="s">
        <v>1446</v>
      </c>
      <c r="B1" s="2310"/>
      <c r="C1" s="2310"/>
      <c r="D1" s="2310"/>
      <c r="E1" s="2310"/>
      <c r="F1" s="231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1" t="s">
        <v>1627</v>
      </c>
      <c r="B5" s="2312"/>
      <c r="C5" s="2313"/>
      <c r="D5" s="2313"/>
      <c r="E5" s="2313"/>
      <c r="F5" s="2313"/>
    </row>
    <row r="6" spans="1:10" ht="12" customHeight="1" x14ac:dyDescent="0.25">
      <c r="A6" s="1873"/>
      <c r="B6" s="1874"/>
      <c r="C6" s="2314" t="str">
        <f>COVER!A17</f>
        <v>Ewing Northern CCSD 115</v>
      </c>
      <c r="D6" s="2314"/>
      <c r="E6" s="2314"/>
      <c r="F6" s="1875"/>
    </row>
    <row r="7" spans="1:10" ht="11.25" customHeight="1" thickBot="1" x14ac:dyDescent="0.3">
      <c r="A7" s="1873"/>
      <c r="B7" s="1874"/>
      <c r="C7" s="2315">
        <f>COVER!A13</f>
        <v>21028115004</v>
      </c>
      <c r="D7" s="2315"/>
      <c r="E7" s="2315"/>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2094</v>
      </c>
      <c r="D14" s="1888" t="s">
        <v>2094</v>
      </c>
      <c r="E14" s="1891" t="s">
        <v>2094</v>
      </c>
      <c r="F14" s="1890" t="s">
        <v>2105</v>
      </c>
      <c r="H14" s="1901">
        <f t="shared" si="0"/>
        <v>5</v>
      </c>
      <c r="I14" s="1901">
        <f t="shared" si="1"/>
        <v>5</v>
      </c>
      <c r="J14" s="1901">
        <f t="shared" si="2"/>
        <v>5</v>
      </c>
    </row>
    <row r="15" spans="1:10" ht="12" customHeight="1" x14ac:dyDescent="0.2">
      <c r="A15" s="1886" t="s">
        <v>1454</v>
      </c>
      <c r="B15" s="1887"/>
      <c r="C15" s="1888" t="s">
        <v>2094</v>
      </c>
      <c r="D15" s="1888" t="s">
        <v>2094</v>
      </c>
      <c r="E15" s="1891" t="s">
        <v>2094</v>
      </c>
      <c r="F15" s="1890" t="s">
        <v>2106</v>
      </c>
      <c r="H15" s="1901">
        <f t="shared" si="0"/>
        <v>5</v>
      </c>
      <c r="I15" s="1901">
        <f t="shared" si="1"/>
        <v>5</v>
      </c>
      <c r="J15" s="1901">
        <f t="shared" si="2"/>
        <v>5</v>
      </c>
    </row>
    <row r="16" spans="1:10" ht="12" customHeight="1" x14ac:dyDescent="0.2">
      <c r="A16" s="1886" t="s">
        <v>1455</v>
      </c>
      <c r="B16" s="1887"/>
      <c r="C16" s="1888" t="s">
        <v>2094</v>
      </c>
      <c r="D16" s="1888" t="s">
        <v>2094</v>
      </c>
      <c r="E16" s="1891" t="s">
        <v>2094</v>
      </c>
      <c r="F16" s="1890" t="s">
        <v>2107</v>
      </c>
      <c r="H16" s="1901">
        <f t="shared" si="0"/>
        <v>5</v>
      </c>
      <c r="I16" s="1901">
        <f t="shared" si="1"/>
        <v>5</v>
      </c>
      <c r="J16" s="1901">
        <f t="shared" si="2"/>
        <v>5</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2094</v>
      </c>
      <c r="D19" s="1888" t="s">
        <v>2094</v>
      </c>
      <c r="E19" s="1891" t="s">
        <v>2094</v>
      </c>
      <c r="F19" s="1890" t="s">
        <v>2108</v>
      </c>
      <c r="H19" s="1901">
        <f t="shared" si="0"/>
        <v>5</v>
      </c>
      <c r="I19" s="1901">
        <f t="shared" si="1"/>
        <v>5</v>
      </c>
      <c r="J19" s="1901">
        <f t="shared" si="2"/>
        <v>5</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t="s">
        <v>2094</v>
      </c>
      <c r="D21" s="1888" t="s">
        <v>2094</v>
      </c>
      <c r="E21" s="1891" t="s">
        <v>2094</v>
      </c>
      <c r="F21" s="1890" t="s">
        <v>2109</v>
      </c>
      <c r="H21" s="1901">
        <f t="shared" si="0"/>
        <v>5</v>
      </c>
      <c r="I21" s="1901">
        <f t="shared" si="1"/>
        <v>5</v>
      </c>
      <c r="J21" s="1901">
        <f t="shared" si="2"/>
        <v>5</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2094</v>
      </c>
      <c r="D23" s="1888" t="s">
        <v>2094</v>
      </c>
      <c r="E23" s="1891" t="s">
        <v>2094</v>
      </c>
      <c r="F23" s="1890" t="s">
        <v>2110</v>
      </c>
      <c r="H23" s="1901">
        <f t="shared" si="0"/>
        <v>5</v>
      </c>
      <c r="I23" s="1901">
        <f t="shared" si="1"/>
        <v>5</v>
      </c>
      <c r="J23" s="1901">
        <f t="shared" si="2"/>
        <v>5</v>
      </c>
    </row>
    <row r="24" spans="1:12" ht="12" customHeight="1" x14ac:dyDescent="0.2">
      <c r="A24" s="1886" t="s">
        <v>1613</v>
      </c>
      <c r="B24" s="1887"/>
      <c r="C24" s="1888" t="s">
        <v>2094</v>
      </c>
      <c r="D24" s="1888" t="s">
        <v>2094</v>
      </c>
      <c r="E24" s="1891" t="s">
        <v>2094</v>
      </c>
      <c r="F24" s="1890" t="s">
        <v>2110</v>
      </c>
      <c r="H24" s="1901">
        <f t="shared" si="0"/>
        <v>5</v>
      </c>
      <c r="I24" s="1901">
        <f t="shared" si="1"/>
        <v>5</v>
      </c>
      <c r="J24" s="1901">
        <f t="shared" si="2"/>
        <v>5</v>
      </c>
    </row>
    <row r="25" spans="1:12" ht="12" customHeight="1" x14ac:dyDescent="0.2">
      <c r="A25" s="1886" t="s">
        <v>1614</v>
      </c>
      <c r="B25" s="1887"/>
      <c r="C25" s="1888" t="s">
        <v>2094</v>
      </c>
      <c r="D25" s="1888" t="s">
        <v>2094</v>
      </c>
      <c r="E25" s="1891" t="s">
        <v>2094</v>
      </c>
      <c r="F25" s="1890" t="s">
        <v>2109</v>
      </c>
      <c r="H25" s="1901">
        <f t="shared" si="0"/>
        <v>5</v>
      </c>
      <c r="I25" s="1901">
        <f t="shared" si="1"/>
        <v>5</v>
      </c>
      <c r="J25" s="1901">
        <f t="shared" si="2"/>
        <v>5</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2094</v>
      </c>
      <c r="D29" s="1888" t="s">
        <v>2094</v>
      </c>
      <c r="E29" s="1891" t="s">
        <v>2094</v>
      </c>
      <c r="F29" s="1890" t="s">
        <v>2111</v>
      </c>
      <c r="H29" s="1901">
        <f t="shared" si="0"/>
        <v>5</v>
      </c>
      <c r="I29" s="1901">
        <f t="shared" si="1"/>
        <v>5</v>
      </c>
      <c r="J29" s="1901">
        <f t="shared" si="2"/>
        <v>5</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45</v>
      </c>
      <c r="I34" s="1901">
        <f>SUM(I11:I32)</f>
        <v>45</v>
      </c>
      <c r="J34" s="1901">
        <f>SUM(J11:J32)</f>
        <v>45</v>
      </c>
      <c r="K34" s="1901">
        <f>SUM(H34:J34)</f>
        <v>135</v>
      </c>
    </row>
    <row r="35" spans="1:11" ht="12" customHeight="1" x14ac:dyDescent="0.2">
      <c r="A35" s="1894" t="s">
        <v>1459</v>
      </c>
      <c r="B35" s="189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1458</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8"/>
      <c r="B43" s="2319"/>
      <c r="C43" s="2319"/>
      <c r="D43" s="2319"/>
      <c r="E43" s="2319"/>
      <c r="F43" s="2320"/>
      <c r="H43" s="1902"/>
      <c r="I43" s="1902"/>
      <c r="J43" s="1902"/>
      <c r="K43" s="1902"/>
    </row>
    <row r="44" spans="1:11" s="1893" customFormat="1" ht="12" hidden="1" customHeight="1" x14ac:dyDescent="0.25">
      <c r="A44" s="2318"/>
      <c r="B44" s="2319"/>
      <c r="C44" s="2319"/>
      <c r="D44" s="2319"/>
      <c r="E44" s="2319"/>
      <c r="F44" s="232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40" sqref="A40:H4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4" t="str">
        <f>COVER!A17</f>
        <v>Ewing Northern CCSD 115</v>
      </c>
      <c r="J6" s="2335"/>
      <c r="Q6" s="1685"/>
    </row>
    <row r="7" spans="1:17" x14ac:dyDescent="0.2">
      <c r="A7" s="2336" t="s">
        <v>924</v>
      </c>
      <c r="B7" s="2337"/>
      <c r="C7" s="2337"/>
      <c r="D7" s="2337"/>
      <c r="E7" s="2338"/>
      <c r="F7" s="1018"/>
      <c r="G7" s="1010"/>
      <c r="H7" s="1017" t="s">
        <v>390</v>
      </c>
      <c r="I7" s="2339">
        <f>COVER!A13</f>
        <v>21028115004</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78912</v>
      </c>
      <c r="F12" s="1040"/>
      <c r="G12" s="1833">
        <f t="shared" ref="G12:G18" si="0">SUM(E12:F12)</f>
        <v>78912</v>
      </c>
      <c r="H12" s="1041">
        <v>79262</v>
      </c>
      <c r="I12" s="1040"/>
      <c r="J12" s="1833">
        <f t="shared" ref="J12:J18" si="1">SUM(H12:I12)</f>
        <v>79262</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3" t="s">
        <v>7</v>
      </c>
      <c r="C18" s="2344"/>
      <c r="D18" s="234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78912</v>
      </c>
      <c r="F19" s="1835">
        <f t="shared" si="2"/>
        <v>0</v>
      </c>
      <c r="G19" s="1835">
        <f t="shared" si="2"/>
        <v>78912</v>
      </c>
      <c r="H19" s="1835">
        <f t="shared" si="2"/>
        <v>79262</v>
      </c>
      <c r="I19" s="1835">
        <f t="shared" si="2"/>
        <v>0</v>
      </c>
      <c r="J19" s="1835">
        <f t="shared" si="2"/>
        <v>79262</v>
      </c>
    </row>
    <row r="20" spans="1:10" ht="13.5" thickTop="1" x14ac:dyDescent="0.2">
      <c r="A20" s="1036">
        <v>9</v>
      </c>
      <c r="B20" s="2346" t="s">
        <v>1703</v>
      </c>
      <c r="C20" s="2346"/>
      <c r="D20" s="2347"/>
      <c r="E20" s="1047"/>
      <c r="F20" s="1047"/>
      <c r="G20" s="1047"/>
      <c r="H20" s="1047"/>
      <c r="I20" s="1047"/>
      <c r="J20" s="1836">
        <f>IF(AND(G19&gt;0,J19&gt;0),(((J19-G19)/G19)),"Enter Budget Data")</f>
        <v>4.4353203568532036E-3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40" sqref="A40:H4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2126</v>
      </c>
    </row>
    <row r="6" spans="1:2" x14ac:dyDescent="0.2">
      <c r="A6" s="1069"/>
    </row>
    <row r="7" spans="1:2" x14ac:dyDescent="0.2">
      <c r="A7" s="1069">
        <v>2</v>
      </c>
      <c r="B7" s="329" t="s">
        <v>2127</v>
      </c>
    </row>
    <row r="8" spans="1:2" x14ac:dyDescent="0.2">
      <c r="A8" s="1069"/>
    </row>
    <row r="9" spans="1:2" x14ac:dyDescent="0.2">
      <c r="A9" s="1070">
        <v>3</v>
      </c>
      <c r="B9" s="329" t="s">
        <v>2128</v>
      </c>
    </row>
    <row r="10" spans="1:2" x14ac:dyDescent="0.2">
      <c r="A10" s="1070"/>
    </row>
    <row r="11" spans="1:2" x14ac:dyDescent="0.2">
      <c r="A11" s="1070">
        <v>4</v>
      </c>
      <c r="B11" s="329" t="s">
        <v>2129</v>
      </c>
    </row>
    <row r="12" spans="1:2" x14ac:dyDescent="0.2">
      <c r="A12" s="1070"/>
    </row>
    <row r="13" spans="1:2" x14ac:dyDescent="0.2">
      <c r="A13" s="1070">
        <v>5</v>
      </c>
      <c r="B13" s="329" t="s">
        <v>2130</v>
      </c>
    </row>
    <row r="14" spans="1:2" x14ac:dyDescent="0.2">
      <c r="A14" s="1070"/>
    </row>
    <row r="15" spans="1:2" x14ac:dyDescent="0.2">
      <c r="A15" s="1070">
        <v>6</v>
      </c>
      <c r="B15" s="329" t="s">
        <v>2131</v>
      </c>
    </row>
    <row r="16" spans="1:2" x14ac:dyDescent="0.2">
      <c r="A16" s="1070"/>
    </row>
    <row r="17" spans="1:2" x14ac:dyDescent="0.2">
      <c r="A17" s="1070">
        <v>7</v>
      </c>
      <c r="B17" s="329" t="s">
        <v>2132</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Ewing Northern CCSD 115</v>
      </c>
    </row>
    <row r="65" spans="2:2" x14ac:dyDescent="0.2">
      <c r="B65" s="1071">
        <f>COVER!A13</f>
        <v>21028115004</v>
      </c>
    </row>
  </sheetData>
  <phoneticPr fontId="13"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76" zoomScale="110" zoomScaleNormal="110" workbookViewId="0">
      <selection activeCell="A40" sqref="A40:H4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0" sqref="A40:H4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0" sqref="C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2" r:id="rId4">
          <objectPr defaultSize="0" r:id="rId5">
            <anchor moveWithCells="1">
              <from>
                <xdr:col>2</xdr:col>
                <xdr:colOff>0</xdr:colOff>
                <xdr:row>9</xdr:row>
                <xdr:rowOff>0</xdr:rowOff>
              </from>
              <to>
                <xdr:col>3</xdr:col>
                <xdr:colOff>304800</xdr:colOff>
                <xdr:row>13</xdr:row>
                <xdr:rowOff>38100</xdr:rowOff>
              </to>
            </anchor>
          </objectPr>
        </oleObject>
      </mc:Choice>
      <mc:Fallback>
        <oleObject progId="Acrobat Document" dvAspect="DVASPECT_ICON" shapeId="5120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0" sqref="A40:H4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1650310</v>
      </c>
      <c r="C8" s="1837">
        <f>'Acct Summary 7-8'!D8</f>
        <v>185110</v>
      </c>
      <c r="D8" s="1837">
        <f>'Acct Summary 7-8'!F8</f>
        <v>139128</v>
      </c>
      <c r="E8" s="1837">
        <f>'Acct Summary 7-8'!I8</f>
        <v>9502</v>
      </c>
      <c r="F8" s="1837">
        <f>SUM(B8:E8)</f>
        <v>1984050</v>
      </c>
    </row>
    <row r="9" spans="1:8" s="1080" customFormat="1" ht="14.25" customHeight="1" thickBot="1" x14ac:dyDescent="0.25">
      <c r="A9" s="1079" t="s">
        <v>1436</v>
      </c>
      <c r="B9" s="1838">
        <f>'Acct Summary 7-8'!C17</f>
        <v>1658101</v>
      </c>
      <c r="C9" s="1838">
        <f>'Acct Summary 7-8'!D17</f>
        <v>192416</v>
      </c>
      <c r="D9" s="1838">
        <f>'Acct Summary 7-8'!F17</f>
        <v>93418</v>
      </c>
      <c r="E9" s="1837"/>
      <c r="F9" s="1837">
        <f>SUM(B9:E9)</f>
        <v>1943935</v>
      </c>
    </row>
    <row r="10" spans="1:8" s="1080" customFormat="1" ht="14.25" thickTop="1" thickBot="1" x14ac:dyDescent="0.25">
      <c r="A10" s="1081" t="s">
        <v>1437</v>
      </c>
      <c r="B10" s="1839">
        <f>(B8-B9)</f>
        <v>-7791</v>
      </c>
      <c r="C10" s="1839">
        <f>(C8-C9)</f>
        <v>-7306</v>
      </c>
      <c r="D10" s="1839">
        <f>(D8-D9)</f>
        <v>45710</v>
      </c>
      <c r="E10" s="1838">
        <f>(E8-E9)</f>
        <v>9502</v>
      </c>
      <c r="F10" s="1840">
        <f>SUM(F8-F9)</f>
        <v>40115</v>
      </c>
    </row>
    <row r="11" spans="1:8" s="1080" customFormat="1" ht="14.25" thickTop="1" thickBot="1" x14ac:dyDescent="0.25">
      <c r="A11" s="1082" t="s">
        <v>1785</v>
      </c>
      <c r="B11" s="1841">
        <f>'Acct Summary 7-8'!C81</f>
        <v>477727</v>
      </c>
      <c r="C11" s="1841">
        <f>'Acct Summary 7-8'!D81</f>
        <v>90354</v>
      </c>
      <c r="D11" s="1841">
        <f>'Acct Summary 7-8'!F81</f>
        <v>150039</v>
      </c>
      <c r="E11" s="1841">
        <f>'Acct Summary 7-8'!I81</f>
        <v>245147</v>
      </c>
      <c r="F11" s="1842">
        <f>SUM(B11:E11)</f>
        <v>963267</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9" colorId="8" zoomScale="110" zoomScaleNormal="110" workbookViewId="0">
      <selection activeCell="A40" sqref="A40:H4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21028115004</v>
      </c>
    </row>
    <row r="3" spans="1:2" x14ac:dyDescent="0.2">
      <c r="A3" t="s">
        <v>1013</v>
      </c>
      <c r="B3" s="138" t="str">
        <f>COVER!A15</f>
        <v>FRANKLIN</v>
      </c>
    </row>
    <row r="4" spans="1:2" x14ac:dyDescent="0.2">
      <c r="A4" t="s">
        <v>1064</v>
      </c>
      <c r="B4" s="138" t="str">
        <f>COVER!A17</f>
        <v>Ewing Northern CCSD 115</v>
      </c>
    </row>
    <row r="5" spans="1:2" x14ac:dyDescent="0.2">
      <c r="A5" t="s">
        <v>728</v>
      </c>
      <c r="B5" s="138" t="str">
        <f>COVER!A38</f>
        <v>KRISTIN ING</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477727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477727</v>
      </c>
      <c r="D92" s="2" t="str">
        <f t="shared" si="0"/>
        <v>Error?</v>
      </c>
    </row>
    <row r="93" spans="1:4" x14ac:dyDescent="0.2">
      <c r="A93" s="5">
        <v>32</v>
      </c>
      <c r="B93" s="138">
        <f>'Assets-Liab 5-6'!C41</f>
        <v>477727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90354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90354</v>
      </c>
      <c r="D123" s="2" t="str">
        <f t="shared" si="0"/>
        <v>Error?</v>
      </c>
    </row>
    <row r="124" spans="1:4" x14ac:dyDescent="0.2">
      <c r="A124" s="5">
        <v>63</v>
      </c>
      <c r="B124" s="138">
        <f>'Assets-Liab 5-6'!D41</f>
        <v>90354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51984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51984</v>
      </c>
      <c r="D140" s="2" t="str">
        <f t="shared" si="1"/>
        <v>Error?</v>
      </c>
    </row>
    <row r="141" spans="1:4" x14ac:dyDescent="0.2">
      <c r="A141" s="5">
        <v>80</v>
      </c>
      <c r="B141" s="138">
        <f>'Assets-Liab 5-6'!E41</f>
        <v>51984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150039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150039</v>
      </c>
      <c r="D170" s="2" t="str">
        <f t="shared" si="1"/>
        <v>Error?</v>
      </c>
    </row>
    <row r="171" spans="1:4" x14ac:dyDescent="0.2">
      <c r="A171" s="5">
        <v>110</v>
      </c>
      <c r="B171" s="138">
        <f>'Assets-Liab 5-6'!F41</f>
        <v>150039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80840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41170</v>
      </c>
      <c r="D189" s="2" t="str">
        <f t="shared" si="1"/>
        <v>Error?</v>
      </c>
    </row>
    <row r="190" spans="1:4" x14ac:dyDescent="0.2">
      <c r="A190" s="5">
        <v>129</v>
      </c>
      <c r="B190" s="138">
        <f>'Assets-Liab 5-6'!G41</f>
        <v>80840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40795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40795</v>
      </c>
      <c r="D212" s="2" t="str">
        <f t="shared" si="2"/>
        <v>Error?</v>
      </c>
    </row>
    <row r="213" spans="1:4" x14ac:dyDescent="0.2">
      <c r="A213" s="12">
        <v>152</v>
      </c>
      <c r="B213" s="138">
        <f>'Assets-Liab 5-6'!H41</f>
        <v>40795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16173</v>
      </c>
      <c r="D273" s="2" t="str">
        <f t="shared" si="3"/>
        <v>Error?</v>
      </c>
    </row>
    <row r="274" spans="1:4" x14ac:dyDescent="0.2">
      <c r="A274" s="5">
        <v>213</v>
      </c>
      <c r="B274" s="138">
        <f>'Assets-Liab 5-6'!M17</f>
        <v>2596732</v>
      </c>
      <c r="D274" s="2" t="str">
        <f t="shared" si="3"/>
        <v>Error?</v>
      </c>
    </row>
    <row r="275" spans="1:4" x14ac:dyDescent="0.2">
      <c r="A275" s="5">
        <v>214</v>
      </c>
      <c r="B275" s="138">
        <f>'Assets-Liab 5-6'!M18</f>
        <v>130531</v>
      </c>
      <c r="D275" s="2" t="str">
        <f t="shared" si="3"/>
        <v>Error?</v>
      </c>
    </row>
    <row r="276" spans="1:4" x14ac:dyDescent="0.2">
      <c r="A276" s="5">
        <v>215</v>
      </c>
      <c r="B276" s="138">
        <f>'Assets-Liab 5-6'!M19</f>
        <v>1244653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4004019</v>
      </c>
      <c r="C279" s="2" t="s">
        <v>594</v>
      </c>
      <c r="D279" s="2" t="str">
        <f t="shared" si="3"/>
        <v>Error?</v>
      </c>
    </row>
    <row r="280" spans="1:4" x14ac:dyDescent="0.2">
      <c r="A280" s="5">
        <v>219</v>
      </c>
      <c r="B280" s="138">
        <f>'Assets-Liab 5-6'!M40</f>
        <v>4004019</v>
      </c>
      <c r="D280" s="2" t="str">
        <f t="shared" si="3"/>
        <v>Error?</v>
      </c>
    </row>
    <row r="281" spans="1:4" x14ac:dyDescent="0.2">
      <c r="A281" s="5">
        <v>220</v>
      </c>
      <c r="B281" s="138">
        <f>'Assets-Liab 5-6'!M41</f>
        <v>4004019</v>
      </c>
      <c r="C281" s="2" t="s">
        <v>594</v>
      </c>
      <c r="D281" s="2" t="str">
        <f t="shared" si="3"/>
        <v>Error?</v>
      </c>
    </row>
    <row r="282" spans="1:4" x14ac:dyDescent="0.2">
      <c r="A282" s="5">
        <v>221</v>
      </c>
      <c r="B282" s="138">
        <f>'Assets-Liab 5-6'!N21</f>
        <v>51984</v>
      </c>
      <c r="D282" s="2" t="str">
        <f t="shared" si="3"/>
        <v>Error?</v>
      </c>
    </row>
    <row r="283" spans="1:4" x14ac:dyDescent="0.2">
      <c r="A283" s="5">
        <v>222</v>
      </c>
      <c r="B283" s="138">
        <f>'Assets-Liab 5-6'!N22</f>
        <v>193156</v>
      </c>
      <c r="D283" s="2" t="str">
        <f t="shared" si="3"/>
        <v>Error?</v>
      </c>
    </row>
    <row r="284" spans="1:4" x14ac:dyDescent="0.2">
      <c r="A284" s="5">
        <v>223</v>
      </c>
      <c r="B284" s="138">
        <f>'Assets-Liab 5-6'!N23</f>
        <v>245140</v>
      </c>
      <c r="C284" s="2" t="s">
        <v>594</v>
      </c>
      <c r="D284" s="2" t="str">
        <f t="shared" si="3"/>
        <v>Error?</v>
      </c>
    </row>
    <row r="285" spans="1:4" x14ac:dyDescent="0.2">
      <c r="A285" s="5">
        <v>224</v>
      </c>
      <c r="B285" s="138">
        <f>'Assets-Liab 5-6'!N36</f>
        <v>245140</v>
      </c>
      <c r="D285" s="2" t="str">
        <f t="shared" si="3"/>
        <v>Error?</v>
      </c>
    </row>
    <row r="286" spans="1:4" x14ac:dyDescent="0.2">
      <c r="A286" s="10">
        <v>225</v>
      </c>
      <c r="D286" s="2" t="str">
        <f t="shared" si="3"/>
        <v>OK</v>
      </c>
    </row>
    <row r="287" spans="1:4" x14ac:dyDescent="0.2">
      <c r="A287" s="5">
        <v>226</v>
      </c>
      <c r="B287" s="138">
        <f>'Assets-Liab 5-6'!N37</f>
        <v>245140</v>
      </c>
      <c r="C287" s="2" t="s">
        <v>594</v>
      </c>
      <c r="D287" s="2" t="str">
        <f t="shared" si="3"/>
        <v>Error?</v>
      </c>
    </row>
    <row r="288" spans="1:4" x14ac:dyDescent="0.2">
      <c r="A288" s="5">
        <v>227</v>
      </c>
      <c r="B288" s="138">
        <f>'Assets-Liab 5-6'!N41</f>
        <v>245140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727089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15594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968317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25357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5952</v>
      </c>
      <c r="D726" s="2" t="str">
        <f t="shared" si="10"/>
        <v>Error?</v>
      </c>
    </row>
    <row r="727" spans="1:4" x14ac:dyDescent="0.2">
      <c r="A727" s="5">
        <v>666</v>
      </c>
      <c r="B727" s="138">
        <f>'Expenditures 15-22'!C42</f>
        <v>31309</v>
      </c>
      <c r="C727" s="2" t="s">
        <v>594</v>
      </c>
      <c r="D727" s="2" t="str">
        <f t="shared" si="10"/>
        <v>Error?</v>
      </c>
    </row>
    <row r="728" spans="1:4" x14ac:dyDescent="0.2">
      <c r="A728" s="5">
        <v>667</v>
      </c>
      <c r="B728" s="138">
        <f>'Expenditures 15-22'!C44</f>
        <v>2700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2700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64783</v>
      </c>
      <c r="D733" s="2" t="str">
        <f t="shared" si="10"/>
        <v>Error?</v>
      </c>
    </row>
    <row r="734" spans="1:4" x14ac:dyDescent="0.2">
      <c r="A734" s="5">
        <v>673</v>
      </c>
      <c r="B734" s="138">
        <f>'Expenditures 15-22'!C53</f>
        <v>64783</v>
      </c>
      <c r="C734" s="2" t="s">
        <v>594</v>
      </c>
      <c r="D734" s="2" t="str">
        <f t="shared" si="10"/>
        <v>Error?</v>
      </c>
    </row>
    <row r="735" spans="1:4" x14ac:dyDescent="0.2">
      <c r="A735" s="5">
        <v>674</v>
      </c>
      <c r="B735" s="138">
        <f>'Expenditures 15-22'!C55</f>
        <v>22063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22063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53669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54882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108551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229406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1197723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152666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716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189153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675</v>
      </c>
      <c r="C785" s="2" t="s">
        <v>594</v>
      </c>
      <c r="D785" s="2" t="str">
        <f t="shared" si="11"/>
        <v>Error?</v>
      </c>
    </row>
    <row r="786" spans="1:4" x14ac:dyDescent="0.2">
      <c r="A786" s="5">
        <v>725</v>
      </c>
      <c r="B786" s="138">
        <f>'Expenditures 15-22'!D44</f>
        <v>1118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1118</v>
      </c>
      <c r="C789" s="2" t="s">
        <v>594</v>
      </c>
      <c r="D789" s="2" t="str">
        <f t="shared" si="11"/>
        <v>Error?</v>
      </c>
    </row>
    <row r="790" spans="1:4" x14ac:dyDescent="0.2">
      <c r="A790" s="5">
        <v>729</v>
      </c>
      <c r="B790" s="138">
        <f>'Expenditures 15-22'!D49</f>
        <v>300</v>
      </c>
      <c r="D790" s="2" t="str">
        <f t="shared" si="11"/>
        <v>Error?</v>
      </c>
    </row>
    <row r="791" spans="1:4" x14ac:dyDescent="0.2">
      <c r="A791" s="5">
        <v>730</v>
      </c>
      <c r="B791" s="138">
        <f>'Expenditures 15-22'!D50</f>
        <v>12638</v>
      </c>
      <c r="D791" s="2" t="str">
        <f t="shared" si="11"/>
        <v>Error?</v>
      </c>
    </row>
    <row r="792" spans="1:4" x14ac:dyDescent="0.2">
      <c r="A792" s="5">
        <v>731</v>
      </c>
      <c r="B792" s="138">
        <f>'Expenditures 15-22'!D53</f>
        <v>12938</v>
      </c>
      <c r="C792" s="2" t="s">
        <v>594</v>
      </c>
      <c r="D792" s="2" t="str">
        <f t="shared" si="11"/>
        <v>Error?</v>
      </c>
    </row>
    <row r="793" spans="1:4" x14ac:dyDescent="0.2">
      <c r="A793" s="5">
        <v>732</v>
      </c>
      <c r="B793" s="138">
        <f>'Expenditures 15-22'!D55</f>
        <v>4048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4048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1875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1350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3225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22004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211157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24820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8361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46261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7295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7295</v>
      </c>
      <c r="C847" s="2" t="s">
        <v>594</v>
      </c>
      <c r="D847" s="2" t="str">
        <f t="shared" si="12"/>
        <v>Error?</v>
      </c>
    </row>
    <row r="848" spans="1:4" x14ac:dyDescent="0.2">
      <c r="A848" s="5">
        <v>787</v>
      </c>
      <c r="B848" s="138">
        <f>'Expenditures 15-22'!E49</f>
        <v>11085</v>
      </c>
      <c r="D848" s="2" t="str">
        <f t="shared" si="12"/>
        <v>Error?</v>
      </c>
    </row>
    <row r="849" spans="1:4" x14ac:dyDescent="0.2">
      <c r="A849" s="5">
        <v>788</v>
      </c>
      <c r="B849" s="138">
        <f>'Expenditures 15-22'!E50</f>
        <v>1369</v>
      </c>
      <c r="D849" s="2" t="str">
        <f t="shared" si="12"/>
        <v>Error?</v>
      </c>
    </row>
    <row r="850" spans="1:4" x14ac:dyDescent="0.2">
      <c r="A850" s="5">
        <v>789</v>
      </c>
      <c r="B850" s="138">
        <f>'Expenditures 15-22'!E53</f>
        <v>12454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2937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961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3898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31352</v>
      </c>
      <c r="D867" s="2" t="str">
        <f t="shared" si="12"/>
        <v>Error?</v>
      </c>
    </row>
    <row r="868" spans="1:4" x14ac:dyDescent="0.2">
      <c r="A868" s="10">
        <v>807</v>
      </c>
      <c r="D868" s="2" t="str">
        <f t="shared" si="12"/>
        <v>OK</v>
      </c>
    </row>
    <row r="869" spans="1:4" x14ac:dyDescent="0.2">
      <c r="A869" s="5">
        <v>808</v>
      </c>
      <c r="B869" s="138">
        <f>'Expenditures 15-22'!E72</f>
        <v>31352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54999</v>
      </c>
      <c r="C871" s="2" t="s">
        <v>594</v>
      </c>
      <c r="D871" s="2" t="str">
        <f t="shared" si="12"/>
        <v>Error?</v>
      </c>
    </row>
    <row r="872" spans="1:4" x14ac:dyDescent="0.2">
      <c r="A872" s="5">
        <v>811</v>
      </c>
      <c r="B872" s="138">
        <f>'Expenditures 15-22'!E75</f>
        <v>2950</v>
      </c>
      <c r="D872" s="2" t="str">
        <f t="shared" si="12"/>
        <v>Error?</v>
      </c>
    </row>
    <row r="873" spans="1:4" x14ac:dyDescent="0.2">
      <c r="A873" s="5">
        <v>812</v>
      </c>
      <c r="B873" s="138">
        <f>'Expenditures 15-22'!E114</f>
        <v>128976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41802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3435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69919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116</v>
      </c>
      <c r="C901" s="2" t="s">
        <v>594</v>
      </c>
      <c r="D901" s="2" t="str">
        <f t="shared" si="13"/>
        <v>Error?</v>
      </c>
    </row>
    <row r="902" spans="1:4" x14ac:dyDescent="0.2">
      <c r="A902" s="5">
        <v>841</v>
      </c>
      <c r="B902" s="138">
        <f>'Expenditures 15-22'!F44</f>
        <v>2409</v>
      </c>
      <c r="D902" s="2" t="str">
        <f t="shared" si="13"/>
        <v>Error?</v>
      </c>
    </row>
    <row r="903" spans="1:4" x14ac:dyDescent="0.2">
      <c r="A903" s="5">
        <v>842</v>
      </c>
      <c r="B903" s="138">
        <f>'Expenditures 15-22'!F45</f>
        <v>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2415</v>
      </c>
      <c r="C905" s="2" t="s">
        <v>594</v>
      </c>
      <c r="D905" s="2" t="str">
        <f t="shared" si="13"/>
        <v>Error?</v>
      </c>
    </row>
    <row r="906" spans="1:4" x14ac:dyDescent="0.2">
      <c r="A906" s="5">
        <v>845</v>
      </c>
      <c r="B906" s="138">
        <f>'Expenditures 15-22'!F49</f>
        <v>1199</v>
      </c>
      <c r="D906" s="2" t="str">
        <f t="shared" si="13"/>
        <v>Error?</v>
      </c>
    </row>
    <row r="907" spans="1:4" x14ac:dyDescent="0.2">
      <c r="A907" s="5">
        <v>846</v>
      </c>
      <c r="B907" s="138">
        <f>'Expenditures 15-22'!F50</f>
        <v>122</v>
      </c>
      <c r="D907" s="2" t="str">
        <f t="shared" si="13"/>
        <v>Error?</v>
      </c>
    </row>
    <row r="908" spans="1:4" x14ac:dyDescent="0.2">
      <c r="A908" s="5">
        <v>847</v>
      </c>
      <c r="B908" s="138">
        <f>'Expenditures 15-22'!F53</f>
        <v>1321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1149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42889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44038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47890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117809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1783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618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618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618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2401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946412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28106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1275468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26148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5952</v>
      </c>
      <c r="C1114" s="2" t="s">
        <v>594</v>
      </c>
      <c r="D1114" s="2" t="str">
        <f t="shared" si="16"/>
        <v>Error?</v>
      </c>
    </row>
    <row r="1115" spans="1:4" x14ac:dyDescent="0.2">
      <c r="A1115" s="5">
        <v>1054</v>
      </c>
      <c r="B1115" s="138">
        <f>'Expenditures 15-22'!K42</f>
        <v>32100</v>
      </c>
      <c r="C1115" s="2" t="s">
        <v>594</v>
      </c>
      <c r="D1115" s="2" t="str">
        <f t="shared" si="16"/>
        <v>Error?</v>
      </c>
    </row>
    <row r="1116" spans="1:4" x14ac:dyDescent="0.2">
      <c r="A1116" s="5">
        <v>1055</v>
      </c>
      <c r="B1116" s="138">
        <f>'Expenditures 15-22'!K44</f>
        <v>13522</v>
      </c>
      <c r="C1116" s="2" t="s">
        <v>594</v>
      </c>
      <c r="D1116" s="2" t="str">
        <f t="shared" si="16"/>
        <v>Error?</v>
      </c>
    </row>
    <row r="1117" spans="1:4" x14ac:dyDescent="0.2">
      <c r="A1117" s="5">
        <v>1056</v>
      </c>
      <c r="B1117" s="138">
        <f>'Expenditures 15-22'!K45</f>
        <v>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13528</v>
      </c>
      <c r="C1119" s="2" t="s">
        <v>594</v>
      </c>
      <c r="D1119" s="2" t="str">
        <f t="shared" si="16"/>
        <v>Error?</v>
      </c>
    </row>
    <row r="1120" spans="1:4" x14ac:dyDescent="0.2">
      <c r="A1120" s="5">
        <v>1059</v>
      </c>
      <c r="B1120" s="138">
        <f>'Expenditures 15-22'!K49</f>
        <v>12584</v>
      </c>
      <c r="C1120" s="2" t="s">
        <v>594</v>
      </c>
      <c r="D1120" s="2" t="str">
        <f t="shared" si="16"/>
        <v>Error?</v>
      </c>
    </row>
    <row r="1121" spans="1:4" x14ac:dyDescent="0.2">
      <c r="A1121" s="5">
        <v>1060</v>
      </c>
      <c r="B1121" s="138">
        <f>'Expenditures 15-22'!K50</f>
        <v>78912</v>
      </c>
      <c r="C1121" s="2" t="s">
        <v>594</v>
      </c>
      <c r="D1121" s="2" t="str">
        <f t="shared" si="16"/>
        <v>Error?</v>
      </c>
    </row>
    <row r="1122" spans="1:4" x14ac:dyDescent="0.2">
      <c r="A1122" s="5">
        <v>1061</v>
      </c>
      <c r="B1122" s="138">
        <f>'Expenditures 15-22'!K53</f>
        <v>91496</v>
      </c>
      <c r="C1122" s="2" t="s">
        <v>594</v>
      </c>
      <c r="D1122" s="2" t="str">
        <f t="shared" si="16"/>
        <v>Error?</v>
      </c>
    </row>
    <row r="1123" spans="1:4" x14ac:dyDescent="0.2">
      <c r="A1123" s="5">
        <v>1062</v>
      </c>
      <c r="B1123" s="138">
        <f>'Expenditures 15-22'!K55</f>
        <v>26111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26111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59630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100700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160330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31352</v>
      </c>
      <c r="C1139" s="2" t="s">
        <v>594</v>
      </c>
      <c r="D1139" s="2" t="str">
        <f t="shared" si="16"/>
        <v>Error?</v>
      </c>
    </row>
    <row r="1140" spans="1:4" x14ac:dyDescent="0.2">
      <c r="A1140" s="10">
        <v>1079</v>
      </c>
      <c r="D1140" s="2" t="str">
        <f t="shared" si="16"/>
        <v>OK</v>
      </c>
    </row>
    <row r="1141" spans="1:4" x14ac:dyDescent="0.2">
      <c r="A1141" s="5">
        <v>1080</v>
      </c>
      <c r="B1141" s="138">
        <f>'Expenditures 15-22'!K72</f>
        <v>31352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354917</v>
      </c>
      <c r="C1143" s="2" t="s">
        <v>594</v>
      </c>
      <c r="D1143" s="2" t="str">
        <f t="shared" si="16"/>
        <v>Error?</v>
      </c>
    </row>
    <row r="1144" spans="1:4" x14ac:dyDescent="0.2">
      <c r="A1144" s="5">
        <v>1083</v>
      </c>
      <c r="B1144" s="138">
        <f>'Expenditures 15-22'!K75</f>
        <v>2950</v>
      </c>
      <c r="C1144" s="2" t="s">
        <v>594</v>
      </c>
      <c r="D1144" s="2" t="str">
        <f t="shared" si="16"/>
        <v>Error?</v>
      </c>
    </row>
    <row r="1145" spans="1:4" x14ac:dyDescent="0.2">
      <c r="A1145" s="5">
        <v>1084</v>
      </c>
      <c r="B1145" s="138">
        <f>'Expenditures 15-22'!K102</f>
        <v>24766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1658101</v>
      </c>
      <c r="C1152" s="2" t="s">
        <v>594</v>
      </c>
      <c r="D1152" s="2" t="str">
        <f t="shared" si="17"/>
        <v>Error?</v>
      </c>
    </row>
    <row r="1153" spans="1:4" x14ac:dyDescent="0.2">
      <c r="A1153" s="5">
        <v>1092</v>
      </c>
      <c r="B1153" s="138">
        <f>'Expenditures 15-22'!K115</f>
        <v>-7791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105231</v>
      </c>
      <c r="D1221" s="2" t="str">
        <f t="shared" si="18"/>
        <v>Error?</v>
      </c>
    </row>
    <row r="1222" spans="1:4" x14ac:dyDescent="0.2">
      <c r="A1222" s="10">
        <v>1161</v>
      </c>
      <c r="D1222" s="2" t="str">
        <f t="shared" si="18"/>
        <v>OK</v>
      </c>
    </row>
    <row r="1223" spans="1:4" x14ac:dyDescent="0.2">
      <c r="A1223" s="5">
        <v>1162</v>
      </c>
      <c r="B1223" s="138">
        <f>'Expenditures 15-22'!C127</f>
        <v>105231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105231</v>
      </c>
      <c r="C1225" s="2" t="s">
        <v>594</v>
      </c>
      <c r="D1225" s="2" t="str">
        <f t="shared" si="18"/>
        <v>Error?</v>
      </c>
    </row>
    <row r="1226" spans="1:4" x14ac:dyDescent="0.2">
      <c r="A1226" s="5">
        <v>1165</v>
      </c>
      <c r="B1226" s="138">
        <f>'Expenditures 15-22'!C151</f>
        <v>105231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3550</v>
      </c>
      <c r="D1229" s="2" t="str">
        <f t="shared" si="18"/>
        <v>Error?</v>
      </c>
    </row>
    <row r="1230" spans="1:4" x14ac:dyDescent="0.2">
      <c r="A1230" s="10">
        <v>1169</v>
      </c>
      <c r="D1230" s="2" t="str">
        <f t="shared" si="18"/>
        <v>OK</v>
      </c>
    </row>
    <row r="1231" spans="1:4" x14ac:dyDescent="0.2">
      <c r="A1231" s="5">
        <v>1170</v>
      </c>
      <c r="B1231" s="138">
        <f>'Expenditures 15-22'!D127</f>
        <v>3550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3550</v>
      </c>
      <c r="C1233" s="2" t="s">
        <v>594</v>
      </c>
      <c r="D1233" s="2" t="str">
        <f t="shared" si="18"/>
        <v>Error?</v>
      </c>
    </row>
    <row r="1234" spans="1:4" x14ac:dyDescent="0.2">
      <c r="A1234" s="5">
        <v>1173</v>
      </c>
      <c r="B1234" s="138">
        <f>'Expenditures 15-22'!D151</f>
        <v>3550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27060</v>
      </c>
      <c r="D1237" s="2" t="str">
        <f t="shared" si="18"/>
        <v>Error?</v>
      </c>
    </row>
    <row r="1238" spans="1:4" x14ac:dyDescent="0.2">
      <c r="A1238" s="10">
        <v>1177</v>
      </c>
      <c r="D1238" s="2" t="str">
        <f t="shared" si="18"/>
        <v>OK</v>
      </c>
    </row>
    <row r="1239" spans="1:4" x14ac:dyDescent="0.2">
      <c r="A1239" s="5">
        <v>1178</v>
      </c>
      <c r="B1239" s="138">
        <f>'Expenditures 15-22'!E127</f>
        <v>27060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27060</v>
      </c>
      <c r="C1241" s="2" t="s">
        <v>594</v>
      </c>
      <c r="D1241" s="2" t="str">
        <f t="shared" si="18"/>
        <v>Error?</v>
      </c>
    </row>
    <row r="1242" spans="1:4" x14ac:dyDescent="0.2">
      <c r="A1242" s="5">
        <v>1181</v>
      </c>
      <c r="B1242" s="138">
        <f>'Expenditures 15-22'!E151</f>
        <v>27060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45344</v>
      </c>
      <c r="D1245" s="2" t="str">
        <f t="shared" si="18"/>
        <v>Error?</v>
      </c>
    </row>
    <row r="1246" spans="1:4" x14ac:dyDescent="0.2">
      <c r="A1246" s="10">
        <v>1185</v>
      </c>
      <c r="D1246" s="2" t="str">
        <f t="shared" si="18"/>
        <v>OK</v>
      </c>
    </row>
    <row r="1247" spans="1:4" x14ac:dyDescent="0.2">
      <c r="A1247" s="5">
        <v>1186</v>
      </c>
      <c r="B1247" s="138">
        <f>'Expenditures 15-22'!F127</f>
        <v>45344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45344</v>
      </c>
      <c r="C1249" s="2" t="s">
        <v>594</v>
      </c>
      <c r="D1249" s="2" t="str">
        <f t="shared" si="18"/>
        <v>Error?</v>
      </c>
    </row>
    <row r="1250" spans="1:4" x14ac:dyDescent="0.2">
      <c r="A1250" s="5">
        <v>1189</v>
      </c>
      <c r="B1250" s="138">
        <f>'Expenditures 15-22'!F151</f>
        <v>45344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11231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11231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11231</v>
      </c>
      <c r="C1258" s="2" t="s">
        <v>594</v>
      </c>
      <c r="D1258" s="2" t="str">
        <f t="shared" si="18"/>
        <v>Error?</v>
      </c>
    </row>
    <row r="1259" spans="1:4" x14ac:dyDescent="0.2">
      <c r="A1259" s="5">
        <v>1198</v>
      </c>
      <c r="B1259" s="138">
        <f>'Expenditures 15-22'!G151</f>
        <v>11231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192416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192416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192416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192416</v>
      </c>
      <c r="C1288" s="2" t="s">
        <v>594</v>
      </c>
      <c r="D1288" s="2" t="str">
        <f t="shared" si="19"/>
        <v>Error?</v>
      </c>
    </row>
    <row r="1289" spans="1:4" x14ac:dyDescent="0.2">
      <c r="A1289" s="5">
        <v>1228</v>
      </c>
      <c r="B1289" s="138">
        <f>'Expenditures 15-22'!K152</f>
        <v>-7306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35020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35020</v>
      </c>
      <c r="C1317" s="2" t="s">
        <v>594</v>
      </c>
      <c r="D1317" s="2" t="str">
        <f t="shared" si="19"/>
        <v>Error?</v>
      </c>
    </row>
    <row r="1318" spans="1:4" x14ac:dyDescent="0.2">
      <c r="A1318" s="5">
        <v>1257</v>
      </c>
      <c r="B1318" s="138">
        <f>'Expenditures 15-22'!H174</f>
        <v>35020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35020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35020</v>
      </c>
      <c r="C1331" s="2" t="s">
        <v>594</v>
      </c>
      <c r="D1331" s="2" t="str">
        <f t="shared" si="19"/>
        <v>Error?</v>
      </c>
    </row>
    <row r="1332" spans="1:4" x14ac:dyDescent="0.2">
      <c r="A1332" s="5">
        <v>1271</v>
      </c>
      <c r="B1332" s="138">
        <f>'Expenditures 15-22'!K174</f>
        <v>35020</v>
      </c>
      <c r="C1332" s="2" t="s">
        <v>594</v>
      </c>
      <c r="D1332" s="2" t="str">
        <f t="shared" si="19"/>
        <v>Error?</v>
      </c>
    </row>
    <row r="1333" spans="1:4" x14ac:dyDescent="0.2">
      <c r="A1333" s="5">
        <v>1272</v>
      </c>
      <c r="B1333" s="138">
        <f>'Expenditures 15-22'!K175</f>
        <v>16918</v>
      </c>
      <c r="C1333" s="2" t="s">
        <v>594</v>
      </c>
      <c r="D1333" s="2" t="str">
        <f t="shared" si="19"/>
        <v>Error?</v>
      </c>
    </row>
    <row r="1334" spans="1:4" x14ac:dyDescent="0.2">
      <c r="A1334" s="10">
        <v>1273</v>
      </c>
      <c r="D1334" s="2" t="str">
        <f t="shared" si="19"/>
        <v>OK</v>
      </c>
    </row>
    <row r="1335" spans="1:4" x14ac:dyDescent="0.2">
      <c r="A1335" s="5">
        <v>1274</v>
      </c>
      <c r="B1335" s="138">
        <f>'Expenditures 15-22'!C182</f>
        <v>36421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36421</v>
      </c>
      <c r="C1339" s="2" t="s">
        <v>594</v>
      </c>
      <c r="D1339" s="2" t="str">
        <f t="shared" si="19"/>
        <v>Error?</v>
      </c>
    </row>
    <row r="1340" spans="1:4" x14ac:dyDescent="0.2">
      <c r="A1340" s="5">
        <v>1279</v>
      </c>
      <c r="B1340" s="138">
        <f>'Expenditures 15-22'!C210</f>
        <v>36421</v>
      </c>
      <c r="C1340" s="2" t="s">
        <v>594</v>
      </c>
      <c r="D1340" s="2" t="str">
        <f t="shared" si="19"/>
        <v>Error?</v>
      </c>
    </row>
    <row r="1341" spans="1:4" x14ac:dyDescent="0.2">
      <c r="A1341" s="5">
        <v>1280</v>
      </c>
      <c r="B1341" s="138">
        <f>'Expenditures 15-22'!D182</f>
        <v>931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931</v>
      </c>
      <c r="C1345" s="2" t="s">
        <v>594</v>
      </c>
      <c r="D1345" s="2" t="str">
        <f t="shared" si="20"/>
        <v>Error?</v>
      </c>
    </row>
    <row r="1346" spans="1:4" x14ac:dyDescent="0.2">
      <c r="A1346" s="5">
        <v>1285</v>
      </c>
      <c r="B1346" s="138">
        <f>'Expenditures 15-22'!D210</f>
        <v>931</v>
      </c>
      <c r="C1346" s="2" t="s">
        <v>594</v>
      </c>
      <c r="D1346" s="2" t="str">
        <f t="shared" si="20"/>
        <v>Error?</v>
      </c>
    </row>
    <row r="1347" spans="1:4" x14ac:dyDescent="0.2">
      <c r="A1347" s="5">
        <v>1286</v>
      </c>
      <c r="B1347" s="138">
        <f>'Expenditures 15-22'!E182</f>
        <v>40379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40379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40379</v>
      </c>
      <c r="C1353" s="2" t="s">
        <v>594</v>
      </c>
      <c r="D1353" s="2" t="str">
        <f t="shared" si="20"/>
        <v>Error?</v>
      </c>
    </row>
    <row r="1354" spans="1:4" x14ac:dyDescent="0.2">
      <c r="A1354" s="5">
        <v>1293</v>
      </c>
      <c r="B1354" s="138">
        <f>'Expenditures 15-22'!F182</f>
        <v>15687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15687</v>
      </c>
      <c r="C1358" s="2" t="s">
        <v>594</v>
      </c>
      <c r="D1358" s="2" t="str">
        <f t="shared" si="20"/>
        <v>Error?</v>
      </c>
    </row>
    <row r="1359" spans="1:4" x14ac:dyDescent="0.2">
      <c r="A1359" s="5">
        <v>1298</v>
      </c>
      <c r="B1359" s="138">
        <f>'Expenditures 15-22'!F210</f>
        <v>15687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93418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93418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93418</v>
      </c>
      <c r="C1388" s="2" t="s">
        <v>594</v>
      </c>
      <c r="D1388" s="2" t="str">
        <f t="shared" si="20"/>
        <v>Error?</v>
      </c>
    </row>
    <row r="1389" spans="1:4" x14ac:dyDescent="0.2">
      <c r="A1389" s="5">
        <v>1328</v>
      </c>
      <c r="B1389" s="138">
        <f>'Expenditures 15-22'!K211</f>
        <v>45710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1704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36833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4712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862</v>
      </c>
      <c r="D1416" s="2" t="str">
        <f t="shared" si="21"/>
        <v>Error?</v>
      </c>
    </row>
    <row r="1417" spans="1:4" x14ac:dyDescent="0.2">
      <c r="A1417" s="5">
        <v>1356</v>
      </c>
      <c r="B1417" s="138">
        <f>'Expenditures 15-22'!D238</f>
        <v>5574</v>
      </c>
      <c r="C1417" s="2" t="s">
        <v>594</v>
      </c>
      <c r="D1417" s="2" t="str">
        <f t="shared" si="21"/>
        <v>Error?</v>
      </c>
    </row>
    <row r="1418" spans="1:4" x14ac:dyDescent="0.2">
      <c r="A1418" s="5">
        <v>1357</v>
      </c>
      <c r="B1418" s="138">
        <f>'Expenditures 15-22'!D240</f>
        <v>86</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939</v>
      </c>
      <c r="D1423" s="2" t="str">
        <f t="shared" si="21"/>
        <v>Error?</v>
      </c>
    </row>
    <row r="1424" spans="1:4" x14ac:dyDescent="0.2">
      <c r="A1424" s="5">
        <v>1363</v>
      </c>
      <c r="B1424" s="138">
        <f>'Expenditures 15-22'!D257</f>
        <v>939</v>
      </c>
      <c r="C1424" s="2" t="s">
        <v>594</v>
      </c>
      <c r="D1424" s="2" t="str">
        <f t="shared" si="21"/>
        <v>Error?</v>
      </c>
    </row>
    <row r="1425" spans="1:4" x14ac:dyDescent="0.2">
      <c r="A1425" s="5">
        <v>1364</v>
      </c>
      <c r="B1425" s="138">
        <f>'Expenditures 15-22'!D259</f>
        <v>320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10143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20011</v>
      </c>
      <c r="D1431" s="2" t="str">
        <f t="shared" si="21"/>
        <v>Error?</v>
      </c>
    </row>
    <row r="1432" spans="1:4" x14ac:dyDescent="0.2">
      <c r="A1432" s="5">
        <v>1371</v>
      </c>
      <c r="B1432" s="138">
        <f>'Expenditures 15-22'!D267</f>
        <v>5936</v>
      </c>
      <c r="D1432" s="2" t="str">
        <f t="shared" si="21"/>
        <v>Error?</v>
      </c>
    </row>
    <row r="1433" spans="1:4" x14ac:dyDescent="0.2">
      <c r="A1433" s="5">
        <v>1372</v>
      </c>
      <c r="B1433" s="138">
        <f>'Expenditures 15-22'!D268</f>
        <v>9664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45754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52673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89506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1704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36833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4712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862</v>
      </c>
      <c r="C1480" s="2" t="s">
        <v>594</v>
      </c>
      <c r="D1480" s="2" t="str">
        <f t="shared" si="22"/>
        <v>Error?</v>
      </c>
    </row>
    <row r="1481" spans="1:4" x14ac:dyDescent="0.2">
      <c r="A1481" s="5">
        <v>1420</v>
      </c>
      <c r="B1481" s="138">
        <f>'Expenditures 15-22'!K238</f>
        <v>5574</v>
      </c>
      <c r="C1481" s="2" t="s">
        <v>594</v>
      </c>
      <c r="D1481" s="2" t="str">
        <f t="shared" si="22"/>
        <v>Error?</v>
      </c>
    </row>
    <row r="1482" spans="1:4" x14ac:dyDescent="0.2">
      <c r="A1482" s="5">
        <v>1421</v>
      </c>
      <c r="B1482" s="138">
        <f>'Expenditures 15-22'!K240</f>
        <v>86</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939</v>
      </c>
      <c r="C1487" s="2" t="s">
        <v>594</v>
      </c>
      <c r="D1487" s="2" t="str">
        <f t="shared" si="22"/>
        <v>Error?</v>
      </c>
    </row>
    <row r="1488" spans="1:4" x14ac:dyDescent="0.2">
      <c r="A1488" s="5">
        <v>1427</v>
      </c>
      <c r="B1488" s="138">
        <f>'Expenditures 15-22'!K257</f>
        <v>939</v>
      </c>
      <c r="C1488" s="2" t="s">
        <v>594</v>
      </c>
      <c r="D1488" s="2" t="str">
        <f t="shared" si="22"/>
        <v>Error?</v>
      </c>
    </row>
    <row r="1489" spans="1:4" x14ac:dyDescent="0.2">
      <c r="A1489" s="5">
        <v>1428</v>
      </c>
      <c r="B1489" s="138">
        <f>'Expenditures 15-22'!K259</f>
        <v>320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320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10143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20011</v>
      </c>
      <c r="C1495" s="2" t="s">
        <v>594</v>
      </c>
      <c r="D1495" s="2" t="str">
        <f t="shared" si="22"/>
        <v>Error?</v>
      </c>
    </row>
    <row r="1496" spans="1:4" x14ac:dyDescent="0.2">
      <c r="A1496" s="5">
        <v>1435</v>
      </c>
      <c r="B1496" s="138">
        <f>'Expenditures 15-22'!K267</f>
        <v>5936</v>
      </c>
      <c r="C1496" s="2" t="s">
        <v>594</v>
      </c>
      <c r="D1496" s="2" t="str">
        <f t="shared" si="22"/>
        <v>Error?</v>
      </c>
    </row>
    <row r="1497" spans="1:4" x14ac:dyDescent="0.2">
      <c r="A1497" s="5">
        <v>1436</v>
      </c>
      <c r="B1497" s="138">
        <f>'Expenditures 15-22'!K268</f>
        <v>9664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45754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52673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89506</v>
      </c>
      <c r="C1517" s="2" t="s">
        <v>594</v>
      </c>
      <c r="D1517" s="2" t="str">
        <f t="shared" si="22"/>
        <v>Error?</v>
      </c>
    </row>
    <row r="1518" spans="1:4" x14ac:dyDescent="0.2">
      <c r="A1518" s="5">
        <v>1457</v>
      </c>
      <c r="B1518" s="138">
        <f>'Expenditures 15-22'!K296</f>
        <v>3708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7016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7016</v>
      </c>
      <c r="C1535" s="2" t="s">
        <v>594</v>
      </c>
      <c r="D1535" s="2" t="str">
        <f t="shared" ref="D1535:D1598" si="23">IF(ISBLANK(B1535),"OK",IF(A1535-B1535=0,"OK","Error?"))</f>
        <v>Error?</v>
      </c>
    </row>
    <row r="1536" spans="1:4" x14ac:dyDescent="0.2">
      <c r="A1536" s="5">
        <v>1475</v>
      </c>
      <c r="B1536" s="138">
        <f>'Expenditures 15-22'!E312</f>
        <v>7016</v>
      </c>
      <c r="C1536" s="2" t="s">
        <v>594</v>
      </c>
      <c r="D1536" s="2" t="str">
        <f t="shared" si="23"/>
        <v>Error?</v>
      </c>
    </row>
    <row r="1537" spans="1:4" x14ac:dyDescent="0.2">
      <c r="A1537" s="5">
        <v>1476</v>
      </c>
      <c r="B1537" s="138">
        <f>'Expenditures 15-22'!F301</f>
        <v>144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144</v>
      </c>
      <c r="C1541" s="2" t="s">
        <v>594</v>
      </c>
      <c r="D1541" s="2" t="str">
        <f t="shared" si="23"/>
        <v>Error?</v>
      </c>
    </row>
    <row r="1542" spans="1:4" x14ac:dyDescent="0.2">
      <c r="A1542" s="5">
        <v>1481</v>
      </c>
      <c r="B1542" s="138">
        <f>'Expenditures 15-22'!F312</f>
        <v>144</v>
      </c>
      <c r="C1542" s="2" t="s">
        <v>594</v>
      </c>
      <c r="D1542" s="2" t="str">
        <f t="shared" si="23"/>
        <v>Error?</v>
      </c>
    </row>
    <row r="1543" spans="1:4" x14ac:dyDescent="0.2">
      <c r="A1543" s="5">
        <v>1482</v>
      </c>
      <c r="B1543" s="138">
        <f>'Expenditures 15-22'!G301</f>
        <v>16986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16986</v>
      </c>
      <c r="C1547" s="2" t="s">
        <v>594</v>
      </c>
      <c r="D1547" s="2" t="str">
        <f t="shared" si="23"/>
        <v>Error?</v>
      </c>
    </row>
    <row r="1548" spans="1:4" x14ac:dyDescent="0.2">
      <c r="A1548" s="5">
        <v>1487</v>
      </c>
      <c r="B1548" s="138">
        <f>'Expenditures 15-22'!G312</f>
        <v>16986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24146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24146</v>
      </c>
      <c r="C1559" s="2" t="s">
        <v>594</v>
      </c>
      <c r="D1559" s="2" t="str">
        <f t="shared" si="23"/>
        <v>Error?</v>
      </c>
    </row>
    <row r="1560" spans="1:4" x14ac:dyDescent="0.2">
      <c r="A1560" s="5">
        <v>1499</v>
      </c>
      <c r="B1560" s="138">
        <f>'Expenditures 15-22'!K312</f>
        <v>24146</v>
      </c>
      <c r="C1560" s="2" t="s">
        <v>594</v>
      </c>
      <c r="D1560" s="2" t="str">
        <f t="shared" si="23"/>
        <v>Error?</v>
      </c>
    </row>
    <row r="1561" spans="1:4" x14ac:dyDescent="0.2">
      <c r="A1561" s="5">
        <v>1500</v>
      </c>
      <c r="B1561" s="138">
        <f>'Expenditures 15-22'!K313</f>
        <v>8176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485518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477727</v>
      </c>
      <c r="C1630" s="2" t="s">
        <v>594</v>
      </c>
      <c r="D1630" s="2" t="str">
        <f t="shared" si="24"/>
        <v>Error?</v>
      </c>
    </row>
    <row r="1631" spans="1:4" x14ac:dyDescent="0.2">
      <c r="A1631" s="5">
        <v>1570</v>
      </c>
      <c r="B1631" s="138">
        <f>'Acct Summary 7-8'!D79</f>
        <v>97160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90354</v>
      </c>
      <c r="C1644" s="2" t="s">
        <v>594</v>
      </c>
      <c r="D1644" s="2" t="str">
        <f t="shared" si="24"/>
        <v>Error?</v>
      </c>
    </row>
    <row r="1645" spans="1:4" x14ac:dyDescent="0.2">
      <c r="A1645" s="5">
        <v>1584</v>
      </c>
      <c r="B1645" s="138">
        <f>'Acct Summary 7-8'!E79</f>
        <v>35066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51984</v>
      </c>
      <c r="C1658" s="2" t="s">
        <v>594</v>
      </c>
      <c r="D1658" s="2" t="str">
        <f t="shared" si="24"/>
        <v>Error?</v>
      </c>
    </row>
    <row r="1659" spans="1:4" x14ac:dyDescent="0.2">
      <c r="A1659" s="5">
        <v>1598</v>
      </c>
      <c r="B1659" s="138">
        <f>'Acct Summary 7-8'!F79</f>
        <v>104329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150039</v>
      </c>
      <c r="C1672" s="2" t="s">
        <v>594</v>
      </c>
      <c r="D1672" s="2" t="str">
        <f t="shared" si="25"/>
        <v>Error?</v>
      </c>
    </row>
    <row r="1673" spans="1:4" x14ac:dyDescent="0.2">
      <c r="A1673" s="5">
        <v>1612</v>
      </c>
      <c r="B1673" s="138">
        <f>'Acct Summary 7-8'!G79</f>
        <v>77132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80840</v>
      </c>
      <c r="C1686" s="2" t="s">
        <v>594</v>
      </c>
      <c r="D1686" s="2" t="str">
        <f t="shared" si="25"/>
        <v>Error?</v>
      </c>
    </row>
    <row r="1687" spans="1:4" x14ac:dyDescent="0.2">
      <c r="A1687" s="5">
        <v>1626</v>
      </c>
      <c r="B1687" s="138">
        <f>'Acct Summary 7-8'!H79</f>
        <v>17720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40795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417390</v>
      </c>
      <c r="C1744" s="2" t="s">
        <v>594</v>
      </c>
      <c r="D1744" s="2" t="str">
        <f t="shared" si="26"/>
        <v>Error?</v>
      </c>
    </row>
    <row r="1745" spans="1:5" x14ac:dyDescent="0.2">
      <c r="A1745" s="5">
        <v>1684</v>
      </c>
      <c r="B1745" s="138">
        <f>'Tax Sched 23'!B5</f>
        <v>108068</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38068</v>
      </c>
      <c r="C1747" s="2" t="s">
        <v>594</v>
      </c>
      <c r="D1747" s="2" t="str">
        <f t="shared" si="26"/>
        <v>Error?</v>
      </c>
    </row>
    <row r="1748" spans="1:5" x14ac:dyDescent="0.2">
      <c r="A1748" s="5">
        <v>1687</v>
      </c>
      <c r="B1748" s="138">
        <f>'Tax Sched 23'!B8</f>
        <v>43481</v>
      </c>
      <c r="C1748" s="2" t="s">
        <v>594</v>
      </c>
      <c r="D1748" s="2" t="str">
        <f t="shared" si="26"/>
        <v>Error?</v>
      </c>
    </row>
    <row r="1749" spans="1:5" x14ac:dyDescent="0.2">
      <c r="A1749" s="5">
        <v>1688</v>
      </c>
      <c r="B1749" s="138">
        <f>'Tax Sched 23'!B10</f>
        <v>8972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9648</v>
      </c>
      <c r="C1752" s="2" t="s">
        <v>594</v>
      </c>
      <c r="D1752" s="2" t="str">
        <f t="shared" si="26"/>
        <v>Error?</v>
      </c>
    </row>
    <row r="1753" spans="1:5" x14ac:dyDescent="0.2">
      <c r="A1753" s="5">
        <v>1692</v>
      </c>
      <c r="B1753" s="138">
        <f>'Tax Sched 23'!B12</f>
        <v>1201</v>
      </c>
      <c r="C1753" s="2" t="s">
        <v>594</v>
      </c>
      <c r="D1753" s="2" t="str">
        <f t="shared" si="26"/>
        <v>Error?</v>
      </c>
    </row>
    <row r="1754" spans="1:5" x14ac:dyDescent="0.2">
      <c r="A1754" s="5">
        <v>1693</v>
      </c>
      <c r="B1754" s="138">
        <f>'Tax Sched 23'!B14</f>
        <v>22788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693097</v>
      </c>
      <c r="C1759" s="2" t="s">
        <v>594</v>
      </c>
      <c r="D1759" s="2" t="str">
        <f t="shared" si="26"/>
        <v>Error?</v>
      </c>
    </row>
    <row r="1760" spans="1:5" x14ac:dyDescent="0.2">
      <c r="A1760" s="5">
        <v>1699</v>
      </c>
      <c r="B1760" s="138">
        <f>'Tax Sched 23'!D4</f>
        <v>417390</v>
      </c>
      <c r="C1760" s="2" t="s">
        <v>594</v>
      </c>
      <c r="D1760" s="2" t="str">
        <f t="shared" si="26"/>
        <v>Error?</v>
      </c>
    </row>
    <row r="1761" spans="1:5" x14ac:dyDescent="0.2">
      <c r="A1761" s="5">
        <v>1700</v>
      </c>
      <c r="B1761" s="138">
        <f>'Tax Sched 23'!D5</f>
        <v>108068</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38068</v>
      </c>
      <c r="C1763" s="2" t="s">
        <v>594</v>
      </c>
      <c r="D1763" s="2" t="str">
        <f t="shared" si="26"/>
        <v>Error?</v>
      </c>
    </row>
    <row r="1764" spans="1:5" x14ac:dyDescent="0.2">
      <c r="A1764" s="5">
        <v>1703</v>
      </c>
      <c r="B1764" s="138">
        <f>'Tax Sched 23'!D8</f>
        <v>43481</v>
      </c>
      <c r="C1764" s="2" t="s">
        <v>594</v>
      </c>
      <c r="D1764" s="2" t="str">
        <f t="shared" si="26"/>
        <v>Error?</v>
      </c>
    </row>
    <row r="1765" spans="1:5" x14ac:dyDescent="0.2">
      <c r="A1765" s="5">
        <v>1704</v>
      </c>
      <c r="B1765" s="138">
        <f>'Tax Sched 23'!D10</f>
        <v>8972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9648</v>
      </c>
      <c r="C1768" s="2" t="s">
        <v>594</v>
      </c>
      <c r="D1768" s="2" t="str">
        <f t="shared" si="26"/>
        <v>Error?</v>
      </c>
    </row>
    <row r="1769" spans="1:5" x14ac:dyDescent="0.2">
      <c r="A1769" s="5">
        <v>1708</v>
      </c>
      <c r="B1769" s="138">
        <f>'Tax Sched 23'!D12</f>
        <v>1201</v>
      </c>
      <c r="C1769" s="2" t="s">
        <v>594</v>
      </c>
      <c r="D1769" s="2" t="str">
        <f t="shared" si="26"/>
        <v>Error?</v>
      </c>
    </row>
    <row r="1770" spans="1:5" x14ac:dyDescent="0.2">
      <c r="A1770" s="5">
        <v>1709</v>
      </c>
      <c r="B1770" s="138">
        <f>'Tax Sched 23'!D14</f>
        <v>22788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693097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459814</v>
      </c>
      <c r="C1792" s="2" t="s">
        <v>594</v>
      </c>
      <c r="D1792" s="2" t="str">
        <f t="shared" si="27"/>
        <v>Error?</v>
      </c>
    </row>
    <row r="1793" spans="1:4" x14ac:dyDescent="0.2">
      <c r="A1793" s="5">
        <v>1732</v>
      </c>
      <c r="B1793" s="138">
        <f>'Tax Sched 23'!F5</f>
        <v>116217</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40186</v>
      </c>
      <c r="C1795" s="2" t="s">
        <v>594</v>
      </c>
      <c r="D1795" s="2" t="str">
        <f t="shared" si="27"/>
        <v>Error?</v>
      </c>
    </row>
    <row r="1796" spans="1:4" x14ac:dyDescent="0.2">
      <c r="A1796" s="5">
        <v>1735</v>
      </c>
      <c r="B1796" s="138">
        <f>'Tax Sched 23'!F8</f>
        <v>36340</v>
      </c>
      <c r="C1796" s="2" t="s">
        <v>594</v>
      </c>
      <c r="D1796" s="2" t="str">
        <f t="shared" si="27"/>
        <v>Error?</v>
      </c>
    </row>
    <row r="1797" spans="1:4" x14ac:dyDescent="0.2">
      <c r="A1797" s="5">
        <v>1736</v>
      </c>
      <c r="B1797" s="138">
        <f>'Tax Sched 23'!F10</f>
        <v>9037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13348</v>
      </c>
      <c r="C1800" s="2" t="s">
        <v>594</v>
      </c>
      <c r="D1800" s="2" t="str">
        <f t="shared" si="27"/>
        <v>Error?</v>
      </c>
    </row>
    <row r="1801" spans="1:4" x14ac:dyDescent="0.2">
      <c r="A1801" s="5">
        <v>1740</v>
      </c>
      <c r="B1801" s="138">
        <f>'Tax Sched 23'!F12</f>
        <v>1336</v>
      </c>
      <c r="C1801" s="2" t="s">
        <v>594</v>
      </c>
      <c r="D1801" s="2" t="str">
        <f t="shared" si="27"/>
        <v>Error?</v>
      </c>
    </row>
    <row r="1802" spans="1:4" x14ac:dyDescent="0.2">
      <c r="A1802" s="5">
        <v>1741</v>
      </c>
      <c r="B1802" s="138">
        <f>'Tax Sched 23'!F14</f>
        <v>25110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737728</v>
      </c>
      <c r="C1807" s="2" t="s">
        <v>594</v>
      </c>
      <c r="D1807" s="2" t="str">
        <f t="shared" si="27"/>
        <v>Error?</v>
      </c>
    </row>
    <row r="1808" spans="1:4" x14ac:dyDescent="0.2">
      <c r="A1808" s="5">
        <v>1747</v>
      </c>
      <c r="B1808" s="138">
        <f>'Tax Sched 23'!E4</f>
        <v>459814</v>
      </c>
      <c r="D1808" s="2" t="str">
        <f t="shared" si="27"/>
        <v>Error?</v>
      </c>
    </row>
    <row r="1809" spans="1:4" x14ac:dyDescent="0.2">
      <c r="A1809" s="5">
        <v>1748</v>
      </c>
      <c r="B1809" s="138">
        <f>'Tax Sched 23'!E5</f>
        <v>116217</v>
      </c>
      <c r="D1809" s="2" t="str">
        <f t="shared" si="27"/>
        <v>Error?</v>
      </c>
    </row>
    <row r="1810" spans="1:4" x14ac:dyDescent="0.2">
      <c r="A1810" s="5">
        <v>1749</v>
      </c>
      <c r="B1810" s="138">
        <f>'Tax Sched 23'!E6</f>
        <v>0</v>
      </c>
      <c r="D1810" s="2" t="str">
        <f t="shared" si="27"/>
        <v>Error?</v>
      </c>
    </row>
    <row r="1811" spans="1:4" x14ac:dyDescent="0.2">
      <c r="A1811" s="5">
        <v>1750</v>
      </c>
      <c r="B1811" s="138">
        <f>'Tax Sched 23'!E7</f>
        <v>40186</v>
      </c>
      <c r="D1811" s="2" t="str">
        <f t="shared" si="27"/>
        <v>Error?</v>
      </c>
    </row>
    <row r="1812" spans="1:4" x14ac:dyDescent="0.2">
      <c r="A1812" s="5">
        <v>1751</v>
      </c>
      <c r="B1812" s="138">
        <f>'Tax Sched 23'!E8</f>
        <v>36340</v>
      </c>
      <c r="D1812" s="2" t="str">
        <f t="shared" si="27"/>
        <v>Error?</v>
      </c>
    </row>
    <row r="1813" spans="1:4" x14ac:dyDescent="0.2">
      <c r="A1813" s="5">
        <v>1752</v>
      </c>
      <c r="B1813" s="138">
        <f>'Tax Sched 23'!E10</f>
        <v>9037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13348</v>
      </c>
      <c r="D1816" s="2" t="str">
        <f t="shared" si="27"/>
        <v>Error?</v>
      </c>
    </row>
    <row r="1817" spans="1:4" x14ac:dyDescent="0.2">
      <c r="A1817" s="5">
        <v>1756</v>
      </c>
      <c r="B1817" s="138">
        <f>'Tax Sched 23'!E12</f>
        <v>1336</v>
      </c>
      <c r="D1817" s="2" t="str">
        <f t="shared" si="27"/>
        <v>Error?</v>
      </c>
    </row>
    <row r="1818" spans="1:4" x14ac:dyDescent="0.2">
      <c r="A1818" s="5">
        <v>1757</v>
      </c>
      <c r="B1818" s="138">
        <f>'Tax Sched 23'!E14</f>
        <v>25110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737728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280160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22788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100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22888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22888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16173</v>
      </c>
      <c r="D2008" s="2" t="str">
        <f t="shared" si="30"/>
        <v>Error?</v>
      </c>
    </row>
    <row r="2009" spans="1:4" x14ac:dyDescent="0.2">
      <c r="A2009" s="5">
        <v>1948</v>
      </c>
      <c r="B2009" s="138">
        <f>'Cap Outlay Deprec 26'!C8</f>
        <v>2586265</v>
      </c>
      <c r="D2009" s="2" t="str">
        <f t="shared" si="30"/>
        <v>Error?</v>
      </c>
    </row>
    <row r="2010" spans="1:4" x14ac:dyDescent="0.2">
      <c r="A2010" s="5">
        <v>1949</v>
      </c>
      <c r="B2010" s="138">
        <f>'Cap Outlay Deprec 26'!C10</f>
        <v>130531</v>
      </c>
      <c r="D2010" s="2" t="str">
        <f t="shared" si="30"/>
        <v>Error?</v>
      </c>
    </row>
    <row r="2011" spans="1:4" x14ac:dyDescent="0.2">
      <c r="A2011" s="5">
        <v>1950</v>
      </c>
      <c r="B2011" s="138">
        <f>'Cap Outlay Deprec 26'!C12</f>
        <v>1209104</v>
      </c>
      <c r="D2011" s="2" t="str">
        <f t="shared" si="30"/>
        <v>Error?</v>
      </c>
    </row>
    <row r="2012" spans="1:4" x14ac:dyDescent="0.2">
      <c r="A2012" s="5">
        <v>1951</v>
      </c>
      <c r="B2012" s="138">
        <f>'Cap Outlay Deprec 26'!C13</f>
        <v>15804</v>
      </c>
      <c r="D2012" s="2" t="str">
        <f t="shared" si="30"/>
        <v>Error?</v>
      </c>
    </row>
    <row r="2013" spans="1:4" x14ac:dyDescent="0.2">
      <c r="A2013" s="5">
        <v>1952</v>
      </c>
      <c r="B2013" s="138">
        <f>'Cap Outlay Deprec 26'!C16</f>
        <v>3957877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10467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19745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46142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16173</v>
      </c>
      <c r="C2026" s="2" t="s">
        <v>594</v>
      </c>
      <c r="D2026" s="2" t="str">
        <f t="shared" si="30"/>
        <v>Error?</v>
      </c>
    </row>
    <row r="2027" spans="1:4" x14ac:dyDescent="0.2">
      <c r="A2027" s="5">
        <v>1966</v>
      </c>
      <c r="B2027" s="138">
        <f>'Cap Outlay Deprec 26'!F8</f>
        <v>2596732</v>
      </c>
      <c r="C2027" s="2" t="s">
        <v>594</v>
      </c>
      <c r="D2027" s="2" t="str">
        <f t="shared" si="30"/>
        <v>Error?</v>
      </c>
    </row>
    <row r="2028" spans="1:4" x14ac:dyDescent="0.2">
      <c r="A2028" s="5">
        <v>1967</v>
      </c>
      <c r="B2028" s="138">
        <f>'Cap Outlay Deprec 26'!F10</f>
        <v>130531</v>
      </c>
      <c r="C2028" s="2" t="s">
        <v>594</v>
      </c>
      <c r="D2028" s="2" t="str">
        <f t="shared" si="30"/>
        <v>Error?</v>
      </c>
    </row>
    <row r="2029" spans="1:4" x14ac:dyDescent="0.2">
      <c r="A2029" s="5">
        <v>1968</v>
      </c>
      <c r="B2029" s="138">
        <f>'Cap Outlay Deprec 26'!F12</f>
        <v>1228849</v>
      </c>
      <c r="C2029" s="2" t="s">
        <v>594</v>
      </c>
      <c r="D2029" s="2" t="str">
        <f t="shared" si="30"/>
        <v>Error?</v>
      </c>
    </row>
    <row r="2030" spans="1:4" x14ac:dyDescent="0.2">
      <c r="A2030" s="5">
        <v>1969</v>
      </c>
      <c r="B2030" s="138">
        <f>'Cap Outlay Deprec 26'!F13</f>
        <v>15804</v>
      </c>
      <c r="C2030" s="2" t="s">
        <v>594</v>
      </c>
      <c r="D2030" s="2" t="str">
        <f t="shared" si="30"/>
        <v>Error?</v>
      </c>
    </row>
    <row r="2031" spans="1:4" x14ac:dyDescent="0.2">
      <c r="A2031" s="5">
        <v>1970</v>
      </c>
      <c r="B2031" s="138">
        <f>'Cap Outlay Deprec 26'!F16</f>
        <v>4004019</v>
      </c>
      <c r="C2031" s="2" t="s">
        <v>594</v>
      </c>
      <c r="D2031" s="2" t="str">
        <f t="shared" si="30"/>
        <v>Error?</v>
      </c>
    </row>
    <row r="2032" spans="1:4" x14ac:dyDescent="0.2">
      <c r="A2032" s="10">
        <v>1971</v>
      </c>
      <c r="D2032" s="2" t="str">
        <f t="shared" si="30"/>
        <v>OK</v>
      </c>
    </row>
    <row r="2033" spans="1:4" x14ac:dyDescent="0.2">
      <c r="A2033" s="5">
        <v>1972</v>
      </c>
      <c r="B2033" s="138">
        <f>'Cap Outlay Deprec 26'!H8</f>
        <v>886316</v>
      </c>
      <c r="D2033" s="2" t="str">
        <f t="shared" si="30"/>
        <v>Error?</v>
      </c>
    </row>
    <row r="2034" spans="1:4" x14ac:dyDescent="0.2">
      <c r="A2034" s="5">
        <v>1973</v>
      </c>
      <c r="B2034" s="138">
        <f>'Cap Outlay Deprec 26'!H10</f>
        <v>74250</v>
      </c>
      <c r="D2034" s="2" t="str">
        <f t="shared" si="30"/>
        <v>Error?</v>
      </c>
    </row>
    <row r="2035" spans="1:4" x14ac:dyDescent="0.2">
      <c r="A2035" s="5">
        <v>1974</v>
      </c>
      <c r="B2035" s="138">
        <f>'Cap Outlay Deprec 26'!H12</f>
        <v>1024800</v>
      </c>
      <c r="D2035" s="2" t="str">
        <f t="shared" si="30"/>
        <v>Error?</v>
      </c>
    </row>
    <row r="2036" spans="1:4" x14ac:dyDescent="0.2">
      <c r="A2036" s="5">
        <v>1975</v>
      </c>
      <c r="B2036" s="138">
        <f>'Cap Outlay Deprec 26'!H13</f>
        <v>15804</v>
      </c>
      <c r="D2036" s="2" t="str">
        <f t="shared" si="30"/>
        <v>Error?</v>
      </c>
    </row>
    <row r="2037" spans="1:4" x14ac:dyDescent="0.2">
      <c r="A2037" s="5">
        <v>1976</v>
      </c>
      <c r="B2037" s="138">
        <f>'Cap Outlay Deprec 26'!H16</f>
        <v>2001170</v>
      </c>
      <c r="C2037" s="2" t="s">
        <v>594</v>
      </c>
      <c r="D2037" s="2" t="str">
        <f t="shared" si="30"/>
        <v>Error?</v>
      </c>
    </row>
    <row r="2038" spans="1:4" x14ac:dyDescent="0.2">
      <c r="A2038" s="10">
        <v>1977</v>
      </c>
      <c r="D2038" s="2" t="str">
        <f t="shared" si="30"/>
        <v>OK</v>
      </c>
    </row>
    <row r="2039" spans="1:4" x14ac:dyDescent="0.2">
      <c r="A2039" s="5">
        <v>1978</v>
      </c>
      <c r="B2039" s="138">
        <f>'Cap Outlay Deprec 26'!I8</f>
        <v>53204</v>
      </c>
      <c r="D2039" s="2" t="str">
        <f t="shared" si="30"/>
        <v>Error?</v>
      </c>
    </row>
    <row r="2040" spans="1:4" x14ac:dyDescent="0.2">
      <c r="A2040" s="5">
        <v>1979</v>
      </c>
      <c r="B2040" s="138">
        <f>'Cap Outlay Deprec 26'!I10</f>
        <v>6527</v>
      </c>
      <c r="D2040" s="2" t="str">
        <f t="shared" si="30"/>
        <v>Error?</v>
      </c>
    </row>
    <row r="2041" spans="1:4" x14ac:dyDescent="0.2">
      <c r="A2041" s="5">
        <v>1980</v>
      </c>
      <c r="B2041" s="138">
        <f>'Cap Outlay Deprec 26'!I12</f>
        <v>28235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87966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939520</v>
      </c>
      <c r="C2051" s="2" t="s">
        <v>594</v>
      </c>
      <c r="D2051" s="2" t="str">
        <f t="shared" si="31"/>
        <v>Error?</v>
      </c>
    </row>
    <row r="2052" spans="1:4" x14ac:dyDescent="0.2">
      <c r="A2052" s="5">
        <v>1991</v>
      </c>
      <c r="B2052" s="138">
        <f>'Cap Outlay Deprec 26'!K10</f>
        <v>80777</v>
      </c>
      <c r="C2052" s="2" t="s">
        <v>594</v>
      </c>
      <c r="D2052" s="2" t="str">
        <f t="shared" si="31"/>
        <v>Error?</v>
      </c>
    </row>
    <row r="2053" spans="1:4" x14ac:dyDescent="0.2">
      <c r="A2053" s="5">
        <v>1992</v>
      </c>
      <c r="B2053" s="138">
        <f>'Cap Outlay Deprec 26'!K12</f>
        <v>1053035</v>
      </c>
      <c r="C2053" s="2" t="s">
        <v>594</v>
      </c>
      <c r="D2053" s="2" t="str">
        <f t="shared" si="31"/>
        <v>Error?</v>
      </c>
    </row>
    <row r="2054" spans="1:4" x14ac:dyDescent="0.2">
      <c r="A2054" s="5">
        <v>1993</v>
      </c>
      <c r="B2054" s="138">
        <f>'Cap Outlay Deprec 26'!K13</f>
        <v>15804</v>
      </c>
      <c r="C2054" s="2" t="s">
        <v>594</v>
      </c>
      <c r="D2054" s="2" t="str">
        <f t="shared" si="31"/>
        <v>Error?</v>
      </c>
    </row>
    <row r="2055" spans="1:4" x14ac:dyDescent="0.2">
      <c r="A2055" s="5">
        <v>1994</v>
      </c>
      <c r="B2055" s="138">
        <f>'Cap Outlay Deprec 26'!K16</f>
        <v>2089136</v>
      </c>
      <c r="C2055" s="2" t="s">
        <v>594</v>
      </c>
      <c r="D2055" s="2" t="str">
        <f t="shared" si="31"/>
        <v>Error?</v>
      </c>
    </row>
    <row r="2056" spans="1:4" x14ac:dyDescent="0.2">
      <c r="A2056" s="5">
        <v>1995</v>
      </c>
      <c r="B2056" s="138">
        <f>'Cap Outlay Deprec 26'!L5</f>
        <v>16173</v>
      </c>
      <c r="C2056" s="2" t="s">
        <v>594</v>
      </c>
      <c r="D2056" s="2" t="str">
        <f t="shared" si="31"/>
        <v>Error?</v>
      </c>
    </row>
    <row r="2057" spans="1:4" x14ac:dyDescent="0.2">
      <c r="A2057" s="5">
        <v>1996</v>
      </c>
      <c r="B2057" s="138">
        <f>'Cap Outlay Deprec 26'!L8</f>
        <v>1657212</v>
      </c>
      <c r="C2057" s="2" t="s">
        <v>594</v>
      </c>
      <c r="D2057" s="2" t="str">
        <f t="shared" si="31"/>
        <v>Error?</v>
      </c>
    </row>
    <row r="2058" spans="1:4" x14ac:dyDescent="0.2">
      <c r="A2058" s="5">
        <v>1997</v>
      </c>
      <c r="B2058" s="138">
        <f>'Cap Outlay Deprec 26'!L10</f>
        <v>49754</v>
      </c>
      <c r="C2058" s="2" t="s">
        <v>594</v>
      </c>
      <c r="D2058" s="2" t="str">
        <f t="shared" si="31"/>
        <v>Error?</v>
      </c>
    </row>
    <row r="2059" spans="1:4" x14ac:dyDescent="0.2">
      <c r="A2059" s="5">
        <v>1998</v>
      </c>
      <c r="B2059" s="138">
        <f>'Cap Outlay Deprec 26'!L12</f>
        <v>175814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1914883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24766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39670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546583</v>
      </c>
      <c r="C2551" s="2" t="s">
        <v>594</v>
      </c>
      <c r="D2551" s="2" t="str">
        <f t="shared" si="38"/>
        <v>Error?</v>
      </c>
    </row>
    <row r="2552" spans="1:4" x14ac:dyDescent="0.2">
      <c r="A2552" s="10">
        <v>2491</v>
      </c>
      <c r="D2552" s="2" t="str">
        <f t="shared" si="38"/>
        <v>OK</v>
      </c>
    </row>
    <row r="2553" spans="1:4" x14ac:dyDescent="0.2">
      <c r="A2553" s="5">
        <v>2492</v>
      </c>
      <c r="B2553" s="138">
        <f>'Acct Summary 7-8'!C6</f>
        <v>892906</v>
      </c>
      <c r="C2553" s="2" t="s">
        <v>594</v>
      </c>
      <c r="D2553" s="2" t="str">
        <f t="shared" si="38"/>
        <v>Error?</v>
      </c>
    </row>
    <row r="2554" spans="1:4" x14ac:dyDescent="0.2">
      <c r="A2554" s="5">
        <v>2493</v>
      </c>
      <c r="B2554" s="138">
        <f>'Acct Summary 7-8'!C7</f>
        <v>210821</v>
      </c>
      <c r="C2554" s="2" t="s">
        <v>594</v>
      </c>
      <c r="D2554" s="2" t="str">
        <f t="shared" si="38"/>
        <v>Error?</v>
      </c>
    </row>
    <row r="2555" spans="1:4" x14ac:dyDescent="0.2">
      <c r="A2555" s="5">
        <v>2494</v>
      </c>
      <c r="B2555" s="138">
        <f>'Acct Summary 7-8'!C8</f>
        <v>1650310</v>
      </c>
      <c r="C2555" s="2" t="s">
        <v>594</v>
      </c>
      <c r="D2555" s="2" t="str">
        <f t="shared" si="38"/>
        <v>Error?</v>
      </c>
    </row>
    <row r="2556" spans="1:4" x14ac:dyDescent="0.2">
      <c r="A2556" s="5">
        <v>2495</v>
      </c>
      <c r="B2556" s="138">
        <f>'Acct Summary 7-8'!C12</f>
        <v>1275468</v>
      </c>
      <c r="C2556" s="2" t="s">
        <v>594</v>
      </c>
      <c r="D2556" s="2" t="str">
        <f t="shared" si="38"/>
        <v>Error?</v>
      </c>
    </row>
    <row r="2557" spans="1:4" x14ac:dyDescent="0.2">
      <c r="A2557" s="5">
        <v>2496</v>
      </c>
      <c r="B2557" s="138">
        <f>'Acct Summary 7-8'!C13</f>
        <v>354917</v>
      </c>
      <c r="C2557" s="2" t="s">
        <v>594</v>
      </c>
      <c r="D2557" s="2" t="str">
        <f t="shared" si="38"/>
        <v>Error?</v>
      </c>
    </row>
    <row r="2558" spans="1:4" x14ac:dyDescent="0.2">
      <c r="A2558" s="5">
        <v>2497</v>
      </c>
      <c r="B2558" s="138">
        <f>'Acct Summary 7-8'!C14</f>
        <v>2950</v>
      </c>
      <c r="C2558" s="2" t="s">
        <v>594</v>
      </c>
      <c r="D2558" s="2" t="str">
        <f t="shared" si="38"/>
        <v>Error?</v>
      </c>
    </row>
    <row r="2559" spans="1:4" x14ac:dyDescent="0.2">
      <c r="A2559" s="5">
        <v>2498</v>
      </c>
      <c r="B2559" s="138">
        <f>'Acct Summary 7-8'!C15</f>
        <v>24766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1658101</v>
      </c>
      <c r="C2561" s="2" t="s">
        <v>594</v>
      </c>
      <c r="D2561" s="2" t="str">
        <f t="shared" si="39"/>
        <v>Error?</v>
      </c>
    </row>
    <row r="2562" spans="1:4" x14ac:dyDescent="0.2">
      <c r="A2562" s="5">
        <v>2501</v>
      </c>
      <c r="B2562" s="138">
        <f>'Acct Summary 7-8'!C20</f>
        <v>-7791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114753</v>
      </c>
      <c r="C2564" s="2" t="s">
        <v>594</v>
      </c>
      <c r="D2564" s="2" t="str">
        <f t="shared" si="39"/>
        <v>Error?</v>
      </c>
    </row>
    <row r="2565" spans="1:4" x14ac:dyDescent="0.2">
      <c r="A2565" s="10">
        <v>2504</v>
      </c>
      <c r="D2565" s="2" t="str">
        <f t="shared" si="39"/>
        <v>OK</v>
      </c>
    </row>
    <row r="2566" spans="1:4" x14ac:dyDescent="0.2">
      <c r="A2566" s="5">
        <v>2505</v>
      </c>
      <c r="B2566" s="138">
        <f>'Acct Summary 7-8'!D6</f>
        <v>50357</v>
      </c>
      <c r="C2566" s="2" t="s">
        <v>594</v>
      </c>
      <c r="D2566" s="2" t="str">
        <f t="shared" si="39"/>
        <v>Error?</v>
      </c>
    </row>
    <row r="2567" spans="1:4" x14ac:dyDescent="0.2">
      <c r="A2567" s="5">
        <v>2506</v>
      </c>
      <c r="B2567" s="138">
        <f>'Acct Summary 7-8'!D7</f>
        <v>20000</v>
      </c>
      <c r="C2567" s="2" t="s">
        <v>594</v>
      </c>
      <c r="D2567" s="2" t="str">
        <f t="shared" si="39"/>
        <v>Error?</v>
      </c>
    </row>
    <row r="2568" spans="1:4" x14ac:dyDescent="0.2">
      <c r="A2568" s="5">
        <v>2507</v>
      </c>
      <c r="B2568" s="138">
        <f>'Acct Summary 7-8'!D8</f>
        <v>185110</v>
      </c>
      <c r="C2568" s="2" t="s">
        <v>594</v>
      </c>
      <c r="D2568" s="2" t="str">
        <f t="shared" si="39"/>
        <v>Error?</v>
      </c>
    </row>
    <row r="2569" spans="1:4" x14ac:dyDescent="0.2">
      <c r="A2569" s="5">
        <v>2508</v>
      </c>
      <c r="B2569" s="138">
        <f>'Acct Summary 7-8'!D13</f>
        <v>192416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192416</v>
      </c>
      <c r="C2573" s="2" t="s">
        <v>594</v>
      </c>
      <c r="D2573" s="2" t="str">
        <f t="shared" si="39"/>
        <v>Error?</v>
      </c>
    </row>
    <row r="2574" spans="1:4" x14ac:dyDescent="0.2">
      <c r="A2574" s="5">
        <v>2513</v>
      </c>
      <c r="B2574" s="138">
        <f>'Acct Summary 7-8'!D20</f>
        <v>-7306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38457</v>
      </c>
      <c r="C2591" s="2" t="s">
        <v>594</v>
      </c>
      <c r="D2591" s="2" t="str">
        <f t="shared" si="39"/>
        <v>Error?</v>
      </c>
    </row>
    <row r="2592" spans="1:4" x14ac:dyDescent="0.2">
      <c r="A2592" s="10">
        <v>2531</v>
      </c>
      <c r="D2592" s="2" t="str">
        <f t="shared" si="39"/>
        <v>OK</v>
      </c>
    </row>
    <row r="2593" spans="1:4" x14ac:dyDescent="0.2">
      <c r="A2593" s="5">
        <v>2532</v>
      </c>
      <c r="B2593" s="138">
        <f>'Acct Summary 7-8'!F6</f>
        <v>100671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139128</v>
      </c>
      <c r="C2595" s="2" t="s">
        <v>594</v>
      </c>
      <c r="D2595" s="2" t="str">
        <f t="shared" si="39"/>
        <v>Error?</v>
      </c>
    </row>
    <row r="2596" spans="1:4" x14ac:dyDescent="0.2">
      <c r="A2596" s="5">
        <v>2535</v>
      </c>
      <c r="B2596" s="138">
        <f>'Acct Summary 7-8'!F13</f>
        <v>93418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93418</v>
      </c>
      <c r="C2600" s="2" t="s">
        <v>594</v>
      </c>
      <c r="D2600" s="2" t="str">
        <f t="shared" si="39"/>
        <v>Error?</v>
      </c>
    </row>
    <row r="2601" spans="1:4" x14ac:dyDescent="0.2">
      <c r="A2601" s="5">
        <v>2540</v>
      </c>
      <c r="B2601" s="138">
        <f>'Acct Summary 7-8'!F20</f>
        <v>45710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93214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93214</v>
      </c>
      <c r="C2606" s="2" t="s">
        <v>594</v>
      </c>
      <c r="D2606" s="2" t="str">
        <f t="shared" si="39"/>
        <v>Error?</v>
      </c>
    </row>
    <row r="2607" spans="1:4" x14ac:dyDescent="0.2">
      <c r="A2607" s="5">
        <v>2546</v>
      </c>
      <c r="B2607" s="138">
        <f>'Acct Summary 7-8'!G12</f>
        <v>36833</v>
      </c>
      <c r="C2607" s="2" t="s">
        <v>594</v>
      </c>
      <c r="D2607" s="2" t="str">
        <f t="shared" si="39"/>
        <v>Error?</v>
      </c>
    </row>
    <row r="2608" spans="1:4" x14ac:dyDescent="0.2">
      <c r="A2608" s="5">
        <v>2547</v>
      </c>
      <c r="B2608" s="138">
        <f>'Acct Summary 7-8'!G13</f>
        <v>52673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89506</v>
      </c>
      <c r="C2612" s="2" t="s">
        <v>594</v>
      </c>
      <c r="D2612" s="2" t="str">
        <f t="shared" si="39"/>
        <v>Error?</v>
      </c>
    </row>
    <row r="2613" spans="1:4" x14ac:dyDescent="0.2">
      <c r="A2613" s="5">
        <v>2552</v>
      </c>
      <c r="B2613" s="138">
        <f>'Acct Summary 7-8'!G20</f>
        <v>3708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51938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51938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35020</v>
      </c>
      <c r="C2634" s="2" t="s">
        <v>594</v>
      </c>
      <c r="D2634" s="2" t="str">
        <f t="shared" si="40"/>
        <v>Error?</v>
      </c>
    </row>
    <row r="2635" spans="1:4" x14ac:dyDescent="0.2">
      <c r="A2635" s="5">
        <v>2574</v>
      </c>
      <c r="B2635" s="138">
        <f>'Acct Summary 7-8'!E17</f>
        <v>35020</v>
      </c>
      <c r="C2635" s="2" t="s">
        <v>594</v>
      </c>
      <c r="D2635" s="2" t="str">
        <f t="shared" si="40"/>
        <v>Error?</v>
      </c>
    </row>
    <row r="2636" spans="1:4" x14ac:dyDescent="0.2">
      <c r="A2636" s="5">
        <v>2575</v>
      </c>
      <c r="B2636" s="138">
        <f>'Acct Summary 7-8'!E20</f>
        <v>16918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32322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32322</v>
      </c>
      <c r="C2658" s="2" t="s">
        <v>594</v>
      </c>
      <c r="D2658" s="2" t="str">
        <f t="shared" si="40"/>
        <v>Error?</v>
      </c>
    </row>
    <row r="2659" spans="1:4" x14ac:dyDescent="0.2">
      <c r="A2659" s="5">
        <v>2598</v>
      </c>
      <c r="B2659" s="138">
        <f>'Acct Summary 7-8'!H13</f>
        <v>24146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24146</v>
      </c>
      <c r="C2661" s="2" t="s">
        <v>594</v>
      </c>
      <c r="D2661" s="2" t="str">
        <f t="shared" si="40"/>
        <v>Error?</v>
      </c>
    </row>
    <row r="2662" spans="1:4" x14ac:dyDescent="0.2">
      <c r="A2662" s="5">
        <v>2601</v>
      </c>
      <c r="B2662" s="138">
        <f>'Acct Summary 7-8'!H20</f>
        <v>8176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24766</v>
      </c>
      <c r="C2789" s="2" t="s">
        <v>594</v>
      </c>
      <c r="D2789" s="2" t="str">
        <f t="shared" si="42"/>
        <v>Error?</v>
      </c>
    </row>
    <row r="2790" spans="1:4" x14ac:dyDescent="0.2">
      <c r="A2790" s="5">
        <v>2729</v>
      </c>
      <c r="B2790" s="138">
        <f>'Expenditures 15-22'!E102</f>
        <v>24766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15930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245147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12821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245147</v>
      </c>
      <c r="D2912" s="2" t="str">
        <f t="shared" si="44"/>
        <v>Error?</v>
      </c>
    </row>
    <row r="2913" spans="1:4" x14ac:dyDescent="0.2">
      <c r="A2913" s="5">
        <v>2852</v>
      </c>
      <c r="B2913" s="138">
        <f>'Assets-Liab 5-6'!I41</f>
        <v>245147</v>
      </c>
      <c r="C2913" s="2" t="s">
        <v>594</v>
      </c>
      <c r="D2913" s="2" t="str">
        <f t="shared" si="44"/>
        <v>Error?</v>
      </c>
    </row>
    <row r="2914" spans="1:4" x14ac:dyDescent="0.2">
      <c r="A2914" s="5">
        <v>2853</v>
      </c>
      <c r="B2914" s="138">
        <f>'Assets-Liab 5-6'!L33</f>
        <v>12821</v>
      </c>
      <c r="D2914" s="2" t="str">
        <f t="shared" si="44"/>
        <v>Error?</v>
      </c>
    </row>
    <row r="2915" spans="1:4" x14ac:dyDescent="0.2">
      <c r="A2915" s="10">
        <v>2854</v>
      </c>
      <c r="D2915" s="2" t="str">
        <f t="shared" si="44"/>
        <v>OK</v>
      </c>
    </row>
    <row r="2916" spans="1:4" x14ac:dyDescent="0.2">
      <c r="A2916" s="5">
        <v>2855</v>
      </c>
      <c r="B2916" s="138">
        <f>'Assets-Liab 5-6'!L34</f>
        <v>12821</v>
      </c>
      <c r="C2916" s="2" t="s">
        <v>594</v>
      </c>
      <c r="D2916" s="2" t="str">
        <f t="shared" si="44"/>
        <v>Error?</v>
      </c>
    </row>
    <row r="2917" spans="1:4" x14ac:dyDescent="0.2">
      <c r="A2917" s="5">
        <v>2856</v>
      </c>
      <c r="B2917" s="138">
        <f>'Assets-Liab 5-6'!L41</f>
        <v>12821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24766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24766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22202</v>
      </c>
      <c r="D3055" s="2" t="str">
        <f t="shared" si="46"/>
        <v>Error?</v>
      </c>
    </row>
    <row r="3056" spans="1:4" x14ac:dyDescent="0.2">
      <c r="A3056" s="5">
        <v>2995</v>
      </c>
      <c r="B3056" s="138">
        <f>'Expenditures 15-22'!D10</f>
        <v>8664</v>
      </c>
      <c r="D3056" s="2" t="str">
        <f t="shared" si="46"/>
        <v>Error?</v>
      </c>
    </row>
    <row r="3057" spans="1:4" x14ac:dyDescent="0.2">
      <c r="A3057" s="5">
        <v>2996</v>
      </c>
      <c r="B3057" s="138">
        <f>'Expenditures 15-22'!E10</f>
        <v>12312</v>
      </c>
      <c r="D3057" s="2" t="str">
        <f t="shared" si="46"/>
        <v>Error?</v>
      </c>
    </row>
    <row r="3058" spans="1:4" x14ac:dyDescent="0.2">
      <c r="A3058" s="5">
        <v>2997</v>
      </c>
      <c r="B3058" s="138">
        <f>'Expenditures 15-22'!F10</f>
        <v>23073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66251</v>
      </c>
      <c r="C3062" s="2" t="s">
        <v>594</v>
      </c>
      <c r="D3062" s="2" t="str">
        <f t="shared" si="46"/>
        <v>Error?</v>
      </c>
    </row>
    <row r="3063" spans="1:4" x14ac:dyDescent="0.2">
      <c r="A3063" s="10">
        <v>3002</v>
      </c>
      <c r="D3063" s="2" t="str">
        <f t="shared" si="46"/>
        <v>OK</v>
      </c>
    </row>
    <row r="3064" spans="1:4" x14ac:dyDescent="0.2">
      <c r="A3064" s="5">
        <v>3003</v>
      </c>
      <c r="B3064" s="138">
        <f>'Expenditures 15-22'!D219</f>
        <v>374</v>
      </c>
      <c r="D3064" s="2" t="str">
        <f t="shared" si="46"/>
        <v>Error?</v>
      </c>
    </row>
    <row r="3065" spans="1:4" x14ac:dyDescent="0.2">
      <c r="A3065" s="5">
        <v>3004</v>
      </c>
      <c r="B3065" s="138">
        <f>'Expenditures 15-22'!K219</f>
        <v>374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9502</v>
      </c>
      <c r="C3225" s="2" t="s">
        <v>594</v>
      </c>
      <c r="D3225" s="2" t="str">
        <f t="shared" si="49"/>
        <v>Error?</v>
      </c>
    </row>
    <row r="3226" spans="1:4" x14ac:dyDescent="0.2">
      <c r="A3226" s="5">
        <v>3165</v>
      </c>
      <c r="B3226" s="138">
        <f>'Acct Summary 7-8'!I8</f>
        <v>9502</v>
      </c>
      <c r="C3226" s="2" t="s">
        <v>594</v>
      </c>
      <c r="D3226" s="2" t="str">
        <f t="shared" si="49"/>
        <v>Error?</v>
      </c>
    </row>
    <row r="3227" spans="1:4" x14ac:dyDescent="0.2">
      <c r="A3227" s="5">
        <v>3166</v>
      </c>
      <c r="B3227" s="138">
        <f>'Acct Summary 7-8'!I20</f>
        <v>9502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-7791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500</v>
      </c>
      <c r="C3238" s="2" t="s">
        <v>594</v>
      </c>
      <c r="D3238" s="2" t="str">
        <f t="shared" si="49"/>
        <v>Error?</v>
      </c>
    </row>
    <row r="3239" spans="1:4" x14ac:dyDescent="0.2">
      <c r="A3239" s="5">
        <v>3178</v>
      </c>
      <c r="B3239" s="138">
        <f>'Acct Summary 7-8'!D78</f>
        <v>-6806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45710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3708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16918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14899</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14899</v>
      </c>
      <c r="C3299" s="2" t="s">
        <v>594</v>
      </c>
      <c r="D3299" s="2" t="str">
        <f t="shared" si="50"/>
        <v>Error?</v>
      </c>
    </row>
    <row r="3300" spans="1:4" x14ac:dyDescent="0.2">
      <c r="A3300" s="5">
        <v>3239</v>
      </c>
      <c r="B3300" s="138">
        <f>'Acct Summary 7-8'!H78</f>
        <v>23075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9502</v>
      </c>
      <c r="C3320" s="2" t="s">
        <v>594</v>
      </c>
      <c r="D3320" s="2" t="str">
        <f t="shared" si="50"/>
        <v>Error?</v>
      </c>
    </row>
    <row r="3321" spans="1:4" x14ac:dyDescent="0.2">
      <c r="A3321" s="5">
        <v>3260</v>
      </c>
      <c r="B3321" s="138">
        <f>'Acct Summary 7-8'!I79</f>
        <v>235645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245147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203432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27107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768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1783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234699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13347</v>
      </c>
      <c r="D3387" s="2" t="str">
        <f t="shared" si="51"/>
        <v>Error?</v>
      </c>
    </row>
    <row r="3388" spans="1:4" x14ac:dyDescent="0.2">
      <c r="A3388" s="5">
        <v>3327</v>
      </c>
      <c r="B3388" s="138">
        <f>'Expenditures 15-22'!D217</f>
        <v>21408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13347</v>
      </c>
      <c r="C3390" s="2" t="s">
        <v>594</v>
      </c>
      <c r="D3390" s="2" t="str">
        <f t="shared" si="51"/>
        <v>Error?</v>
      </c>
    </row>
    <row r="3391" spans="1:4" x14ac:dyDescent="0.2">
      <c r="A3391" s="5">
        <v>3330</v>
      </c>
      <c r="B3391" s="138">
        <f>'Expenditures 15-22'!K217</f>
        <v>21408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477727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90354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51984</v>
      </c>
      <c r="D3417" s="2" t="str">
        <f t="shared" si="52"/>
        <v>Error?</v>
      </c>
    </row>
    <row r="3418" spans="1:4" x14ac:dyDescent="0.2">
      <c r="A3418" s="10">
        <v>3357</v>
      </c>
      <c r="D3418" s="2" t="str">
        <f t="shared" si="52"/>
        <v>OK</v>
      </c>
    </row>
    <row r="3419" spans="1:4" x14ac:dyDescent="0.2">
      <c r="A3419" s="5">
        <v>3358</v>
      </c>
      <c r="B3419" s="138">
        <f>'Assets-Liab 5-6'!F4</f>
        <v>150039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80840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40795</v>
      </c>
      <c r="D3425" s="2" t="str">
        <f t="shared" si="52"/>
        <v>Error?</v>
      </c>
    </row>
    <row r="3426" spans="1:4" x14ac:dyDescent="0.2">
      <c r="A3426" s="10">
        <v>3365</v>
      </c>
      <c r="D3426" s="2" t="str">
        <f t="shared" si="52"/>
        <v>OK</v>
      </c>
    </row>
    <row r="3427" spans="1:4" x14ac:dyDescent="0.2">
      <c r="A3427" s="5">
        <v>3366</v>
      </c>
      <c r="B3427" s="138">
        <f>'Assets-Liab 5-6'!I4</f>
        <v>245147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12821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43481</v>
      </c>
      <c r="C3446" s="2" t="s">
        <v>594</v>
      </c>
      <c r="D3446" s="2" t="str">
        <f t="shared" si="52"/>
        <v>Error?</v>
      </c>
    </row>
    <row r="3447" spans="1:4" x14ac:dyDescent="0.2">
      <c r="A3447" s="5">
        <v>3386</v>
      </c>
      <c r="B3447" s="138">
        <f>'Tax Sched 23'!D16</f>
        <v>43481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36340</v>
      </c>
      <c r="C3449" s="2" t="s">
        <v>594</v>
      </c>
      <c r="D3449" s="2" t="str">
        <f t="shared" si="52"/>
        <v>Error?</v>
      </c>
    </row>
    <row r="3450" spans="1:4" x14ac:dyDescent="0.2">
      <c r="A3450" s="5">
        <v>3389</v>
      </c>
      <c r="B3450" s="138">
        <f>'Tax Sched 23'!E16</f>
        <v>36340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15930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15930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15930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500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14899</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2771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2771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2771</v>
      </c>
      <c r="D3567" s="2" t="str">
        <f t="shared" si="54"/>
        <v>Error?</v>
      </c>
    </row>
    <row r="3568" spans="1:4" x14ac:dyDescent="0.2">
      <c r="A3568" s="5">
        <v>3507</v>
      </c>
      <c r="B3568" s="138">
        <f>'Assets-Liab 5-6'!K41</f>
        <v>2771</v>
      </c>
      <c r="C3568" s="2" t="s">
        <v>594</v>
      </c>
      <c r="D3568" s="2" t="str">
        <f t="shared" si="54"/>
        <v>Error?</v>
      </c>
    </row>
    <row r="3569" spans="1:4" x14ac:dyDescent="0.2">
      <c r="A3569" s="5">
        <v>3508</v>
      </c>
      <c r="B3569" s="138">
        <f>'Acct Summary 7-8'!K4</f>
        <v>1209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1209</v>
      </c>
      <c r="C3571" s="2" t="s">
        <v>594</v>
      </c>
      <c r="D3571" s="2" t="str">
        <f t="shared" si="54"/>
        <v>Error?</v>
      </c>
    </row>
    <row r="3572" spans="1:4" x14ac:dyDescent="0.2">
      <c r="A3572" s="5">
        <v>3511</v>
      </c>
      <c r="B3572" s="138">
        <f>'Acct Summary 7-8'!K13</f>
        <v>423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423</v>
      </c>
      <c r="C3575" s="2" t="s">
        <v>594</v>
      </c>
      <c r="D3575" s="2" t="str">
        <f t="shared" si="54"/>
        <v>Error?</v>
      </c>
    </row>
    <row r="3576" spans="1:4" x14ac:dyDescent="0.2">
      <c r="A3576" s="5">
        <v>3515</v>
      </c>
      <c r="B3576" s="138">
        <f>'Acct Summary 7-8'!K20</f>
        <v>786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786</v>
      </c>
      <c r="C3588" s="2" t="s">
        <v>594</v>
      </c>
      <c r="D3588" s="2" t="str">
        <f t="shared" si="55"/>
        <v>Error?</v>
      </c>
    </row>
    <row r="3589" spans="1:4" x14ac:dyDescent="0.2">
      <c r="A3589" s="5">
        <v>3528</v>
      </c>
      <c r="B3589" s="138">
        <f>'Acct Summary 7-8'!K79</f>
        <v>1985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2771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423</v>
      </c>
      <c r="D3646" s="2" t="str">
        <f t="shared" si="55"/>
        <v>Error?</v>
      </c>
    </row>
    <row r="3647" spans="1:4" x14ac:dyDescent="0.2">
      <c r="A3647" s="5">
        <v>3586</v>
      </c>
      <c r="B3647" s="138">
        <f>'Expenditures 15-22'!G350</f>
        <v>423</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423</v>
      </c>
      <c r="C3649" s="2" t="s">
        <v>594</v>
      </c>
      <c r="D3649" s="2" t="str">
        <f t="shared" si="56"/>
        <v>Error?</v>
      </c>
    </row>
    <row r="3650" spans="1:4" x14ac:dyDescent="0.2">
      <c r="A3650" s="5">
        <v>3589</v>
      </c>
      <c r="B3650" s="138">
        <f>'Expenditures 15-22'!G367</f>
        <v>423</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423</v>
      </c>
      <c r="C3669" s="2" t="s">
        <v>594</v>
      </c>
      <c r="D3669" s="2" t="str">
        <f t="shared" si="56"/>
        <v>Error?</v>
      </c>
    </row>
    <row r="3670" spans="1:4" x14ac:dyDescent="0.2">
      <c r="A3670" s="5">
        <v>3609</v>
      </c>
      <c r="B3670" s="138">
        <f>'Expenditures 15-22'!K350</f>
        <v>423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423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423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786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42889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760621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2410931</v>
      </c>
      <c r="C4122" s="2" t="s">
        <v>594</v>
      </c>
      <c r="D4122" s="2" t="str">
        <f t="shared" si="63"/>
        <v>Error?</v>
      </c>
    </row>
    <row r="4123" spans="1:4" x14ac:dyDescent="0.2">
      <c r="A4123" s="5">
        <v>4062</v>
      </c>
      <c r="B4123" s="138">
        <f>'Acct Summary 7-8'!D10</f>
        <v>185110</v>
      </c>
      <c r="C4123" s="2" t="s">
        <v>594</v>
      </c>
      <c r="D4123" s="2" t="str">
        <f t="shared" si="63"/>
        <v>Error?</v>
      </c>
    </row>
    <row r="4124" spans="1:4" x14ac:dyDescent="0.2">
      <c r="A4124" s="5">
        <v>4063</v>
      </c>
      <c r="B4124" s="138">
        <f>'Acct Summary 7-8'!E10</f>
        <v>51938</v>
      </c>
      <c r="C4124" s="2" t="s">
        <v>594</v>
      </c>
      <c r="D4124" s="2" t="str">
        <f t="shared" si="63"/>
        <v>Error?</v>
      </c>
    </row>
    <row r="4125" spans="1:4" x14ac:dyDescent="0.2">
      <c r="A4125" s="5">
        <v>4064</v>
      </c>
      <c r="B4125" s="138">
        <f>'Acct Summary 7-8'!F10</f>
        <v>139128</v>
      </c>
      <c r="C4125" s="2" t="s">
        <v>594</v>
      </c>
      <c r="D4125" s="2" t="str">
        <f t="shared" si="63"/>
        <v>Error?</v>
      </c>
    </row>
    <row r="4126" spans="1:4" x14ac:dyDescent="0.2">
      <c r="A4126" s="5">
        <v>4065</v>
      </c>
      <c r="B4126" s="138">
        <f>'Acct Summary 7-8'!G10</f>
        <v>93214</v>
      </c>
      <c r="C4126" s="2" t="s">
        <v>594</v>
      </c>
      <c r="D4126" s="2" t="str">
        <f t="shared" si="63"/>
        <v>Error?</v>
      </c>
    </row>
    <row r="4127" spans="1:4" x14ac:dyDescent="0.2">
      <c r="A4127" s="5">
        <v>4066</v>
      </c>
      <c r="B4127" s="138">
        <f>'Acct Summary 7-8'!H10</f>
        <v>32322</v>
      </c>
      <c r="C4127" s="2" t="s">
        <v>594</v>
      </c>
      <c r="D4127" s="2" t="str">
        <f t="shared" si="63"/>
        <v>Error?</v>
      </c>
    </row>
    <row r="4128" spans="1:4" x14ac:dyDescent="0.2">
      <c r="A4128" s="5">
        <v>4067</v>
      </c>
      <c r="B4128" s="138">
        <f>'Acct Summary 7-8'!I10</f>
        <v>9502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1209</v>
      </c>
      <c r="C4130" s="2" t="s">
        <v>594</v>
      </c>
      <c r="D4130" s="2" t="str">
        <f t="shared" si="63"/>
        <v>Error?</v>
      </c>
    </row>
    <row r="4131" spans="1:4" x14ac:dyDescent="0.2">
      <c r="A4131" s="5">
        <v>4070</v>
      </c>
      <c r="B4131" s="138">
        <f>'Acct Summary 7-8'!C18</f>
        <v>760621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2418722</v>
      </c>
      <c r="C4136" s="2" t="s">
        <v>594</v>
      </c>
      <c r="D4136" s="2" t="str">
        <f t="shared" si="63"/>
        <v>Error?</v>
      </c>
    </row>
    <row r="4137" spans="1:4" x14ac:dyDescent="0.2">
      <c r="A4137" s="5">
        <v>4076</v>
      </c>
      <c r="B4137" s="138">
        <f>'Acct Summary 7-8'!D19</f>
        <v>192416</v>
      </c>
      <c r="C4137" s="2" t="s">
        <v>594</v>
      </c>
      <c r="D4137" s="2" t="str">
        <f t="shared" si="63"/>
        <v>Error?</v>
      </c>
    </row>
    <row r="4138" spans="1:4" x14ac:dyDescent="0.2">
      <c r="A4138" s="5">
        <v>4077</v>
      </c>
      <c r="B4138" s="138">
        <f>'Acct Summary 7-8'!E19</f>
        <v>35020</v>
      </c>
      <c r="C4138" s="2" t="s">
        <v>594</v>
      </c>
      <c r="D4138" s="2" t="str">
        <f t="shared" si="63"/>
        <v>Error?</v>
      </c>
    </row>
    <row r="4139" spans="1:4" x14ac:dyDescent="0.2">
      <c r="A4139" s="5">
        <v>4078</v>
      </c>
      <c r="B4139" s="138">
        <f>'Acct Summary 7-8'!F19</f>
        <v>93418</v>
      </c>
      <c r="C4139" s="2" t="s">
        <v>594</v>
      </c>
      <c r="D4139" s="2" t="str">
        <f t="shared" si="63"/>
        <v>Error?</v>
      </c>
    </row>
    <row r="4140" spans="1:4" x14ac:dyDescent="0.2">
      <c r="A4140" s="5">
        <v>4079</v>
      </c>
      <c r="B4140" s="138">
        <f>'Acct Summary 7-8'!G19</f>
        <v>89506</v>
      </c>
      <c r="C4140" s="2" t="s">
        <v>594</v>
      </c>
      <c r="D4140" s="2" t="str">
        <f t="shared" si="63"/>
        <v>Error?</v>
      </c>
    </row>
    <row r="4141" spans="1:4" x14ac:dyDescent="0.2">
      <c r="A4141" s="5">
        <v>4080</v>
      </c>
      <c r="B4141" s="138">
        <f>'Acct Summary 7-8'!H19</f>
        <v>24146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423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245140</v>
      </c>
      <c r="C4171" s="2" t="s">
        <v>594</v>
      </c>
      <c r="D4171" s="2" t="str">
        <f t="shared" si="64"/>
        <v>Error?</v>
      </c>
    </row>
    <row r="4172" spans="1:4" x14ac:dyDescent="0.2">
      <c r="A4172" s="5">
        <v>4111</v>
      </c>
      <c r="B4172" s="138">
        <f>'Short-Term Long-Term Debt 24'!J49</f>
        <v>193156</v>
      </c>
      <c r="C4172" s="2" t="s">
        <v>594</v>
      </c>
      <c r="D4172" s="2" t="str">
        <f t="shared" si="64"/>
        <v>Error?</v>
      </c>
    </row>
    <row r="4173" spans="1:4" x14ac:dyDescent="0.2">
      <c r="A4173" s="5">
        <v>4112</v>
      </c>
      <c r="B4173" s="138">
        <f>'Short-Term Long-Term Debt 24'!H49</f>
        <v>35020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1961.2</v>
      </c>
      <c r="C4265" s="2" t="s">
        <v>594</v>
      </c>
      <c r="D4265" s="2" t="str">
        <f t="shared" si="65"/>
        <v>Error?</v>
      </c>
      <c r="E4265" s="128"/>
    </row>
    <row r="4266" spans="1:5" x14ac:dyDescent="0.2">
      <c r="A4266" s="12">
        <v>4205</v>
      </c>
      <c r="B4266" s="138">
        <f>('FP Info 3'!F10)*100000</f>
        <v>495.2</v>
      </c>
      <c r="C4266" s="2" t="s">
        <v>594</v>
      </c>
      <c r="D4266" s="2" t="str">
        <f t="shared" si="65"/>
        <v>Error?</v>
      </c>
      <c r="E4266" s="128"/>
    </row>
    <row r="4267" spans="1:5" x14ac:dyDescent="0.2">
      <c r="A4267" s="12">
        <v>4206</v>
      </c>
      <c r="B4267" s="138">
        <f>('FP Info 3'!H10)*100000</f>
        <v>171.1</v>
      </c>
      <c r="C4267" s="2" t="s">
        <v>594</v>
      </c>
      <c r="D4267" s="2" t="str">
        <f t="shared" si="65"/>
        <v>Error?</v>
      </c>
      <c r="E4267" s="128"/>
    </row>
    <row r="4268" spans="1:5" x14ac:dyDescent="0.2">
      <c r="A4268" s="12">
        <v>4207</v>
      </c>
      <c r="B4268" s="138">
        <f>('FP Info 3'!J10)*100000</f>
        <v>2628</v>
      </c>
      <c r="C4268" s="2" t="s">
        <v>594</v>
      </c>
      <c r="D4268" s="2" t="str">
        <f t="shared" si="65"/>
        <v>Error?</v>
      </c>
    </row>
    <row r="4269" spans="1:5" x14ac:dyDescent="0.2">
      <c r="A4269" s="12">
        <v>4208</v>
      </c>
      <c r="B4269" s="138">
        <f>'FP Info 3'!J16</f>
        <v>963267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7431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2862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11518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38.4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6720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17775</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23685227</v>
      </c>
      <c r="D4995" s="2" t="str">
        <f t="shared" si="77"/>
        <v>Error?</v>
      </c>
    </row>
    <row r="4996" spans="1:4" x14ac:dyDescent="0.2">
      <c r="A4996" s="12">
        <v>4935</v>
      </c>
      <c r="B4996" s="138">
        <f>'FP Info 3'!H31</f>
        <v>1634280.6630000002</v>
      </c>
      <c r="D4996" s="2" t="str">
        <f t="shared" si="77"/>
        <v>Error?</v>
      </c>
    </row>
    <row r="4997" spans="1:4" x14ac:dyDescent="0.2">
      <c r="A4997" s="12">
        <v>4936</v>
      </c>
      <c r="B4997" s="138">
        <f>'FP Info 3'!H37</f>
        <v>245140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417390</v>
      </c>
      <c r="D5061" s="2" t="str">
        <f t="shared" si="78"/>
        <v>Error?</v>
      </c>
    </row>
    <row r="5062" spans="1:4" x14ac:dyDescent="0.2">
      <c r="A5062" s="10">
        <v>5001</v>
      </c>
      <c r="D5062" s="2" t="str">
        <f t="shared" si="78"/>
        <v>OK</v>
      </c>
    </row>
    <row r="5063" spans="1:4" x14ac:dyDescent="0.2">
      <c r="A5063" s="5">
        <v>5002</v>
      </c>
      <c r="B5063" s="138">
        <f>'Revenues 9-14'!C7</f>
        <v>22788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440178</v>
      </c>
      <c r="C5066" s="2" t="s">
        <v>594</v>
      </c>
      <c r="D5066" s="2" t="str">
        <f t="shared" si="78"/>
        <v>Error?</v>
      </c>
    </row>
    <row r="5067" spans="1:4" x14ac:dyDescent="0.2">
      <c r="A5067" s="5">
        <v>5006</v>
      </c>
      <c r="B5067" s="138">
        <f>'Revenues 9-14'!C14</f>
        <v>1935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12253</v>
      </c>
      <c r="D5069" s="2" t="str">
        <f t="shared" si="78"/>
        <v>Error?</v>
      </c>
    </row>
    <row r="5070" spans="1:4" x14ac:dyDescent="0.2">
      <c r="A5070" s="5">
        <v>5009</v>
      </c>
      <c r="B5070" s="138">
        <f>'Revenues 9-14'!C17</f>
        <v>23031</v>
      </c>
      <c r="D5070" s="2" t="str">
        <f t="shared" si="78"/>
        <v>Error?</v>
      </c>
    </row>
    <row r="5071" spans="1:4" x14ac:dyDescent="0.2">
      <c r="A5071" s="5">
        <v>5010</v>
      </c>
      <c r="B5071" s="138">
        <f>'Revenues 9-14'!C18</f>
        <v>37219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1270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706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32480</v>
      </c>
      <c r="C5096" s="2" t="s">
        <v>594</v>
      </c>
      <c r="D5096" s="2" t="str">
        <f t="shared" si="78"/>
        <v>Error?</v>
      </c>
    </row>
    <row r="5097" spans="1:4" x14ac:dyDescent="0.2">
      <c r="A5097" s="5">
        <v>5036</v>
      </c>
      <c r="B5097" s="138">
        <f>'Revenues 9-14'!C77</f>
        <v>6275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452</v>
      </c>
      <c r="D5100" s="2" t="str">
        <f t="shared" si="78"/>
        <v>Error?</v>
      </c>
    </row>
    <row r="5101" spans="1:4" x14ac:dyDescent="0.2">
      <c r="A5101" s="5">
        <v>5040</v>
      </c>
      <c r="B5101" s="138">
        <f>'Revenues 9-14'!C81</f>
        <v>3568</v>
      </c>
      <c r="D5101" s="2" t="str">
        <f t="shared" si="78"/>
        <v>Error?</v>
      </c>
    </row>
    <row r="5102" spans="1:4" x14ac:dyDescent="0.2">
      <c r="A5102" s="5">
        <v>5041</v>
      </c>
      <c r="B5102" s="138">
        <f>'Revenues 9-14'!C82</f>
        <v>10295</v>
      </c>
      <c r="C5102" s="2" t="s">
        <v>594</v>
      </c>
      <c r="D5102" s="2" t="str">
        <f t="shared" si="78"/>
        <v>Error?</v>
      </c>
    </row>
    <row r="5103" spans="1:4" x14ac:dyDescent="0.2">
      <c r="A5103" s="5">
        <v>5042</v>
      </c>
      <c r="B5103" s="138">
        <f>'Revenues 9-14'!C84</f>
        <v>1944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1944</v>
      </c>
      <c r="C5112" s="2" t="s">
        <v>594</v>
      </c>
      <c r="D5112" s="2" t="str">
        <f t="shared" si="78"/>
        <v>Error?</v>
      </c>
    </row>
    <row r="5113" spans="1:4" x14ac:dyDescent="0.2">
      <c r="A5113" s="5">
        <v>5052</v>
      </c>
      <c r="B5113" s="138">
        <f>'Revenues 9-14'!C95</f>
        <v>1010</v>
      </c>
      <c r="D5113" s="2" t="str">
        <f t="shared" si="78"/>
        <v>Error?</v>
      </c>
    </row>
    <row r="5114" spans="1:4" x14ac:dyDescent="0.2">
      <c r="A5114" s="5">
        <v>5053</v>
      </c>
      <c r="B5114" s="138">
        <f>'Revenues 9-14'!C96</f>
        <v>7530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1127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6810</v>
      </c>
      <c r="D5119" s="2" t="str">
        <f t="shared" ref="D5119:D5182" si="79">IF(ISBLANK(B5119),"OK",IF(A5119-B5119=0,"OK","Error?"))</f>
        <v>Error?</v>
      </c>
    </row>
    <row r="5120" spans="1:4" x14ac:dyDescent="0.2">
      <c r="A5120" s="5">
        <v>5059</v>
      </c>
      <c r="B5120" s="138">
        <f>'Revenues 9-14'!C108</f>
        <v>23197</v>
      </c>
      <c r="C5120" s="2" t="s">
        <v>594</v>
      </c>
      <c r="D5120" s="2" t="str">
        <f t="shared" si="79"/>
        <v>Error?</v>
      </c>
    </row>
    <row r="5121" spans="1:4" x14ac:dyDescent="0.2">
      <c r="A5121" s="5">
        <v>5060</v>
      </c>
      <c r="B5121" s="138">
        <f>'Revenues 9-14'!C109</f>
        <v>546583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857880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857880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12894</v>
      </c>
      <c r="D5134" s="2" t="str">
        <f t="shared" si="79"/>
        <v>Error?</v>
      </c>
    </row>
    <row r="5135" spans="1:4" x14ac:dyDescent="0.2">
      <c r="A5135" s="5">
        <v>5074</v>
      </c>
      <c r="B5135" s="138">
        <f>'Revenues 9-14'!C126</f>
        <v>21250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34144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882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35026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892906</v>
      </c>
      <c r="C5223" s="2" t="s">
        <v>594</v>
      </c>
      <c r="D5223" s="2" t="str">
        <f t="shared" si="80"/>
        <v>Error?</v>
      </c>
    </row>
    <row r="5224" spans="1:4" x14ac:dyDescent="0.2">
      <c r="A5224" s="5">
        <v>5163</v>
      </c>
      <c r="B5224" s="138">
        <f>'Revenues 9-14'!C176</f>
        <v>39102</v>
      </c>
      <c r="D5224" s="2" t="str">
        <f t="shared" si="80"/>
        <v>Error?</v>
      </c>
    </row>
    <row r="5225" spans="1:4" x14ac:dyDescent="0.2">
      <c r="A5225" s="5">
        <v>5164</v>
      </c>
      <c r="B5225" s="138">
        <f>'Revenues 9-14'!C178</f>
        <v>39102</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17775</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51472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15309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66781</v>
      </c>
      <c r="C5246" s="2" t="s">
        <v>594</v>
      </c>
      <c r="D5246" s="2" t="str">
        <f t="shared" si="80"/>
        <v>Error?</v>
      </c>
    </row>
    <row r="5247" spans="1:4" x14ac:dyDescent="0.2">
      <c r="A5247" s="5">
        <v>5186</v>
      </c>
      <c r="B5247" s="138">
        <f>'Revenues 9-14'!C203</f>
        <v>53365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53365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11987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11987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153944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210821</v>
      </c>
      <c r="C5326" s="2" t="s">
        <v>594</v>
      </c>
      <c r="D5326" s="2" t="str">
        <f t="shared" si="82"/>
        <v>Error?</v>
      </c>
    </row>
    <row r="5327" spans="1:4" x14ac:dyDescent="0.2">
      <c r="A5327" s="5">
        <v>5266</v>
      </c>
      <c r="B5327" s="138">
        <f>'Revenues 9-14'!C275</f>
        <v>1650310</v>
      </c>
      <c r="C5327" s="2" t="s">
        <v>594</v>
      </c>
      <c r="D5327" s="2" t="str">
        <f t="shared" si="82"/>
        <v>Error?</v>
      </c>
    </row>
    <row r="5328" spans="1:4" x14ac:dyDescent="0.2">
      <c r="A5328" s="5">
        <v>5267</v>
      </c>
      <c r="B5328" s="138">
        <f>'Revenues 9-14'!D5</f>
        <v>108068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108068</v>
      </c>
      <c r="C5334" s="2" t="s">
        <v>594</v>
      </c>
      <c r="D5334" s="2" t="str">
        <f t="shared" si="82"/>
        <v>Error?</v>
      </c>
    </row>
    <row r="5335" spans="1:4" x14ac:dyDescent="0.2">
      <c r="A5335" s="5">
        <v>5274</v>
      </c>
      <c r="B5335" s="138">
        <f>'Revenues 9-14'!D14</f>
        <v>475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475</v>
      </c>
      <c r="C5339" s="2" t="s">
        <v>594</v>
      </c>
      <c r="D5339" s="2" t="str">
        <f t="shared" si="82"/>
        <v>Error?</v>
      </c>
    </row>
    <row r="5340" spans="1:4" x14ac:dyDescent="0.2">
      <c r="A5340" s="5">
        <v>5279</v>
      </c>
      <c r="B5340" s="138">
        <f>'Revenues 9-14'!D65</f>
        <v>210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6000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6000</v>
      </c>
      <c r="C5355" s="2" t="s">
        <v>594</v>
      </c>
      <c r="D5355" s="2" t="str">
        <f t="shared" si="82"/>
        <v>Error?</v>
      </c>
    </row>
    <row r="5356" spans="1:4" x14ac:dyDescent="0.2">
      <c r="A5356" s="5">
        <v>5295</v>
      </c>
      <c r="B5356" s="138">
        <f>'Revenues 9-14'!D109</f>
        <v>114753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50357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50357</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50357</v>
      </c>
      <c r="C5421" s="2" t="s">
        <v>594</v>
      </c>
      <c r="D5421" s="2" t="str">
        <f t="shared" si="83"/>
        <v>Error?</v>
      </c>
    </row>
    <row r="5422" spans="1:4" x14ac:dyDescent="0.2">
      <c r="A5422" s="5">
        <v>5361</v>
      </c>
      <c r="B5422" s="138">
        <f>'Revenues 9-14'!D176</f>
        <v>20000</v>
      </c>
      <c r="D5422" s="2" t="str">
        <f t="shared" si="83"/>
        <v>Error?</v>
      </c>
    </row>
    <row r="5423" spans="1:4" x14ac:dyDescent="0.2">
      <c r="A5423" s="5">
        <v>5362</v>
      </c>
      <c r="B5423" s="138">
        <f>'Revenues 9-14'!D178</f>
        <v>20000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20000</v>
      </c>
      <c r="C5507" s="2" t="s">
        <v>594</v>
      </c>
      <c r="D5507" s="2" t="str">
        <f t="shared" si="85"/>
        <v>Error?</v>
      </c>
    </row>
    <row r="5508" spans="1:4" x14ac:dyDescent="0.2">
      <c r="A5508" s="5">
        <v>5447</v>
      </c>
      <c r="B5508" s="138">
        <f>'Revenues 9-14'!D275</f>
        <v>185110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107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51831</v>
      </c>
      <c r="C5526" s="2" t="s">
        <v>594</v>
      </c>
      <c r="D5526" s="2" t="str">
        <f t="shared" si="85"/>
        <v>Error?</v>
      </c>
    </row>
    <row r="5527" spans="1:4" x14ac:dyDescent="0.2">
      <c r="A5527" s="5">
        <v>5466</v>
      </c>
      <c r="B5527" s="138">
        <f>'Revenues 9-14'!E109</f>
        <v>51938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51938</v>
      </c>
      <c r="C5552" s="2" t="s">
        <v>594</v>
      </c>
      <c r="D5552" s="2" t="str">
        <f t="shared" si="85"/>
        <v>Error?</v>
      </c>
    </row>
    <row r="5553" spans="1:4" x14ac:dyDescent="0.2">
      <c r="A5553" s="5">
        <v>5492</v>
      </c>
      <c r="B5553" s="138">
        <f>'Revenues 9-14'!F5</f>
        <v>38068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38068</v>
      </c>
      <c r="C5557" s="2" t="s">
        <v>594</v>
      </c>
      <c r="D5557" s="2" t="str">
        <f t="shared" si="85"/>
        <v>Error?</v>
      </c>
    </row>
    <row r="5558" spans="1:4" x14ac:dyDescent="0.2">
      <c r="A5558" s="5">
        <v>5497</v>
      </c>
      <c r="B5558" s="138">
        <f>'Revenues 9-14'!F14</f>
        <v>167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167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38457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94855</v>
      </c>
      <c r="D5615" s="2" t="str">
        <f t="shared" si="86"/>
        <v>Error?</v>
      </c>
    </row>
    <row r="5616" spans="1:4" x14ac:dyDescent="0.2">
      <c r="A5616" s="10">
        <v>5555</v>
      </c>
      <c r="D5616" s="2" t="str">
        <f t="shared" si="86"/>
        <v>OK</v>
      </c>
    </row>
    <row r="5617" spans="1:4" x14ac:dyDescent="0.2">
      <c r="A5617" s="5">
        <v>5556</v>
      </c>
      <c r="B5617" s="138">
        <f>'Revenues 9-14'!F152</f>
        <v>5816</v>
      </c>
      <c r="D5617" s="2" t="str">
        <f t="shared" si="86"/>
        <v>Error?</v>
      </c>
    </row>
    <row r="5618" spans="1:4" x14ac:dyDescent="0.2">
      <c r="A5618" s="5">
        <v>5557</v>
      </c>
      <c r="B5618" s="138">
        <f>'Revenues 9-14'!F154</f>
        <v>100671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100671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100671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139128</v>
      </c>
      <c r="C5720" s="2" t="s">
        <v>594</v>
      </c>
      <c r="D5720" s="2" t="str">
        <f t="shared" si="88"/>
        <v>Error?</v>
      </c>
    </row>
    <row r="5721" spans="1:4" x14ac:dyDescent="0.2">
      <c r="A5721" s="5">
        <v>5660</v>
      </c>
      <c r="B5721" s="138">
        <f>'Revenues 9-14'!G5</f>
        <v>43481</v>
      </c>
      <c r="D5721" s="2" t="str">
        <f t="shared" si="88"/>
        <v>Error?</v>
      </c>
    </row>
    <row r="5722" spans="1:4" x14ac:dyDescent="0.2">
      <c r="A5722" s="5">
        <v>5661</v>
      </c>
      <c r="B5722" s="138">
        <f>'Revenues 9-14'!G7</f>
        <v>0</v>
      </c>
      <c r="D5722" s="2" t="str">
        <f t="shared" si="88"/>
        <v>Error?</v>
      </c>
    </row>
    <row r="5723" spans="1:4" x14ac:dyDescent="0.2">
      <c r="A5723" s="5">
        <v>5662</v>
      </c>
      <c r="B5723" s="138">
        <f>'Revenues 9-14'!G8</f>
        <v>43481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86962</v>
      </c>
      <c r="C5725" s="2" t="s">
        <v>594</v>
      </c>
      <c r="D5725" s="2" t="str">
        <f t="shared" si="88"/>
        <v>Error?</v>
      </c>
    </row>
    <row r="5726" spans="1:4" x14ac:dyDescent="0.2">
      <c r="A5726" s="5">
        <v>5665</v>
      </c>
      <c r="B5726" s="138">
        <f>'Revenues 9-14'!G14</f>
        <v>382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5665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6047</v>
      </c>
      <c r="C5730" s="2" t="s">
        <v>594</v>
      </c>
      <c r="D5730" s="2" t="str">
        <f t="shared" si="88"/>
        <v>Error?</v>
      </c>
    </row>
    <row r="5731" spans="1:4" x14ac:dyDescent="0.2">
      <c r="A5731" s="5">
        <v>5670</v>
      </c>
      <c r="B5731" s="138">
        <f>'Revenues 9-14'!G65</f>
        <v>205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93214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32288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32322</v>
      </c>
      <c r="C5915" s="2" t="s">
        <v>594</v>
      </c>
      <c r="D5915" s="2" t="str">
        <f t="shared" si="91"/>
        <v>Error?</v>
      </c>
    </row>
    <row r="5916" spans="1:4" x14ac:dyDescent="0.2">
      <c r="A5916" s="5">
        <v>5855</v>
      </c>
      <c r="B5916" s="138">
        <f>'Revenues 9-14'!I5</f>
        <v>8972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8972</v>
      </c>
      <c r="C5918" s="2" t="s">
        <v>594</v>
      </c>
      <c r="D5918" s="2" t="str">
        <f t="shared" si="91"/>
        <v>Error?</v>
      </c>
    </row>
    <row r="5919" spans="1:4" x14ac:dyDescent="0.2">
      <c r="A5919" s="5">
        <v>5858</v>
      </c>
      <c r="B5919" s="138">
        <f>'Revenues 9-14'!I14</f>
        <v>39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39</v>
      </c>
      <c r="C5923" s="2" t="s">
        <v>594</v>
      </c>
      <c r="D5923" s="2" t="str">
        <f t="shared" si="91"/>
        <v>Error?</v>
      </c>
    </row>
    <row r="5924" spans="1:4" x14ac:dyDescent="0.2">
      <c r="A5924" s="5">
        <v>5863</v>
      </c>
      <c r="B5924" s="138">
        <f>'Revenues 9-14'!I65</f>
        <v>491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491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9502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1201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1201</v>
      </c>
      <c r="C5987" s="2" t="s">
        <v>594</v>
      </c>
      <c r="D5987" s="2" t="str">
        <f t="shared" si="92"/>
        <v>Error?</v>
      </c>
    </row>
    <row r="5988" spans="1:4" x14ac:dyDescent="0.2">
      <c r="A5988" s="5">
        <v>5927</v>
      </c>
      <c r="B5988" s="138">
        <f>'Revenues 9-14'!K14</f>
        <v>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v>
      </c>
      <c r="C5992" s="2" t="s">
        <v>594</v>
      </c>
      <c r="D5992" s="2" t="str">
        <f t="shared" si="92"/>
        <v>Error?</v>
      </c>
    </row>
    <row r="5993" spans="1:4" x14ac:dyDescent="0.2">
      <c r="A5993" s="5">
        <v>5932</v>
      </c>
      <c r="B5993" s="138">
        <f>'Revenues 9-14'!K65</f>
        <v>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1209</v>
      </c>
      <c r="C6023" s="2" t="s">
        <v>594</v>
      </c>
      <c r="D6023" s="2" t="str">
        <f t="shared" si="93"/>
        <v>Error?</v>
      </c>
    </row>
    <row r="6024" spans="1:5" x14ac:dyDescent="0.2">
      <c r="A6024" s="5">
        <v>5963</v>
      </c>
      <c r="B6024" s="138">
        <f>'Revenues 9-14'!G109</f>
        <v>93214</v>
      </c>
      <c r="C6024" s="2" t="s">
        <v>594</v>
      </c>
      <c r="D6024" s="2" t="str">
        <f t="shared" si="93"/>
        <v>Error?</v>
      </c>
    </row>
    <row r="6025" spans="1:5" x14ac:dyDescent="0.2">
      <c r="A6025" s="5">
        <v>5964</v>
      </c>
      <c r="B6025" s="138">
        <f>'Revenues 9-14'!H109</f>
        <v>32322</v>
      </c>
      <c r="C6025" s="2" t="s">
        <v>594</v>
      </c>
      <c r="D6025" s="2" t="str">
        <f t="shared" si="93"/>
        <v>Error?</v>
      </c>
    </row>
    <row r="6026" spans="1:5" x14ac:dyDescent="0.2">
      <c r="A6026" s="5">
        <v>5965</v>
      </c>
      <c r="B6026" s="138">
        <f>'Revenues 9-14'!I109</f>
        <v>9502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1209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31774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7386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202.86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34172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34172</v>
      </c>
      <c r="D6215" s="2" t="str">
        <f t="shared" si="96"/>
        <v>Error?</v>
      </c>
      <c r="E6215" s="2" t="s">
        <v>199</v>
      </c>
    </row>
    <row r="6216" spans="1:5" x14ac:dyDescent="0.2">
      <c r="A6216">
        <v>6155</v>
      </c>
      <c r="B6216" s="138">
        <f>'Assets-Liab 5-6'!J41</f>
        <v>34172</v>
      </c>
      <c r="D6216" s="2" t="str">
        <f t="shared" si="96"/>
        <v>Error?</v>
      </c>
      <c r="E6216" s="2" t="s">
        <v>199</v>
      </c>
    </row>
    <row r="6217" spans="1:5" x14ac:dyDescent="0.2">
      <c r="A6217">
        <v>6156</v>
      </c>
      <c r="B6217" s="138">
        <f>'Assets-Liab 5-6'!J4</f>
        <v>34172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9742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9742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9742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39432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39432</v>
      </c>
      <c r="D6229" s="2" t="str">
        <f t="shared" si="96"/>
        <v>Error?</v>
      </c>
      <c r="E6229" s="2" t="s">
        <v>199</v>
      </c>
    </row>
    <row r="6230" spans="1:5" x14ac:dyDescent="0.2">
      <c r="A6230">
        <v>6169</v>
      </c>
      <c r="B6230" s="138">
        <f>'Acct Summary 7-8'!J20</f>
        <v>-29690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-29690</v>
      </c>
      <c r="D6263" s="2" t="str">
        <f t="shared" si="96"/>
        <v>Error?</v>
      </c>
      <c r="E6263" s="2" t="s">
        <v>199</v>
      </c>
    </row>
    <row r="6264" spans="1:5" x14ac:dyDescent="0.2">
      <c r="A6264">
        <v>6203</v>
      </c>
      <c r="B6264" s="138">
        <f>'Acct Summary 7-8'!J79</f>
        <v>63862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34172</v>
      </c>
      <c r="D6266" s="2" t="str">
        <f t="shared" si="96"/>
        <v>Error?</v>
      </c>
      <c r="E6266" s="2" t="s">
        <v>199</v>
      </c>
    </row>
    <row r="6267" spans="1:5" x14ac:dyDescent="0.2">
      <c r="A6267">
        <v>6206</v>
      </c>
      <c r="B6267" s="138">
        <f>'Acct Summary 7-8'!C82</f>
        <v>-7791</v>
      </c>
      <c r="D6267" s="2" t="str">
        <f t="shared" si="96"/>
        <v>Error?</v>
      </c>
      <c r="E6267" s="2" t="s">
        <v>199</v>
      </c>
    </row>
    <row r="6268" spans="1:5" x14ac:dyDescent="0.2">
      <c r="A6268">
        <v>6207</v>
      </c>
      <c r="B6268" s="138">
        <f>'Acct Summary 7-8'!D82</f>
        <v>-6806</v>
      </c>
      <c r="D6268" s="2" t="str">
        <f t="shared" si="96"/>
        <v>Error?</v>
      </c>
      <c r="E6268" s="2" t="s">
        <v>199</v>
      </c>
    </row>
    <row r="6269" spans="1:5" x14ac:dyDescent="0.2">
      <c r="A6269">
        <v>6208</v>
      </c>
      <c r="B6269" s="138">
        <f>'Acct Summary 7-8'!E82</f>
        <v>16918</v>
      </c>
      <c r="D6269" s="2" t="str">
        <f t="shared" si="96"/>
        <v>Error?</v>
      </c>
      <c r="E6269" s="2" t="s">
        <v>199</v>
      </c>
    </row>
    <row r="6270" spans="1:5" x14ac:dyDescent="0.2">
      <c r="A6270">
        <v>6209</v>
      </c>
      <c r="B6270" s="138">
        <f>'Acct Summary 7-8'!F82</f>
        <v>45710</v>
      </c>
      <c r="D6270" s="2" t="str">
        <f t="shared" si="96"/>
        <v>Error?</v>
      </c>
      <c r="E6270" s="2" t="s">
        <v>199</v>
      </c>
    </row>
    <row r="6271" spans="1:5" x14ac:dyDescent="0.2">
      <c r="A6271">
        <v>6210</v>
      </c>
      <c r="B6271" s="138">
        <f>'Acct Summary 7-8'!G82</f>
        <v>3708</v>
      </c>
      <c r="D6271" s="2" t="str">
        <f t="shared" ref="D6271:D6334" si="97">IF(ISBLANK(B6271),"OK",IF(A6271-B6271=0,"OK","Error?"))</f>
        <v>Error?</v>
      </c>
      <c r="E6271" s="2" t="s">
        <v>199</v>
      </c>
    </row>
    <row r="6272" spans="1:5" x14ac:dyDescent="0.2">
      <c r="A6272">
        <v>6211</v>
      </c>
      <c r="B6272" s="138">
        <f>'Acct Summary 7-8'!H82</f>
        <v>23075</v>
      </c>
      <c r="D6272" s="2" t="str">
        <f t="shared" si="97"/>
        <v>Error?</v>
      </c>
      <c r="E6272" s="2" t="s">
        <v>199</v>
      </c>
    </row>
    <row r="6273" spans="1:5" x14ac:dyDescent="0.2">
      <c r="A6273">
        <v>6212</v>
      </c>
      <c r="B6273" s="138">
        <f>'Acct Summary 7-8'!I82</f>
        <v>9502</v>
      </c>
      <c r="D6273" s="2" t="str">
        <f t="shared" si="97"/>
        <v>Error?</v>
      </c>
      <c r="E6273" s="2" t="s">
        <v>199</v>
      </c>
    </row>
    <row r="6274" spans="1:5" x14ac:dyDescent="0.2">
      <c r="A6274">
        <v>6213</v>
      </c>
      <c r="B6274" s="138">
        <f>'Acct Summary 7-8'!J82</f>
        <v>-29690</v>
      </c>
      <c r="D6274" s="2" t="str">
        <f t="shared" si="97"/>
        <v>Error?</v>
      </c>
      <c r="E6274" s="2" t="s">
        <v>199</v>
      </c>
    </row>
    <row r="6275" spans="1:5" x14ac:dyDescent="0.2">
      <c r="A6275">
        <v>6214</v>
      </c>
      <c r="B6275" s="138">
        <f>'Acct Summary 7-8'!K82</f>
        <v>786</v>
      </c>
      <c r="D6275" s="2" t="str">
        <f t="shared" si="97"/>
        <v>Error?</v>
      </c>
      <c r="E6275" s="2" t="s">
        <v>199</v>
      </c>
    </row>
    <row r="6276" spans="1:5" x14ac:dyDescent="0.2">
      <c r="A6276">
        <v>6215</v>
      </c>
      <c r="B6276" s="138">
        <f>'Acct Summary 7-8'!C83</f>
        <v>-1.6308477435857716E-2</v>
      </c>
      <c r="D6276" s="2" t="str">
        <f t="shared" si="97"/>
        <v>Error?</v>
      </c>
      <c r="E6276" s="2" t="s">
        <v>199</v>
      </c>
    </row>
    <row r="6277" spans="1:5" x14ac:dyDescent="0.2">
      <c r="A6277">
        <v>6216</v>
      </c>
      <c r="B6277" s="138">
        <f>'Acct Summary 7-8'!D83</f>
        <v>-7.532594019080506E-2</v>
      </c>
      <c r="D6277" s="2" t="str">
        <f t="shared" si="97"/>
        <v>Error?</v>
      </c>
      <c r="E6277" s="2" t="s">
        <v>199</v>
      </c>
    </row>
    <row r="6278" spans="1:5" x14ac:dyDescent="0.2">
      <c r="A6278">
        <v>6217</v>
      </c>
      <c r="B6278" s="138">
        <f>'Acct Summary 7-8'!E83</f>
        <v>0.32544629116651275</v>
      </c>
      <c r="D6278" s="2" t="str">
        <f t="shared" si="97"/>
        <v>Error?</v>
      </c>
      <c r="E6278" s="2" t="s">
        <v>199</v>
      </c>
    </row>
    <row r="6279" spans="1:5" x14ac:dyDescent="0.2">
      <c r="A6279">
        <v>6218</v>
      </c>
      <c r="B6279" s="138">
        <f>'Acct Summary 7-8'!F83</f>
        <v>0.30465412326128538</v>
      </c>
      <c r="D6279" s="2" t="str">
        <f t="shared" si="97"/>
        <v>Error?</v>
      </c>
      <c r="E6279" s="2" t="s">
        <v>199</v>
      </c>
    </row>
    <row r="6280" spans="1:5" x14ac:dyDescent="0.2">
      <c r="A6280">
        <v>6219</v>
      </c>
      <c r="B6280" s="138">
        <f>'Acct Summary 7-8'!G83</f>
        <v>4.5868381989114297E-2</v>
      </c>
      <c r="D6280" s="2" t="str">
        <f t="shared" si="97"/>
        <v>Error?</v>
      </c>
      <c r="E6280" s="2" t="s">
        <v>199</v>
      </c>
    </row>
    <row r="6281" spans="1:5" x14ac:dyDescent="0.2">
      <c r="A6281">
        <v>6220</v>
      </c>
      <c r="B6281" s="138">
        <f>'Acct Summary 7-8'!H83</f>
        <v>0.56563304326510599</v>
      </c>
      <c r="D6281" s="2" t="str">
        <f t="shared" si="97"/>
        <v>Error?</v>
      </c>
      <c r="E6281" s="2" t="s">
        <v>199</v>
      </c>
    </row>
    <row r="6282" spans="1:5" x14ac:dyDescent="0.2">
      <c r="A6282">
        <v>6221</v>
      </c>
      <c r="B6282" s="138">
        <f>'Acct Summary 7-8'!I83</f>
        <v>3.876041721905632E-2</v>
      </c>
      <c r="D6282" s="2" t="str">
        <f t="shared" si="97"/>
        <v>Error?</v>
      </c>
      <c r="E6282" s="2" t="s">
        <v>199</v>
      </c>
    </row>
    <row r="6283" spans="1:5" x14ac:dyDescent="0.2">
      <c r="A6283">
        <v>6222</v>
      </c>
      <c r="B6283" s="138">
        <f>'Acct Summary 7-8'!J83</f>
        <v>-0.86883998595341216</v>
      </c>
      <c r="D6283" s="2" t="str">
        <f t="shared" si="97"/>
        <v>Error?</v>
      </c>
      <c r="E6283" s="2" t="s">
        <v>199</v>
      </c>
    </row>
    <row r="6284" spans="1:5" x14ac:dyDescent="0.2">
      <c r="A6284">
        <v>6223</v>
      </c>
      <c r="B6284" s="138">
        <f>'Acct Summary 7-8'!K83</f>
        <v>0.28365211115120897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9648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9648</v>
      </c>
      <c r="D6301" s="2" t="str">
        <f t="shared" si="97"/>
        <v>Error?</v>
      </c>
      <c r="E6301" s="2" t="s">
        <v>199</v>
      </c>
    </row>
    <row r="6302" spans="1:5" x14ac:dyDescent="0.2">
      <c r="A6302">
        <v>6241</v>
      </c>
      <c r="B6302" s="138">
        <f>'Revenues 9-14'!J14</f>
        <v>42</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42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9742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39432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9742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9513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9513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3027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3027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17060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17060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6389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6389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3443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3443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39432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39432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39432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39432</v>
      </c>
      <c r="D7224" s="2" t="str">
        <f t="shared" si="111"/>
        <v>Error?</v>
      </c>
    </row>
    <row r="7225" spans="1:4" x14ac:dyDescent="0.2">
      <c r="A7225">
        <v>7164</v>
      </c>
      <c r="B7225" s="138">
        <f>'Expenditures 15-22'!K343</f>
        <v>-29690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87966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52786</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141</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84119</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84260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22888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24146</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35020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35020</v>
      </c>
      <c r="D7727" s="2" t="str">
        <f t="shared" si="126"/>
        <v>Error?</v>
      </c>
      <c r="E7727" s="2" t="s">
        <v>881</v>
      </c>
    </row>
    <row r="7728" spans="1:6" x14ac:dyDescent="0.2">
      <c r="A7728">
        <v>7667</v>
      </c>
      <c r="B7728" s="138">
        <f>'Revenues 9-14'!E103</f>
        <v>51831</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59166</v>
      </c>
      <c r="D7730" s="2" t="str">
        <f t="shared" si="126"/>
        <v>Error?</v>
      </c>
      <c r="E7730" s="2" t="s">
        <v>881</v>
      </c>
    </row>
    <row r="7731" spans="1:6" x14ac:dyDescent="0.2">
      <c r="A7731">
        <v>7670</v>
      </c>
      <c r="B7731" s="138">
        <f>'Revenues 9-14'!H103</f>
        <v>32288</v>
      </c>
      <c r="D7731" s="2" t="str">
        <f t="shared" si="126"/>
        <v>Error?</v>
      </c>
      <c r="E7731" s="2" t="s">
        <v>881</v>
      </c>
    </row>
    <row r="7732" spans="1:6" x14ac:dyDescent="0.2">
      <c r="A7732">
        <v>7671</v>
      </c>
      <c r="B7732" s="138">
        <f>'Rest Tax Levies-Tort Im 25'!J24</f>
        <v>77880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77880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42033</v>
      </c>
      <c r="D7797" s="2" t="str">
        <f t="shared" si="127"/>
        <v>Error?</v>
      </c>
      <c r="E7797" s="4" t="s">
        <v>2020</v>
      </c>
    </row>
    <row r="7798" spans="1:5" x14ac:dyDescent="0.2">
      <c r="A7798">
        <v>7737</v>
      </c>
      <c r="B7798" s="138">
        <f>'Contracts Paid in CY 29'!F30</f>
        <v>31150</v>
      </c>
      <c r="D7798" s="2" t="str">
        <f t="shared" si="127"/>
        <v>Error?</v>
      </c>
      <c r="E7798" s="4" t="s">
        <v>2020</v>
      </c>
    </row>
    <row r="7799" spans="1:5" x14ac:dyDescent="0.2">
      <c r="A7799">
        <v>7738</v>
      </c>
      <c r="B7799" s="138">
        <f>'Contracts Paid in CY 29'!G30</f>
        <v>10883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Ewing Northern CCSD 115</v>
      </c>
      <c r="B7" s="2421"/>
      <c r="C7" s="2421"/>
      <c r="D7" s="2422"/>
      <c r="E7" s="2423">
        <f>COVER!A13</f>
        <v>21028115004</v>
      </c>
      <c r="F7" s="2424"/>
      <c r="G7" s="2430" t="str">
        <f>COVER!T23</f>
        <v>060-006876</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SUSAN J. LYONS, CPA, P.C.</v>
      </c>
      <c r="H9" s="2436"/>
      <c r="I9" s="2436"/>
      <c r="J9" s="2436"/>
      <c r="K9" s="2436"/>
      <c r="L9" s="2437"/>
    </row>
    <row r="10" spans="1:29" ht="13.5" customHeight="1" x14ac:dyDescent="0.2">
      <c r="A10" s="2410" t="str">
        <f>COVER!A38</f>
        <v>KRISTIN ING</v>
      </c>
      <c r="B10" s="2411"/>
      <c r="C10" s="2411"/>
      <c r="D10" s="2411"/>
      <c r="E10" s="2411"/>
      <c r="F10" s="2412"/>
      <c r="G10" s="2404" t="str">
        <f>COVER!T17</f>
        <v>5859 U.S. HIGHWAY 51</v>
      </c>
      <c r="H10" s="2405"/>
      <c r="I10" s="2405"/>
      <c r="J10" s="2405"/>
      <c r="K10" s="2405"/>
      <c r="L10" s="2406"/>
    </row>
    <row r="11" spans="1:29" ht="13.5" customHeight="1" x14ac:dyDescent="0.2">
      <c r="A11" s="1185" t="s">
        <v>1599</v>
      </c>
      <c r="B11" s="1186"/>
      <c r="C11" s="1187"/>
      <c r="D11" s="1192"/>
      <c r="E11" s="1187"/>
      <c r="F11" s="1191"/>
      <c r="G11" s="2404" t="str">
        <f>COVER!T19</f>
        <v>ODIN</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slyons1007@gmail.com</v>
      </c>
      <c r="J13" s="2417"/>
      <c r="K13" s="2417"/>
      <c r="L13" s="2418"/>
    </row>
    <row r="14" spans="1:29" ht="13.5" customHeight="1" x14ac:dyDescent="0.2">
      <c r="A14" s="2404" t="str">
        <f>COVER!A19</f>
        <v>51 N. MAIN ST.</v>
      </c>
      <c r="B14" s="2405"/>
      <c r="C14" s="2405"/>
      <c r="D14" s="2405"/>
      <c r="E14" s="2405"/>
      <c r="F14" s="2406"/>
      <c r="G14" s="1196" t="s">
        <v>1247</v>
      </c>
      <c r="H14" s="1194"/>
      <c r="I14" s="1194"/>
      <c r="J14" s="1194"/>
      <c r="K14" s="1194"/>
      <c r="L14" s="1195"/>
    </row>
    <row r="15" spans="1:29" ht="13.5" customHeight="1" x14ac:dyDescent="0.2">
      <c r="A15" s="2404" t="str">
        <f>COVER!A21</f>
        <v>EWING</v>
      </c>
      <c r="B15" s="2405"/>
      <c r="C15" s="2405"/>
      <c r="D15" s="2405"/>
      <c r="E15" s="2405"/>
      <c r="F15" s="2406"/>
      <c r="G15" s="2401" t="str">
        <f>COVER!T15</f>
        <v>SUSAN J. LYONS</v>
      </c>
      <c r="H15" s="2402"/>
      <c r="I15" s="2402"/>
      <c r="J15" s="2402"/>
      <c r="K15" s="2402"/>
      <c r="L15" s="2403"/>
    </row>
    <row r="16" spans="1:29" ht="12.2" customHeight="1" x14ac:dyDescent="0.2">
      <c r="A16" s="2426">
        <f>COVER!A25</f>
        <v>62836</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618-267-3213</v>
      </c>
      <c r="H18" s="2421"/>
      <c r="I18" s="2421"/>
      <c r="J18" s="2421"/>
      <c r="K18" s="2420" t="str">
        <f>COVER!X21</f>
        <v>618-247-3208</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Ewing Northern CCSD 115</v>
      </c>
      <c r="B1" s="2419"/>
      <c r="C1" s="2419"/>
      <c r="D1" s="2419"/>
    </row>
    <row r="2" spans="1:11" s="1215" customFormat="1" ht="12.75" x14ac:dyDescent="0.2">
      <c r="A2" s="2443">
        <f>'Single Audit Cover'!E7</f>
        <v>21028115004</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Ewing Northern CCSD 115</v>
      </c>
      <c r="B1" s="2446"/>
      <c r="C1" s="2446"/>
      <c r="D1" s="2446"/>
      <c r="E1" s="2446"/>
    </row>
    <row r="2" spans="1:5" x14ac:dyDescent="0.2">
      <c r="A2" s="2447">
        <f>'Single Audit Cover'!E7</f>
        <v>21028115004</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230821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7386</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-2862</v>
      </c>
    </row>
    <row r="19" spans="1:4" ht="13.5" thickBot="1" x14ac:dyDescent="0.25">
      <c r="A19" s="1265" t="s">
        <v>1297</v>
      </c>
      <c r="D19" s="1266">
        <f>SUM(D10:D17)</f>
        <v>235345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235345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235345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Ewing Northern CCSD 115</v>
      </c>
      <c r="B1" s="2459"/>
      <c r="C1" s="2459"/>
      <c r="D1" s="2459"/>
      <c r="E1" s="2459"/>
      <c r="F1" s="2459"/>
    </row>
    <row r="2" spans="1:7" ht="13.5" customHeight="1" x14ac:dyDescent="0.2">
      <c r="A2" s="2460">
        <f>'Single Audit Cover'!E7</f>
        <v>21028115004</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69" t="s">
        <v>1332</v>
      </c>
      <c r="D15" s="2456" t="s">
        <v>1331</v>
      </c>
      <c r="E15" s="2456"/>
      <c r="F15" s="2456"/>
    </row>
    <row r="16" spans="1:7" ht="13.5" customHeight="1" x14ac:dyDescent="0.2">
      <c r="A16" s="1282"/>
      <c r="B16" s="1276" t="s">
        <v>1330</v>
      </c>
      <c r="C16" s="1869"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3">
        <f>+C33+C34</f>
        <v>0</v>
      </c>
      <c r="F34" s="2454"/>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8"/>
      <c r="C50" s="1868"/>
      <c r="D50" s="1868"/>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Ewing Northern CCSD 115</v>
      </c>
      <c r="C1" s="2463"/>
      <c r="D1" s="2463"/>
      <c r="E1" s="2463"/>
      <c r="F1" s="2463"/>
      <c r="G1" s="2463"/>
      <c r="H1" s="2463"/>
      <c r="I1" s="2463"/>
      <c r="J1" s="2463"/>
      <c r="K1" s="2463"/>
      <c r="L1" s="2463"/>
      <c r="M1" s="2463"/>
    </row>
    <row r="2" spans="2:14" ht="15" x14ac:dyDescent="0.2">
      <c r="B2" s="2460">
        <f>'Single Audit Cover'!E7</f>
        <v>21028115004</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2" colorId="8" zoomScale="110" zoomScaleNormal="110" workbookViewId="0">
      <selection activeCell="A40" sqref="A40:H4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2094</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2078</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Ewing Northern CCSD 115</v>
      </c>
      <c r="C1" s="2478"/>
      <c r="D1" s="2478"/>
      <c r="E1" s="2478"/>
      <c r="F1" s="2478"/>
      <c r="G1" s="2478"/>
      <c r="H1" s="2478"/>
      <c r="I1" s="2478"/>
      <c r="J1" s="1422"/>
    </row>
    <row r="2" spans="2:10" s="317" customFormat="1" ht="12.75" customHeight="1" x14ac:dyDescent="0.2">
      <c r="B2" s="2479">
        <f>'Single Audit Cover'!E7</f>
        <v>21028115004</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1952</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sqref="A1:D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Ewing Northern CCSD 115</v>
      </c>
      <c r="C1" s="2477"/>
      <c r="D1" s="2477"/>
      <c r="E1" s="2477"/>
      <c r="F1" s="2477"/>
      <c r="G1" s="2477"/>
      <c r="H1" s="2477"/>
      <c r="I1" s="2477"/>
      <c r="J1" s="2477"/>
      <c r="K1" s="2477"/>
      <c r="L1" s="1374"/>
      <c r="M1" s="1374"/>
    </row>
    <row r="2" spans="1:13" ht="12" customHeight="1" x14ac:dyDescent="0.2">
      <c r="B2" s="2479">
        <f>'Single Audit Cover'!E7</f>
        <v>21028115004</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2094</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2112</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5.25" customHeight="1" x14ac:dyDescent="0.2">
      <c r="B17" s="2492" t="s">
        <v>2113</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2114</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2115</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2116</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30.75" customHeight="1" x14ac:dyDescent="0.2">
      <c r="B29" s="2491" t="s">
        <v>2117</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5.5" customHeight="1" x14ac:dyDescent="0.2">
      <c r="B32" s="2491" t="s">
        <v>2118</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sqref="A1:D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Ewing Northern CCSD 115</v>
      </c>
      <c r="C1" s="2477"/>
      <c r="D1" s="2477"/>
      <c r="E1" s="2477"/>
      <c r="F1" s="2477"/>
      <c r="G1" s="2477"/>
      <c r="H1" s="2477"/>
      <c r="I1" s="2477"/>
      <c r="J1" s="2477"/>
      <c r="K1" s="2477"/>
      <c r="L1" s="1374"/>
      <c r="M1" s="1374"/>
    </row>
    <row r="2" spans="1:13" ht="12" customHeight="1" x14ac:dyDescent="0.2">
      <c r="B2" s="2479">
        <f>'Single Audit Cover'!E7</f>
        <v>21028115004</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954"/>
      <c r="M3" s="1954"/>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2094</v>
      </c>
      <c r="J10" s="1390" t="s">
        <v>1360</v>
      </c>
      <c r="K10" s="322"/>
      <c r="L10" s="1381"/>
    </row>
    <row r="11" spans="1:13" ht="13.5" customHeight="1" x14ac:dyDescent="0.2">
      <c r="B11" s="322"/>
      <c r="C11" s="322"/>
      <c r="D11" s="322"/>
      <c r="E11" s="322"/>
      <c r="F11" s="322"/>
      <c r="G11" s="1383"/>
      <c r="H11" s="322"/>
      <c r="I11" s="1391" t="s">
        <v>1359</v>
      </c>
      <c r="J11" s="322"/>
      <c r="K11" s="1392">
        <v>1999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2119</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2120</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2121</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2122</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2123</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t="s">
        <v>2124</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t="s">
        <v>2125</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Ewing Northern CCSD 115</v>
      </c>
      <c r="C1" s="2500"/>
      <c r="D1" s="2500"/>
      <c r="E1" s="2500"/>
      <c r="F1" s="2500"/>
      <c r="G1" s="2500"/>
      <c r="H1" s="2500"/>
      <c r="I1" s="2500"/>
      <c r="J1" s="2500"/>
      <c r="K1" s="2500"/>
      <c r="L1" s="1465"/>
    </row>
    <row r="2" spans="1:12" ht="12.75" customHeight="1" x14ac:dyDescent="0.2">
      <c r="B2" s="2501">
        <f>'Single Audit Cover'!E7</f>
        <v>21028115004</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Ewing Northern CCSD 115</v>
      </c>
      <c r="C1" s="2477"/>
      <c r="D1" s="2477"/>
      <c r="E1" s="1491"/>
    </row>
    <row r="2" spans="2:5" s="1282" customFormat="1" ht="12.75" customHeight="1" x14ac:dyDescent="0.2">
      <c r="B2" s="2479">
        <f>'Single Audit Cover'!E7</f>
        <v>21028115004</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A40" sqref="A40:H4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23685227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1.9612000000000001E-2</v>
      </c>
      <c r="E10" s="356" t="s">
        <v>1062</v>
      </c>
      <c r="F10" s="355">
        <v>4.9519999999999998E-3</v>
      </c>
      <c r="G10" s="356" t="s">
        <v>1062</v>
      </c>
      <c r="H10" s="355">
        <v>1.7110000000000001E-3</v>
      </c>
      <c r="I10" s="356" t="s">
        <v>1063</v>
      </c>
      <c r="J10" s="1753">
        <f>ROUND(D10+F10+H10,5)</f>
        <v>2.6280000000000001E-2</v>
      </c>
      <c r="K10" s="222"/>
      <c r="L10" s="355">
        <v>3.8400000000000001E-4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1984050</v>
      </c>
      <c r="E16" s="356"/>
      <c r="F16" s="1754">
        <f>SUM('Acct Summary 7-8'!C17,'Acct Summary 7-8'!D17,'Acct Summary 7-8'!F17)</f>
        <v>1943935</v>
      </c>
      <c r="G16" s="356"/>
      <c r="H16" s="1754">
        <f>SUM(D16-F16)</f>
        <v>40115</v>
      </c>
      <c r="I16" s="222"/>
      <c r="J16" s="1754">
        <f>SUM('Acct Summary 7-8'!C81,'Acct Summary 7-8'!D81,'Acct Summary 7-8'!F81,'Acct Summary 7-8'!I81)</f>
        <v>963267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2094</v>
      </c>
      <c r="C31" s="367" t="s">
        <v>607</v>
      </c>
      <c r="D31" s="237" t="s">
        <v>1132</v>
      </c>
      <c r="E31" s="222"/>
      <c r="F31" s="222"/>
      <c r="G31" s="363"/>
      <c r="H31" s="1756">
        <f>IF(B31="X",(J7*0.069),IF(B32="X",(J7*0.138),"Enter x in a.or b."))</f>
        <v>1634280.6630000002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245140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A40" sqref="A40:H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Ewing Northern CCSD 115</v>
      </c>
      <c r="E7" s="391"/>
      <c r="G7" s="252"/>
      <c r="H7" s="387"/>
      <c r="I7" s="387"/>
      <c r="J7" s="387"/>
      <c r="K7" s="387"/>
      <c r="L7" s="329"/>
      <c r="M7" s="329"/>
      <c r="N7" s="329"/>
      <c r="O7" s="329"/>
      <c r="P7" s="329"/>
    </row>
    <row r="8" spans="1:18" ht="12.75" x14ac:dyDescent="0.2">
      <c r="A8" s="329"/>
      <c r="B8" s="329"/>
      <c r="C8" s="389" t="s">
        <v>1187</v>
      </c>
      <c r="D8" s="392">
        <f>COVER!A13</f>
        <v>21028115004</v>
      </c>
      <c r="E8" s="393"/>
      <c r="G8" s="329"/>
      <c r="H8" s="329"/>
      <c r="I8" s="329"/>
      <c r="J8" s="329"/>
      <c r="K8" s="329"/>
      <c r="L8" s="329"/>
      <c r="M8" s="329"/>
      <c r="N8" s="329"/>
      <c r="O8" s="329"/>
      <c r="P8" s="329"/>
    </row>
    <row r="9" spans="1:18" ht="12.75" x14ac:dyDescent="0.2">
      <c r="A9" s="329"/>
      <c r="B9" s="329"/>
      <c r="C9" s="389" t="s">
        <v>737</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963267</v>
      </c>
      <c r="I12" s="404"/>
      <c r="J12" s="404"/>
      <c r="K12" s="405">
        <f>TRUNC((H12/H13*100000),5)/100000</f>
        <v>0.4855054056</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1984050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1943935</v>
      </c>
      <c r="I17" s="404"/>
      <c r="J17" s="416"/>
      <c r="K17" s="405">
        <f>TRUNC((H17/H18*100000),5)/100000</f>
        <v>0.97978125549999995</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1984050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963267</v>
      </c>
      <c r="I24" s="422"/>
      <c r="J24" s="422"/>
      <c r="K24" s="423">
        <f>TRUNC(((H24/H25*100000)/100000),2)</f>
        <v>178.38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5399.8194400000002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529080.60072999995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245140</v>
      </c>
      <c r="I32" s="420"/>
      <c r="J32" s="420"/>
      <c r="K32" s="423">
        <f>TRUNC(100-((((H32/H33*100))*100)/100),2)</f>
        <v>85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1634280.6630000002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A40" sqref="A40:H40"/>
      <selection pane="bottomLeft" activeCell="A40" sqref="A40:H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477727</v>
      </c>
      <c r="D4" s="466">
        <v>90354</v>
      </c>
      <c r="E4" s="466">
        <v>51984</v>
      </c>
      <c r="F4" s="466">
        <v>150039</v>
      </c>
      <c r="G4" s="466">
        <v>80840</v>
      </c>
      <c r="H4" s="466">
        <v>40795</v>
      </c>
      <c r="I4" s="466">
        <v>245147</v>
      </c>
      <c r="J4" s="467">
        <v>34172</v>
      </c>
      <c r="K4" s="466">
        <v>2771</v>
      </c>
      <c r="L4" s="466">
        <v>12821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477727</v>
      </c>
      <c r="D13" s="1758">
        <f t="shared" ref="D13:L13" si="0">SUM(D4:D12)</f>
        <v>90354</v>
      </c>
      <c r="E13" s="1758">
        <f t="shared" si="0"/>
        <v>51984</v>
      </c>
      <c r="F13" s="1758">
        <f t="shared" si="0"/>
        <v>150039</v>
      </c>
      <c r="G13" s="1758">
        <f t="shared" si="0"/>
        <v>80840</v>
      </c>
      <c r="H13" s="1758">
        <f t="shared" si="0"/>
        <v>40795</v>
      </c>
      <c r="I13" s="1758">
        <f t="shared" si="0"/>
        <v>245147</v>
      </c>
      <c r="J13" s="1758">
        <f t="shared" si="0"/>
        <v>34172</v>
      </c>
      <c r="K13" s="1758">
        <f t="shared" si="0"/>
        <v>2771</v>
      </c>
      <c r="L13" s="1758">
        <f t="shared" si="0"/>
        <v>12821</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16173</v>
      </c>
      <c r="N16" s="484"/>
    </row>
    <row r="17" spans="1:14" s="485" customFormat="1" ht="12.75" customHeight="1" x14ac:dyDescent="0.2">
      <c r="A17" s="482" t="s">
        <v>1470</v>
      </c>
      <c r="B17" s="483">
        <v>230</v>
      </c>
      <c r="C17" s="477"/>
      <c r="D17" s="477"/>
      <c r="E17" s="477"/>
      <c r="F17" s="477"/>
      <c r="G17" s="477"/>
      <c r="H17" s="477"/>
      <c r="I17" s="477"/>
      <c r="J17" s="477"/>
      <c r="K17" s="477"/>
      <c r="L17" s="477"/>
      <c r="M17" s="467">
        <v>2596732</v>
      </c>
      <c r="N17" s="484"/>
    </row>
    <row r="18" spans="1:14" s="485" customFormat="1" ht="12.75" customHeight="1" x14ac:dyDescent="0.2">
      <c r="A18" s="482" t="s">
        <v>1471</v>
      </c>
      <c r="B18" s="483">
        <v>240</v>
      </c>
      <c r="C18" s="477"/>
      <c r="D18" s="477"/>
      <c r="E18" s="477"/>
      <c r="F18" s="477"/>
      <c r="G18" s="477"/>
      <c r="H18" s="477"/>
      <c r="I18" s="477"/>
      <c r="J18" s="477"/>
      <c r="K18" s="477"/>
      <c r="L18" s="477"/>
      <c r="M18" s="467">
        <v>130531</v>
      </c>
      <c r="N18" s="484"/>
    </row>
    <row r="19" spans="1:14" s="485" customFormat="1" ht="12.75" customHeight="1" x14ac:dyDescent="0.2">
      <c r="A19" s="482" t="s">
        <v>1472</v>
      </c>
      <c r="B19" s="483">
        <v>250</v>
      </c>
      <c r="C19" s="477"/>
      <c r="D19" s="477"/>
      <c r="E19" s="477"/>
      <c r="F19" s="477"/>
      <c r="G19" s="477"/>
      <c r="H19" s="477"/>
      <c r="I19" s="477"/>
      <c r="J19" s="477"/>
      <c r="K19" s="477"/>
      <c r="L19" s="477"/>
      <c r="M19" s="467">
        <v>1244653</v>
      </c>
      <c r="N19" s="484"/>
    </row>
    <row r="20" spans="1:14" s="485" customFormat="1" ht="12.75" customHeight="1" x14ac:dyDescent="0.2">
      <c r="A20" s="482" t="s">
        <v>1473</v>
      </c>
      <c r="B20" s="483">
        <v>260</v>
      </c>
      <c r="C20" s="477"/>
      <c r="D20" s="477"/>
      <c r="E20" s="477"/>
      <c r="F20" s="477"/>
      <c r="G20" s="477"/>
      <c r="H20" s="477"/>
      <c r="I20" s="477"/>
      <c r="J20" s="477"/>
      <c r="K20" s="477"/>
      <c r="L20" s="477"/>
      <c r="M20" s="467">
        <v>15930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51984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193156</v>
      </c>
    </row>
    <row r="23" spans="1:14" ht="13.5" customHeight="1" thickBot="1" x14ac:dyDescent="0.25">
      <c r="A23" s="1757" t="s">
        <v>664</v>
      </c>
      <c r="B23" s="1762"/>
      <c r="C23" s="468"/>
      <c r="D23" s="468"/>
      <c r="E23" s="468"/>
      <c r="F23" s="468"/>
      <c r="G23" s="468"/>
      <c r="H23" s="468"/>
      <c r="I23" s="468"/>
      <c r="J23" s="468"/>
      <c r="K23" s="468"/>
      <c r="L23" s="468"/>
      <c r="M23" s="1709">
        <f>SUM(M15:M22)</f>
        <v>4004019</v>
      </c>
      <c r="N23" s="1709">
        <f>SUM(N21:N22)</f>
        <v>245140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12821</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12821</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245140</v>
      </c>
    </row>
    <row r="37" spans="1:14" ht="13.5" thickBot="1" x14ac:dyDescent="0.25">
      <c r="A37" s="1757" t="s">
        <v>674</v>
      </c>
      <c r="B37" s="1762"/>
      <c r="C37" s="477"/>
      <c r="D37" s="477"/>
      <c r="E37" s="477"/>
      <c r="F37" s="477"/>
      <c r="G37" s="477"/>
      <c r="H37" s="477"/>
      <c r="I37" s="477"/>
      <c r="J37" s="477"/>
      <c r="K37" s="477"/>
      <c r="L37" s="480"/>
      <c r="M37" s="468"/>
      <c r="N37" s="1709">
        <f>SUM(N36:N36)</f>
        <v>245140</v>
      </c>
    </row>
    <row r="38" spans="1:14" s="329" customFormat="1" ht="13.5" customHeight="1" thickTop="1" x14ac:dyDescent="0.2">
      <c r="A38" s="496" t="s">
        <v>440</v>
      </c>
      <c r="B38" s="483">
        <v>714</v>
      </c>
      <c r="C38" s="466"/>
      <c r="D38" s="466"/>
      <c r="E38" s="466"/>
      <c r="F38" s="466"/>
      <c r="G38" s="466">
        <v>39670</v>
      </c>
      <c r="H38" s="466"/>
      <c r="I38" s="466"/>
      <c r="J38" s="467"/>
      <c r="K38" s="466"/>
      <c r="L38" s="481"/>
      <c r="M38" s="497"/>
      <c r="N38" s="497"/>
    </row>
    <row r="39" spans="1:14" s="329" customFormat="1" ht="13.5" customHeight="1" x14ac:dyDescent="0.2">
      <c r="A39" s="496" t="s">
        <v>360</v>
      </c>
      <c r="B39" s="483">
        <v>730</v>
      </c>
      <c r="C39" s="466">
        <v>477727</v>
      </c>
      <c r="D39" s="466">
        <v>90354</v>
      </c>
      <c r="E39" s="466">
        <v>51984</v>
      </c>
      <c r="F39" s="466">
        <v>150039</v>
      </c>
      <c r="G39" s="466">
        <v>41170</v>
      </c>
      <c r="H39" s="466">
        <v>40795</v>
      </c>
      <c r="I39" s="466">
        <v>245147</v>
      </c>
      <c r="J39" s="467">
        <v>34172</v>
      </c>
      <c r="K39" s="466">
        <v>2771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4004019</v>
      </c>
      <c r="N40" s="497"/>
    </row>
    <row r="41" spans="1:14" ht="13.5" customHeight="1" thickBot="1" x14ac:dyDescent="0.25">
      <c r="A41" s="1757" t="s">
        <v>676</v>
      </c>
      <c r="B41" s="1727"/>
      <c r="C41" s="1709">
        <f>(SUM(C34,C37,C38,C39))</f>
        <v>477727</v>
      </c>
      <c r="D41" s="1709">
        <f t="shared" ref="D41:L41" si="2">SUM(D34,D37,D38:D39)</f>
        <v>90354</v>
      </c>
      <c r="E41" s="1709">
        <f t="shared" si="2"/>
        <v>51984</v>
      </c>
      <c r="F41" s="1709">
        <f t="shared" si="2"/>
        <v>150039</v>
      </c>
      <c r="G41" s="1709">
        <f t="shared" si="2"/>
        <v>80840</v>
      </c>
      <c r="H41" s="1709">
        <f t="shared" si="2"/>
        <v>40795</v>
      </c>
      <c r="I41" s="1709">
        <f t="shared" si="2"/>
        <v>245147</v>
      </c>
      <c r="J41" s="1709">
        <f t="shared" si="2"/>
        <v>34172</v>
      </c>
      <c r="K41" s="1709">
        <f t="shared" si="2"/>
        <v>2771</v>
      </c>
      <c r="L41" s="1709">
        <f t="shared" si="2"/>
        <v>12821</v>
      </c>
      <c r="M41" s="1709">
        <f>SUM(M40)</f>
        <v>4004019</v>
      </c>
      <c r="N41" s="1709">
        <f>SUM(N37)</f>
        <v>245140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0" sqref="A40:H40"/>
      <selection pane="bottomLeft" activeCell="A40" sqref="A40:H4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2" t="s">
        <v>1579</v>
      </c>
      <c r="B4" s="1953">
        <v>1000</v>
      </c>
      <c r="C4" s="1763">
        <f>'Revenues 9-14'!C109</f>
        <v>546583</v>
      </c>
      <c r="D4" s="1763">
        <f>'Revenues 9-14'!D109</f>
        <v>114753</v>
      </c>
      <c r="E4" s="1763">
        <f>'Revenues 9-14'!E109</f>
        <v>51938</v>
      </c>
      <c r="F4" s="1763">
        <f>'Revenues 9-14'!F109</f>
        <v>38457</v>
      </c>
      <c r="G4" s="1763">
        <f>'Revenues 9-14'!G109</f>
        <v>93214</v>
      </c>
      <c r="H4" s="1763">
        <f>'Revenues 9-14'!H109</f>
        <v>32322</v>
      </c>
      <c r="I4" s="1763">
        <f>'Revenues 9-14'!I109</f>
        <v>9502</v>
      </c>
      <c r="J4" s="1763">
        <f>'Revenues 9-14'!J109</f>
        <v>9742</v>
      </c>
      <c r="K4" s="1763">
        <f>'Revenues 9-14'!K109</f>
        <v>1209</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892906</v>
      </c>
      <c r="D6" s="1764">
        <f>'Revenues 9-14'!D173</f>
        <v>50357</v>
      </c>
      <c r="E6" s="1764">
        <f>'Revenues 9-14'!E173</f>
        <v>0</v>
      </c>
      <c r="F6" s="1764">
        <f>'Revenues 9-14'!F173</f>
        <v>100671</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210821</v>
      </c>
      <c r="D7" s="1764">
        <f>'Revenues 9-14'!D274</f>
        <v>20000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1650310</v>
      </c>
      <c r="D8" s="1709">
        <f t="shared" ref="D8:K8" si="0">SUM(D4:D7)</f>
        <v>185110</v>
      </c>
      <c r="E8" s="1709">
        <f t="shared" si="0"/>
        <v>51938</v>
      </c>
      <c r="F8" s="1709">
        <f t="shared" si="0"/>
        <v>139128</v>
      </c>
      <c r="G8" s="1709">
        <f t="shared" si="0"/>
        <v>93214</v>
      </c>
      <c r="H8" s="1709">
        <f t="shared" si="0"/>
        <v>32322</v>
      </c>
      <c r="I8" s="1709">
        <f t="shared" si="0"/>
        <v>9502</v>
      </c>
      <c r="J8" s="1709">
        <f t="shared" si="0"/>
        <v>9742</v>
      </c>
      <c r="K8" s="1709">
        <f t="shared" si="0"/>
        <v>1209</v>
      </c>
      <c r="L8" s="347"/>
    </row>
    <row r="9" spans="1:13" ht="15.75" thickTop="1" x14ac:dyDescent="0.2">
      <c r="A9" s="514" t="s">
        <v>1752</v>
      </c>
      <c r="B9" s="515">
        <v>3998</v>
      </c>
      <c r="C9" s="481">
        <v>760621</v>
      </c>
      <c r="D9" s="516"/>
      <c r="E9" s="481"/>
      <c r="F9" s="481"/>
      <c r="G9" s="517"/>
      <c r="H9" s="481"/>
      <c r="I9" s="509" t="s">
        <v>1231</v>
      </c>
      <c r="J9" s="478"/>
      <c r="K9" s="481"/>
      <c r="L9" s="347"/>
    </row>
    <row r="10" spans="1:13" s="519" customFormat="1" ht="13.5" thickBot="1" x14ac:dyDescent="0.25">
      <c r="A10" s="1757" t="s">
        <v>1235</v>
      </c>
      <c r="B10" s="1730"/>
      <c r="C10" s="1709">
        <f>SUM(C8:C9)</f>
        <v>2410931</v>
      </c>
      <c r="D10" s="1709">
        <f t="shared" ref="D10:K10" si="1">SUM(D8:D9)</f>
        <v>185110</v>
      </c>
      <c r="E10" s="1709">
        <f t="shared" si="1"/>
        <v>51938</v>
      </c>
      <c r="F10" s="1709">
        <f t="shared" si="1"/>
        <v>139128</v>
      </c>
      <c r="G10" s="1709">
        <f t="shared" si="1"/>
        <v>93214</v>
      </c>
      <c r="H10" s="1709">
        <f t="shared" si="1"/>
        <v>32322</v>
      </c>
      <c r="I10" s="1709">
        <f t="shared" si="1"/>
        <v>9502</v>
      </c>
      <c r="J10" s="1709">
        <f t="shared" si="1"/>
        <v>9742</v>
      </c>
      <c r="K10" s="1709">
        <f t="shared" si="1"/>
        <v>1209</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3">
        <f>'Expenditures 15-22'!K33</f>
        <v>1275468</v>
      </c>
      <c r="D12" s="520" t="s">
        <v>1231</v>
      </c>
      <c r="E12" s="468" t="s">
        <v>1231</v>
      </c>
      <c r="F12" s="468" t="s">
        <v>1231</v>
      </c>
      <c r="G12" s="1763">
        <f>'Expenditures 15-22'!K229</f>
        <v>36833</v>
      </c>
      <c r="H12" s="521"/>
      <c r="I12" s="468" t="s">
        <v>1231</v>
      </c>
      <c r="J12" s="468" t="s">
        <v>1231</v>
      </c>
      <c r="K12" s="521" t="s">
        <v>1231</v>
      </c>
      <c r="L12" s="347"/>
    </row>
    <row r="13" spans="1:13" ht="15.75" customHeight="1" x14ac:dyDescent="0.2">
      <c r="A13" s="1598" t="s">
        <v>477</v>
      </c>
      <c r="B13" s="1600">
        <v>2000</v>
      </c>
      <c r="C13" s="1764">
        <f>'Expenditures 15-22'!K74</f>
        <v>354917</v>
      </c>
      <c r="D13" s="1764">
        <f>'Expenditures 15-22'!K129</f>
        <v>192416</v>
      </c>
      <c r="E13" s="469" t="s">
        <v>1231</v>
      </c>
      <c r="F13" s="1764">
        <f>'Expenditures 15-22'!K184</f>
        <v>93418</v>
      </c>
      <c r="G13" s="1764">
        <f>'Expenditures 15-22'!K279</f>
        <v>52673</v>
      </c>
      <c r="H13" s="1764">
        <f>'Expenditures 15-22'!K303</f>
        <v>24146</v>
      </c>
      <c r="I13" s="468" t="s">
        <v>1231</v>
      </c>
      <c r="J13" s="1764">
        <f>'Expenditures 15-22'!K330</f>
        <v>39432</v>
      </c>
      <c r="K13" s="1768">
        <f>'Expenditures 15-22'!K352</f>
        <v>423</v>
      </c>
      <c r="L13" s="347"/>
    </row>
    <row r="14" spans="1:13" ht="15.75" customHeight="1" x14ac:dyDescent="0.2">
      <c r="A14" s="1598" t="s">
        <v>469</v>
      </c>
      <c r="B14" s="1600">
        <v>3000</v>
      </c>
      <c r="C14" s="1764">
        <f>'Expenditures 15-22'!K75</f>
        <v>2950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24766</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35020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1658101</v>
      </c>
      <c r="D17" s="1709">
        <f t="shared" si="2"/>
        <v>192416</v>
      </c>
      <c r="E17" s="1709">
        <f t="shared" si="2"/>
        <v>35020</v>
      </c>
      <c r="F17" s="1709">
        <f t="shared" si="2"/>
        <v>93418</v>
      </c>
      <c r="G17" s="1709">
        <f t="shared" si="2"/>
        <v>89506</v>
      </c>
      <c r="H17" s="1709">
        <f t="shared" si="2"/>
        <v>24146</v>
      </c>
      <c r="I17" s="468"/>
      <c r="J17" s="1709">
        <f>SUM(J12:J16)</f>
        <v>39432</v>
      </c>
      <c r="K17" s="1709">
        <f>SUM(K12:K16)</f>
        <v>423</v>
      </c>
      <c r="L17" s="347"/>
    </row>
    <row r="18" spans="1:12" ht="15" customHeight="1" thickTop="1" x14ac:dyDescent="0.2">
      <c r="A18" s="1765" t="s">
        <v>1753</v>
      </c>
      <c r="B18" s="1766">
        <v>4180</v>
      </c>
      <c r="C18" s="1763">
        <f t="shared" ref="C18:H18" si="3">C9</f>
        <v>760621</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2418722</v>
      </c>
      <c r="D19" s="1709">
        <f t="shared" si="4"/>
        <v>192416</v>
      </c>
      <c r="E19" s="1709">
        <f t="shared" si="4"/>
        <v>35020</v>
      </c>
      <c r="F19" s="1709">
        <f t="shared" si="4"/>
        <v>93418</v>
      </c>
      <c r="G19" s="1709">
        <f t="shared" si="4"/>
        <v>89506</v>
      </c>
      <c r="H19" s="1709">
        <f t="shared" si="4"/>
        <v>24146</v>
      </c>
      <c r="I19" s="468"/>
      <c r="J19" s="1709">
        <f>SUM(J17:J18)</f>
        <v>39432</v>
      </c>
      <c r="K19" s="1709">
        <f>SUM(K17:K18)</f>
        <v>423</v>
      </c>
      <c r="L19" s="347"/>
    </row>
    <row r="20" spans="1:12" ht="16.5" thickTop="1" thickBot="1" x14ac:dyDescent="0.25">
      <c r="A20" s="2143" t="s">
        <v>1754</v>
      </c>
      <c r="B20" s="2144"/>
      <c r="C20" s="1767">
        <f>C8-C17</f>
        <v>-7791</v>
      </c>
      <c r="D20" s="1767">
        <f t="shared" ref="D20:K20" si="5">D8-D17</f>
        <v>-7306</v>
      </c>
      <c r="E20" s="1767">
        <f t="shared" si="5"/>
        <v>16918</v>
      </c>
      <c r="F20" s="1767">
        <f t="shared" si="5"/>
        <v>45710</v>
      </c>
      <c r="G20" s="1767">
        <f t="shared" si="5"/>
        <v>3708</v>
      </c>
      <c r="H20" s="1767">
        <f t="shared" si="5"/>
        <v>8176</v>
      </c>
      <c r="I20" s="1767">
        <f t="shared" si="5"/>
        <v>9502</v>
      </c>
      <c r="J20" s="1767">
        <f t="shared" si="5"/>
        <v>-29690</v>
      </c>
      <c r="K20" s="1767">
        <f t="shared" si="5"/>
        <v>786</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v>500</v>
      </c>
      <c r="E36" s="467"/>
      <c r="F36" s="467"/>
      <c r="G36" s="467"/>
      <c r="H36" s="467">
        <v>14899</v>
      </c>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4">
        <f>SUM(C24:C43)</f>
        <v>0</v>
      </c>
      <c r="D44" s="1724">
        <f t="shared" ref="D44:K44" si="6">SUM(D24:D43)</f>
        <v>500</v>
      </c>
      <c r="E44" s="1724">
        <f t="shared" si="6"/>
        <v>0</v>
      </c>
      <c r="F44" s="1724">
        <f t="shared" si="6"/>
        <v>0</v>
      </c>
      <c r="G44" s="1724">
        <f t="shared" si="6"/>
        <v>0</v>
      </c>
      <c r="H44" s="1724">
        <f t="shared" si="6"/>
        <v>14899</v>
      </c>
      <c r="I44" s="1724">
        <f t="shared" si="6"/>
        <v>0</v>
      </c>
      <c r="J44" s="1724">
        <f t="shared" si="6"/>
        <v>0</v>
      </c>
      <c r="K44" s="1724">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5" t="s">
        <v>1239</v>
      </c>
      <c r="B77" s="2136"/>
      <c r="C77" s="1724">
        <f t="shared" ref="C77:K77" si="8">C44-C76</f>
        <v>0</v>
      </c>
      <c r="D77" s="1724">
        <f t="shared" si="8"/>
        <v>500</v>
      </c>
      <c r="E77" s="1724">
        <f t="shared" si="8"/>
        <v>0</v>
      </c>
      <c r="F77" s="1724">
        <f t="shared" si="8"/>
        <v>0</v>
      </c>
      <c r="G77" s="1724">
        <f t="shared" si="8"/>
        <v>0</v>
      </c>
      <c r="H77" s="1724">
        <f t="shared" si="8"/>
        <v>14899</v>
      </c>
      <c r="I77" s="1724">
        <f t="shared" si="8"/>
        <v>0</v>
      </c>
      <c r="J77" s="1724">
        <f t="shared" si="8"/>
        <v>0</v>
      </c>
      <c r="K77" s="1724">
        <f t="shared" si="8"/>
        <v>0</v>
      </c>
      <c r="L77" s="347"/>
    </row>
    <row r="78" spans="1:12" ht="21.75" customHeight="1" thickTop="1" thickBot="1" x14ac:dyDescent="0.25">
      <c r="A78" s="2139" t="s">
        <v>618</v>
      </c>
      <c r="B78" s="2140"/>
      <c r="C78" s="1723">
        <f t="shared" ref="C78:K78" si="9">C20+C77</f>
        <v>-7791</v>
      </c>
      <c r="D78" s="1723">
        <f t="shared" si="9"/>
        <v>-6806</v>
      </c>
      <c r="E78" s="1723">
        <f t="shared" si="9"/>
        <v>16918</v>
      </c>
      <c r="F78" s="1723">
        <f t="shared" si="9"/>
        <v>45710</v>
      </c>
      <c r="G78" s="1723">
        <f t="shared" si="9"/>
        <v>3708</v>
      </c>
      <c r="H78" s="1723">
        <f t="shared" si="9"/>
        <v>23075</v>
      </c>
      <c r="I78" s="1723">
        <f t="shared" si="9"/>
        <v>9502</v>
      </c>
      <c r="J78" s="1723">
        <f t="shared" si="9"/>
        <v>-29690</v>
      </c>
      <c r="K78" s="1723">
        <f t="shared" si="9"/>
        <v>786</v>
      </c>
      <c r="L78" s="533"/>
    </row>
    <row r="79" spans="1:12" ht="13.5" thickTop="1" x14ac:dyDescent="0.2">
      <c r="A79" s="1516" t="s">
        <v>2073</v>
      </c>
      <c r="B79" s="534"/>
      <c r="C79" s="478">
        <v>485518</v>
      </c>
      <c r="D79" s="535">
        <v>97160</v>
      </c>
      <c r="E79" s="535">
        <v>35066</v>
      </c>
      <c r="F79" s="535">
        <v>104329</v>
      </c>
      <c r="G79" s="535">
        <v>77132</v>
      </c>
      <c r="H79" s="535">
        <v>17720</v>
      </c>
      <c r="I79" s="535">
        <v>235645</v>
      </c>
      <c r="J79" s="535">
        <v>63862</v>
      </c>
      <c r="K79" s="535">
        <v>1985</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09">
        <f>(SUM(C78:C80))</f>
        <v>477727</v>
      </c>
      <c r="D81" s="1709">
        <f>SUM(D78:D80)</f>
        <v>90354</v>
      </c>
      <c r="E81" s="1709">
        <f t="shared" ref="E81:K81" si="10">SUM(E78:E80)</f>
        <v>51984</v>
      </c>
      <c r="F81" s="1709">
        <f t="shared" si="10"/>
        <v>150039</v>
      </c>
      <c r="G81" s="1709">
        <f t="shared" si="10"/>
        <v>80840</v>
      </c>
      <c r="H81" s="1709">
        <f t="shared" si="10"/>
        <v>40795</v>
      </c>
      <c r="I81" s="1709">
        <f t="shared" si="10"/>
        <v>245147</v>
      </c>
      <c r="J81" s="1709">
        <f t="shared" si="10"/>
        <v>34172</v>
      </c>
      <c r="K81" s="1709">
        <f t="shared" si="10"/>
        <v>2771</v>
      </c>
      <c r="L81" s="347"/>
    </row>
    <row r="82" spans="1:12" ht="0.75" customHeight="1" thickTop="1" thickBot="1" x14ac:dyDescent="0.25">
      <c r="A82" s="536" t="s">
        <v>361</v>
      </c>
      <c r="B82" s="537"/>
      <c r="C82" s="538">
        <f>(C81-C79)</f>
        <v>-7791</v>
      </c>
      <c r="D82" s="538">
        <f t="shared" ref="D82:K82" si="11">(D81-D79)</f>
        <v>-6806</v>
      </c>
      <c r="E82" s="538">
        <f t="shared" si="11"/>
        <v>16918</v>
      </c>
      <c r="F82" s="538">
        <f t="shared" si="11"/>
        <v>45710</v>
      </c>
      <c r="G82" s="538">
        <f t="shared" si="11"/>
        <v>3708</v>
      </c>
      <c r="H82" s="538">
        <f t="shared" si="11"/>
        <v>23075</v>
      </c>
      <c r="I82" s="538">
        <f t="shared" si="11"/>
        <v>9502</v>
      </c>
      <c r="J82" s="538">
        <f t="shared" si="11"/>
        <v>-29690</v>
      </c>
      <c r="K82" s="538">
        <f t="shared" si="11"/>
        <v>786</v>
      </c>
    </row>
    <row r="83" spans="1:12" ht="14.25" hidden="1" thickTop="1" thickBot="1" x14ac:dyDescent="0.25">
      <c r="A83" s="539" t="s">
        <v>362</v>
      </c>
      <c r="B83" s="464"/>
      <c r="C83" s="540">
        <f>C82/C81</f>
        <v>-1.6308477435857716E-2</v>
      </c>
      <c r="D83" s="540">
        <f t="shared" ref="D83:K83" si="12">D82/D81</f>
        <v>-7.532594019080506E-2</v>
      </c>
      <c r="E83" s="540">
        <f t="shared" si="12"/>
        <v>0.32544629116651275</v>
      </c>
      <c r="F83" s="540">
        <f t="shared" si="12"/>
        <v>0.30465412326128538</v>
      </c>
      <c r="G83" s="540">
        <f t="shared" si="12"/>
        <v>4.5868381989114297E-2</v>
      </c>
      <c r="H83" s="540">
        <f t="shared" si="12"/>
        <v>0.56563304326510599</v>
      </c>
      <c r="I83" s="540">
        <f t="shared" si="12"/>
        <v>3.876041721905632E-2</v>
      </c>
      <c r="J83" s="540">
        <f t="shared" si="12"/>
        <v>-0.86883998595341216</v>
      </c>
      <c r="K83" s="540">
        <f t="shared" si="12"/>
        <v>0.28365211115120897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9" activePane="bottomLeft" state="frozen"/>
      <selection activeCell="A40" sqref="A40:H40"/>
      <selection pane="bottomLeft" activeCell="A40" sqref="A40:H4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417390</v>
      </c>
      <c r="D5" s="481">
        <v>108068</v>
      </c>
      <c r="E5" s="466"/>
      <c r="F5" s="548">
        <v>38068</v>
      </c>
      <c r="G5" s="466">
        <v>43481</v>
      </c>
      <c r="H5" s="466"/>
      <c r="I5" s="466">
        <v>8972</v>
      </c>
      <c r="J5" s="467">
        <v>9648</v>
      </c>
      <c r="K5" s="466">
        <v>1201</v>
      </c>
    </row>
    <row r="6" spans="1:12" ht="15" x14ac:dyDescent="0.2">
      <c r="A6" s="463" t="s">
        <v>1761</v>
      </c>
      <c r="B6" s="470">
        <v>1130</v>
      </c>
      <c r="C6" s="466"/>
      <c r="D6" s="466"/>
      <c r="E6" s="475"/>
      <c r="F6" s="475"/>
      <c r="G6" s="468"/>
      <c r="H6" s="468"/>
      <c r="I6" s="468"/>
      <c r="J6" s="468"/>
      <c r="K6" s="468"/>
    </row>
    <row r="7" spans="1:12" x14ac:dyDescent="0.2">
      <c r="A7" s="463" t="s">
        <v>112</v>
      </c>
      <c r="B7" s="549">
        <v>1140</v>
      </c>
      <c r="C7" s="466">
        <v>22788</v>
      </c>
      <c r="D7" s="466"/>
      <c r="E7" s="468"/>
      <c r="F7" s="467"/>
      <c r="G7" s="467"/>
      <c r="H7" s="467"/>
      <c r="I7" s="468"/>
      <c r="J7" s="468"/>
      <c r="K7" s="468"/>
    </row>
    <row r="8" spans="1:12" x14ac:dyDescent="0.2">
      <c r="A8" s="463" t="s">
        <v>433</v>
      </c>
      <c r="B8" s="470">
        <v>1150</v>
      </c>
      <c r="C8" s="475"/>
      <c r="D8" s="475"/>
      <c r="E8" s="477"/>
      <c r="F8" s="477"/>
      <c r="G8" s="481">
        <v>43481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440178</v>
      </c>
      <c r="D12" s="1728">
        <f t="shared" si="0"/>
        <v>108068</v>
      </c>
      <c r="E12" s="1728">
        <f t="shared" si="0"/>
        <v>0</v>
      </c>
      <c r="F12" s="1728">
        <f t="shared" si="0"/>
        <v>38068</v>
      </c>
      <c r="G12" s="1728">
        <f t="shared" si="0"/>
        <v>86962</v>
      </c>
      <c r="H12" s="1728">
        <f t="shared" si="0"/>
        <v>0</v>
      </c>
      <c r="I12" s="1728">
        <f t="shared" si="0"/>
        <v>8972</v>
      </c>
      <c r="J12" s="1728">
        <f t="shared" si="0"/>
        <v>9648</v>
      </c>
      <c r="K12" s="1709">
        <f t="shared" si="0"/>
        <v>1201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1935</v>
      </c>
      <c r="D14" s="466">
        <v>475</v>
      </c>
      <c r="E14" s="466"/>
      <c r="F14" s="466">
        <v>167</v>
      </c>
      <c r="G14" s="466">
        <v>382</v>
      </c>
      <c r="H14" s="466"/>
      <c r="I14" s="466">
        <v>39</v>
      </c>
      <c r="J14" s="467">
        <v>42</v>
      </c>
      <c r="K14" s="466">
        <v>5</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12253</v>
      </c>
      <c r="D16" s="466"/>
      <c r="E16" s="466"/>
      <c r="F16" s="466"/>
      <c r="G16" s="466">
        <v>5665</v>
      </c>
      <c r="H16" s="466"/>
      <c r="I16" s="466"/>
      <c r="J16" s="467"/>
      <c r="K16" s="466"/>
    </row>
    <row r="17" spans="1:11" ht="12.75" customHeight="1" x14ac:dyDescent="0.2">
      <c r="A17" s="463" t="s">
        <v>840</v>
      </c>
      <c r="B17" s="470">
        <v>1290</v>
      </c>
      <c r="C17" s="551">
        <v>23031</v>
      </c>
      <c r="D17" s="466"/>
      <c r="E17" s="466"/>
      <c r="F17" s="466"/>
      <c r="G17" s="466"/>
      <c r="H17" s="466"/>
      <c r="I17" s="466"/>
      <c r="J17" s="467"/>
      <c r="K17" s="466"/>
    </row>
    <row r="18" spans="1:11" ht="12.75" customHeight="1" thickBot="1" x14ac:dyDescent="0.25">
      <c r="A18" s="1729" t="s">
        <v>558</v>
      </c>
      <c r="B18" s="1730"/>
      <c r="C18" s="1731">
        <f>SUM(C14:C17)</f>
        <v>37219</v>
      </c>
      <c r="D18" s="1731">
        <f t="shared" ref="D18:K18" si="1">SUM(D14:D17)</f>
        <v>475</v>
      </c>
      <c r="E18" s="1731">
        <f t="shared" si="1"/>
        <v>0</v>
      </c>
      <c r="F18" s="1731">
        <f t="shared" si="1"/>
        <v>167</v>
      </c>
      <c r="G18" s="1731">
        <f t="shared" si="1"/>
        <v>6047</v>
      </c>
      <c r="H18" s="1731">
        <f t="shared" si="1"/>
        <v>0</v>
      </c>
      <c r="I18" s="1731">
        <f t="shared" si="1"/>
        <v>39</v>
      </c>
      <c r="J18" s="1731">
        <f t="shared" si="1"/>
        <v>42</v>
      </c>
      <c r="K18" s="1732">
        <f t="shared" si="1"/>
        <v>5</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1270</v>
      </c>
      <c r="D65" s="466">
        <v>210</v>
      </c>
      <c r="E65" s="466">
        <v>107</v>
      </c>
      <c r="F65" s="467">
        <v>222</v>
      </c>
      <c r="G65" s="466">
        <v>205</v>
      </c>
      <c r="H65" s="466">
        <v>34</v>
      </c>
      <c r="I65" s="466">
        <v>491</v>
      </c>
      <c r="J65" s="467">
        <v>52</v>
      </c>
      <c r="K65" s="466">
        <v>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1270</v>
      </c>
      <c r="D67" s="1709">
        <f t="shared" ref="D67:K67" si="2">SUM(D65:D66)</f>
        <v>210</v>
      </c>
      <c r="E67" s="1709">
        <f t="shared" si="2"/>
        <v>107</v>
      </c>
      <c r="F67" s="1709">
        <f t="shared" si="2"/>
        <v>222</v>
      </c>
      <c r="G67" s="1709">
        <f t="shared" si="2"/>
        <v>205</v>
      </c>
      <c r="H67" s="1709">
        <f t="shared" si="2"/>
        <v>34</v>
      </c>
      <c r="I67" s="1709">
        <f t="shared" si="2"/>
        <v>491</v>
      </c>
      <c r="J67" s="1709">
        <f t="shared" si="2"/>
        <v>52</v>
      </c>
      <c r="K67" s="1709">
        <f t="shared" si="2"/>
        <v>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31774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706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32480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6275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v>452</v>
      </c>
      <c r="D80" s="466"/>
      <c r="E80" s="468"/>
      <c r="F80" s="468"/>
      <c r="G80" s="468"/>
      <c r="H80" s="468"/>
      <c r="I80" s="468"/>
      <c r="J80" s="468"/>
      <c r="K80" s="468"/>
    </row>
    <row r="81" spans="1:11" ht="12.75" customHeight="1" x14ac:dyDescent="0.2">
      <c r="A81" s="463" t="s">
        <v>26</v>
      </c>
      <c r="B81" s="470">
        <v>1790</v>
      </c>
      <c r="C81" s="551">
        <v>3568</v>
      </c>
      <c r="D81" s="466"/>
      <c r="E81" s="468"/>
      <c r="F81" s="468"/>
      <c r="G81" s="468"/>
      <c r="H81" s="468"/>
      <c r="I81" s="468"/>
      <c r="J81" s="468"/>
      <c r="K81" s="468"/>
    </row>
    <row r="82" spans="1:11" ht="12.75" customHeight="1" thickBot="1" x14ac:dyDescent="0.25">
      <c r="A82" s="1729" t="s">
        <v>259</v>
      </c>
      <c r="B82" s="1730"/>
      <c r="C82" s="1728">
        <f>SUM(C77:C81)</f>
        <v>10295</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1944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1944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1010</v>
      </c>
      <c r="D95" s="551"/>
      <c r="E95" s="521"/>
      <c r="F95" s="521"/>
      <c r="G95" s="521"/>
      <c r="H95" s="521"/>
      <c r="I95" s="521"/>
      <c r="J95" s="521"/>
      <c r="K95" s="521"/>
    </row>
    <row r="96" spans="1:11" ht="12.75" customHeight="1" x14ac:dyDescent="0.2">
      <c r="A96" s="463" t="s">
        <v>409</v>
      </c>
      <c r="B96" s="470">
        <v>1920</v>
      </c>
      <c r="C96" s="551">
        <v>7530</v>
      </c>
      <c r="D96" s="551">
        <v>6000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1127</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51831</v>
      </c>
      <c r="F103" s="468"/>
      <c r="G103" s="468"/>
      <c r="H103" s="489">
        <v>32288</v>
      </c>
      <c r="I103" s="468"/>
      <c r="J103" s="510"/>
      <c r="K103" s="510"/>
    </row>
    <row r="104" spans="1:12" ht="12.75" customHeight="1" x14ac:dyDescent="0.2">
      <c r="A104" s="463" t="s">
        <v>885</v>
      </c>
      <c r="B104" s="470">
        <v>1991</v>
      </c>
      <c r="C104" s="489">
        <v>6720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6810</v>
      </c>
      <c r="D107" s="466"/>
      <c r="E107" s="466"/>
      <c r="F107" s="466"/>
      <c r="G107" s="466"/>
      <c r="H107" s="466"/>
      <c r="I107" s="466"/>
      <c r="J107" s="467"/>
      <c r="K107" s="466"/>
    </row>
    <row r="108" spans="1:12" ht="12.75" customHeight="1" thickBot="1" x14ac:dyDescent="0.25">
      <c r="A108" s="1729" t="s">
        <v>508</v>
      </c>
      <c r="B108" s="1733"/>
      <c r="C108" s="1728">
        <f>SUM(C95:C107)</f>
        <v>23197</v>
      </c>
      <c r="D108" s="1728">
        <f t="shared" ref="D108:K108" si="3">SUM(D95:D107)</f>
        <v>6000</v>
      </c>
      <c r="E108" s="1728">
        <f t="shared" si="3"/>
        <v>51831</v>
      </c>
      <c r="F108" s="1728">
        <f t="shared" si="3"/>
        <v>0</v>
      </c>
      <c r="G108" s="1728">
        <f t="shared" si="3"/>
        <v>0</v>
      </c>
      <c r="H108" s="1728">
        <f t="shared" si="3"/>
        <v>32288</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546583</v>
      </c>
      <c r="D109" s="1736">
        <f t="shared" si="4"/>
        <v>114753</v>
      </c>
      <c r="E109" s="1736">
        <f t="shared" si="4"/>
        <v>51938</v>
      </c>
      <c r="F109" s="1736">
        <f t="shared" si="4"/>
        <v>38457</v>
      </c>
      <c r="G109" s="1736">
        <f t="shared" si="4"/>
        <v>93214</v>
      </c>
      <c r="H109" s="1736">
        <f t="shared" si="4"/>
        <v>32322</v>
      </c>
      <c r="I109" s="1736">
        <f t="shared" si="4"/>
        <v>9502</v>
      </c>
      <c r="J109" s="1736">
        <f t="shared" si="4"/>
        <v>9742</v>
      </c>
      <c r="K109" s="1723">
        <f t="shared" si="4"/>
        <v>1209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857880</v>
      </c>
      <c r="D117" s="481">
        <v>50357</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857880</v>
      </c>
      <c r="D121" s="1728">
        <f t="shared" si="5"/>
        <v>50357</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12894</v>
      </c>
      <c r="D125" s="561"/>
      <c r="E125" s="468"/>
      <c r="F125" s="466"/>
      <c r="G125" s="468"/>
      <c r="H125" s="468"/>
      <c r="I125" s="468"/>
      <c r="J125" s="468"/>
      <c r="K125" s="468"/>
    </row>
    <row r="126" spans="1:11" ht="12.75" customHeight="1" x14ac:dyDescent="0.2">
      <c r="A126" s="463" t="s">
        <v>922</v>
      </c>
      <c r="B126" s="562">
        <v>3110</v>
      </c>
      <c r="C126" s="551">
        <v>21250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34144</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882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94855</v>
      </c>
      <c r="G151" s="467"/>
      <c r="H151" s="468"/>
      <c r="I151" s="468"/>
      <c r="J151" s="468"/>
      <c r="K151" s="468"/>
    </row>
    <row r="152" spans="1:11" ht="12.75" customHeight="1" x14ac:dyDescent="0.2">
      <c r="A152" s="463" t="s">
        <v>1117</v>
      </c>
      <c r="B152" s="562">
        <v>3510</v>
      </c>
      <c r="C152" s="551"/>
      <c r="D152" s="466"/>
      <c r="E152" s="561"/>
      <c r="F152" s="466">
        <v>5816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100671</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1" t="s">
        <v>418</v>
      </c>
      <c r="B172" s="2162"/>
      <c r="C172" s="1743">
        <f t="shared" ref="C172:K172" si="6">SUM(C131,C140,C144,C145:C149,C154,C155:C170,C171)</f>
        <v>35026</v>
      </c>
      <c r="D172" s="1743">
        <f t="shared" si="6"/>
        <v>0</v>
      </c>
      <c r="E172" s="1743">
        <f t="shared" si="6"/>
        <v>0</v>
      </c>
      <c r="F172" s="1743">
        <f t="shared" si="6"/>
        <v>100671</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892906</v>
      </c>
      <c r="D173" s="1736">
        <f>SUM(D121,D172)</f>
        <v>50357</v>
      </c>
      <c r="E173" s="1736">
        <f>SUM(E121,E172)</f>
        <v>0</v>
      </c>
      <c r="F173" s="1736">
        <f t="shared" ref="F173:K173" si="7">SUM(F121,F172)</f>
        <v>100671</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v>39102</v>
      </c>
      <c r="D176" s="481">
        <v>20000</v>
      </c>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8">
        <f>SUM(C176:C177)</f>
        <v>39102</v>
      </c>
      <c r="D178" s="1728">
        <f t="shared" ref="D178:K178" si="8">SUM(D176:D177)</f>
        <v>20000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17775</v>
      </c>
      <c r="D183" s="466"/>
      <c r="E183" s="468"/>
      <c r="F183" s="466"/>
      <c r="G183" s="466"/>
      <c r="H183" s="466"/>
      <c r="I183" s="468"/>
      <c r="J183" s="468"/>
      <c r="K183" s="466"/>
    </row>
    <row r="184" spans="1:11" ht="13.5" thickBot="1" x14ac:dyDescent="0.25">
      <c r="A184" s="2169" t="s">
        <v>818</v>
      </c>
      <c r="B184" s="2170"/>
      <c r="C184" s="1728">
        <f>SUM(C180:C183)</f>
        <v>17775</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51472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15309</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66781</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53365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53365</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11987</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11987</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11518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7431</v>
      </c>
      <c r="D270" s="576"/>
      <c r="E270" s="468"/>
      <c r="F270" s="576"/>
      <c r="G270" s="576"/>
      <c r="H270" s="468"/>
      <c r="I270" s="468"/>
      <c r="J270" s="468"/>
      <c r="K270" s="468"/>
    </row>
    <row r="271" spans="1:11" ht="12.75" customHeight="1" thickTop="1" thickBot="1" x14ac:dyDescent="0.25">
      <c r="A271" s="463" t="s">
        <v>395</v>
      </c>
      <c r="B271" s="470">
        <v>4992</v>
      </c>
      <c r="C271" s="575">
        <v>2862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153944</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210821</v>
      </c>
      <c r="D274" s="1736">
        <f>SUM(D178,D184,D273)</f>
        <v>20000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1650310</v>
      </c>
      <c r="D275" s="1736">
        <f t="shared" si="12"/>
        <v>185110</v>
      </c>
      <c r="E275" s="1736">
        <f t="shared" si="12"/>
        <v>51938</v>
      </c>
      <c r="F275" s="1736">
        <f t="shared" si="12"/>
        <v>139128</v>
      </c>
      <c r="G275" s="1736">
        <f t="shared" si="12"/>
        <v>93214</v>
      </c>
      <c r="H275" s="1736">
        <f t="shared" si="12"/>
        <v>32322</v>
      </c>
      <c r="I275" s="1736">
        <f t="shared" si="12"/>
        <v>9502</v>
      </c>
      <c r="J275" s="1736">
        <f t="shared" si="12"/>
        <v>9742</v>
      </c>
      <c r="K275" s="1723">
        <f t="shared" si="12"/>
        <v>1209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44" activePane="bottomLeft" state="frozen"/>
      <selection activeCell="A40" sqref="A40:H40"/>
      <selection pane="bottomLeft" activeCell="A40" sqref="A40:H4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727089</v>
      </c>
      <c r="D5" s="466">
        <v>152666</v>
      </c>
      <c r="E5" s="466">
        <v>24820</v>
      </c>
      <c r="F5" s="466">
        <v>41802</v>
      </c>
      <c r="G5" s="466"/>
      <c r="H5" s="466">
        <v>35</v>
      </c>
      <c r="I5" s="467"/>
      <c r="J5" s="467"/>
      <c r="K5" s="1692">
        <f>SUM(C5:J5)</f>
        <v>946412</v>
      </c>
      <c r="L5" s="466">
        <v>996065</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203432</v>
      </c>
      <c r="D8" s="466">
        <v>27107</v>
      </c>
      <c r="E8" s="466">
        <v>768</v>
      </c>
      <c r="F8" s="466">
        <v>1609</v>
      </c>
      <c r="G8" s="466">
        <v>1783</v>
      </c>
      <c r="H8" s="466"/>
      <c r="I8" s="467"/>
      <c r="J8" s="467"/>
      <c r="K8" s="1692">
        <f t="shared" si="0"/>
        <v>234699</v>
      </c>
      <c r="L8" s="466">
        <v>227109</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22202</v>
      </c>
      <c r="D10" s="466">
        <v>8664</v>
      </c>
      <c r="E10" s="466">
        <v>12312</v>
      </c>
      <c r="F10" s="466">
        <v>23073</v>
      </c>
      <c r="G10" s="466"/>
      <c r="H10" s="466"/>
      <c r="I10" s="467"/>
      <c r="J10" s="467"/>
      <c r="K10" s="1692">
        <f t="shared" si="0"/>
        <v>66251</v>
      </c>
      <c r="L10" s="466">
        <v>56965</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v>15594</v>
      </c>
      <c r="D14" s="466">
        <v>716</v>
      </c>
      <c r="E14" s="466">
        <v>8361</v>
      </c>
      <c r="F14" s="466">
        <v>3435</v>
      </c>
      <c r="G14" s="466"/>
      <c r="H14" s="466"/>
      <c r="I14" s="467"/>
      <c r="J14" s="467"/>
      <c r="K14" s="1692">
        <f t="shared" si="0"/>
        <v>28106</v>
      </c>
      <c r="L14" s="466">
        <v>28200</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968317</v>
      </c>
      <c r="D33" s="1691">
        <f t="shared" ref="D33:L33" si="1">SUM(D5:D32)</f>
        <v>189153</v>
      </c>
      <c r="E33" s="1691">
        <f t="shared" si="1"/>
        <v>46261</v>
      </c>
      <c r="F33" s="1691">
        <f t="shared" si="1"/>
        <v>69919</v>
      </c>
      <c r="G33" s="1691">
        <f t="shared" si="1"/>
        <v>1783</v>
      </c>
      <c r="H33" s="1691">
        <f t="shared" si="1"/>
        <v>35</v>
      </c>
      <c r="I33" s="1691">
        <f t="shared" si="1"/>
        <v>0</v>
      </c>
      <c r="J33" s="1691">
        <f t="shared" si="1"/>
        <v>0</v>
      </c>
      <c r="K33" s="1691">
        <f t="shared" si="1"/>
        <v>1275468</v>
      </c>
      <c r="L33" s="1691">
        <f t="shared" si="1"/>
        <v>1308339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c r="D37" s="466"/>
      <c r="E37" s="466"/>
      <c r="F37" s="466"/>
      <c r="G37" s="466"/>
      <c r="H37" s="466"/>
      <c r="I37" s="467"/>
      <c r="J37" s="467"/>
      <c r="K37" s="1692">
        <f t="shared" si="2"/>
        <v>0</v>
      </c>
      <c r="L37" s="466"/>
    </row>
    <row r="38" spans="1:14" x14ac:dyDescent="0.2">
      <c r="A38" s="1526" t="s">
        <v>207</v>
      </c>
      <c r="B38" s="615">
        <v>2130</v>
      </c>
      <c r="C38" s="466">
        <v>25357</v>
      </c>
      <c r="D38" s="466">
        <v>675</v>
      </c>
      <c r="E38" s="466"/>
      <c r="F38" s="466">
        <v>116</v>
      </c>
      <c r="G38" s="466"/>
      <c r="H38" s="466"/>
      <c r="I38" s="467"/>
      <c r="J38" s="467"/>
      <c r="K38" s="1692">
        <f t="shared" si="2"/>
        <v>26148</v>
      </c>
      <c r="L38" s="466">
        <v>25739</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c r="F40" s="466"/>
      <c r="G40" s="466"/>
      <c r="H40" s="466"/>
      <c r="I40" s="467"/>
      <c r="J40" s="467"/>
      <c r="K40" s="1692">
        <f t="shared" si="2"/>
        <v>0</v>
      </c>
      <c r="L40" s="466"/>
    </row>
    <row r="41" spans="1:14" x14ac:dyDescent="0.2">
      <c r="A41" s="1526" t="s">
        <v>1768</v>
      </c>
      <c r="B41" s="615">
        <v>2190</v>
      </c>
      <c r="C41" s="466">
        <v>5952</v>
      </c>
      <c r="D41" s="466"/>
      <c r="E41" s="466"/>
      <c r="F41" s="466"/>
      <c r="G41" s="466"/>
      <c r="H41" s="466"/>
      <c r="I41" s="467"/>
      <c r="J41" s="467"/>
      <c r="K41" s="1692">
        <f t="shared" si="2"/>
        <v>5952</v>
      </c>
      <c r="L41" s="466">
        <v>6130</v>
      </c>
    </row>
    <row r="42" spans="1:14" ht="12.75" customHeight="1" thickBot="1" x14ac:dyDescent="0.25">
      <c r="A42" s="1689" t="s">
        <v>581</v>
      </c>
      <c r="B42" s="1690" t="s">
        <v>740</v>
      </c>
      <c r="C42" s="1691">
        <f>SUM(C36:C41)</f>
        <v>31309</v>
      </c>
      <c r="D42" s="1691">
        <f t="shared" ref="D42:L42" si="3">SUM(D36:D41)</f>
        <v>675</v>
      </c>
      <c r="E42" s="1691">
        <f t="shared" si="3"/>
        <v>0</v>
      </c>
      <c r="F42" s="1691">
        <f t="shared" si="3"/>
        <v>116</v>
      </c>
      <c r="G42" s="1691">
        <f t="shared" si="3"/>
        <v>0</v>
      </c>
      <c r="H42" s="1691">
        <f t="shared" si="3"/>
        <v>0</v>
      </c>
      <c r="I42" s="1691">
        <f t="shared" si="3"/>
        <v>0</v>
      </c>
      <c r="J42" s="1691">
        <f t="shared" si="3"/>
        <v>0</v>
      </c>
      <c r="K42" s="1691">
        <f t="shared" si="3"/>
        <v>32100</v>
      </c>
      <c r="L42" s="1691">
        <f t="shared" si="3"/>
        <v>31869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2700</v>
      </c>
      <c r="D44" s="481">
        <v>1118</v>
      </c>
      <c r="E44" s="481">
        <v>7295</v>
      </c>
      <c r="F44" s="481">
        <v>2409</v>
      </c>
      <c r="G44" s="481"/>
      <c r="H44" s="481"/>
      <c r="I44" s="467"/>
      <c r="J44" s="467"/>
      <c r="K44" s="1693">
        <f>SUM(C44:J44)</f>
        <v>13522</v>
      </c>
      <c r="L44" s="481">
        <v>9660</v>
      </c>
    </row>
    <row r="45" spans="1:14" x14ac:dyDescent="0.2">
      <c r="A45" s="1526" t="s">
        <v>869</v>
      </c>
      <c r="B45" s="615">
        <v>2220</v>
      </c>
      <c r="C45" s="466"/>
      <c r="D45" s="466"/>
      <c r="E45" s="466"/>
      <c r="F45" s="466">
        <v>6</v>
      </c>
      <c r="G45" s="466"/>
      <c r="H45" s="466"/>
      <c r="I45" s="467"/>
      <c r="J45" s="467"/>
      <c r="K45" s="1693">
        <f>SUM(C45:J45)</f>
        <v>6</v>
      </c>
      <c r="L45" s="466">
        <v>50</v>
      </c>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2700</v>
      </c>
      <c r="D47" s="1691">
        <f t="shared" ref="D47:K47" si="4">SUM(D44:D46)</f>
        <v>1118</v>
      </c>
      <c r="E47" s="1691">
        <f t="shared" si="4"/>
        <v>7295</v>
      </c>
      <c r="F47" s="1691">
        <f t="shared" si="4"/>
        <v>2415</v>
      </c>
      <c r="G47" s="1691">
        <f t="shared" si="4"/>
        <v>0</v>
      </c>
      <c r="H47" s="1691">
        <f t="shared" si="4"/>
        <v>0</v>
      </c>
      <c r="I47" s="1691">
        <f t="shared" si="4"/>
        <v>0</v>
      </c>
      <c r="J47" s="1691">
        <f t="shared" si="4"/>
        <v>0</v>
      </c>
      <c r="K47" s="1691">
        <f t="shared" si="4"/>
        <v>13528</v>
      </c>
      <c r="L47" s="1691">
        <f>SUM(L44:L46)</f>
        <v>9710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v>300</v>
      </c>
      <c r="E49" s="481">
        <v>11085</v>
      </c>
      <c r="F49" s="481">
        <v>1199</v>
      </c>
      <c r="G49" s="481"/>
      <c r="H49" s="481"/>
      <c r="I49" s="467"/>
      <c r="J49" s="467"/>
      <c r="K49" s="1693">
        <f>SUM(C49:J49)</f>
        <v>12584</v>
      </c>
      <c r="L49" s="481">
        <v>13095</v>
      </c>
    </row>
    <row r="50" spans="1:14" x14ac:dyDescent="0.2">
      <c r="A50" s="1526" t="s">
        <v>872</v>
      </c>
      <c r="B50" s="615">
        <v>2320</v>
      </c>
      <c r="C50" s="466">
        <v>64783</v>
      </c>
      <c r="D50" s="466">
        <v>12638</v>
      </c>
      <c r="E50" s="466">
        <v>1369</v>
      </c>
      <c r="F50" s="466">
        <v>122</v>
      </c>
      <c r="G50" s="466"/>
      <c r="H50" s="466"/>
      <c r="I50" s="467"/>
      <c r="J50" s="467"/>
      <c r="K50" s="1693">
        <f>SUM(C50:J50)</f>
        <v>78912</v>
      </c>
      <c r="L50" s="466">
        <v>78437</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64783</v>
      </c>
      <c r="D53" s="1691">
        <f t="shared" ref="D53:L53" si="5">SUM(D49:D52)</f>
        <v>12938</v>
      </c>
      <c r="E53" s="1691">
        <f t="shared" si="5"/>
        <v>12454</v>
      </c>
      <c r="F53" s="1691">
        <f t="shared" si="5"/>
        <v>1321</v>
      </c>
      <c r="G53" s="1691">
        <f t="shared" si="5"/>
        <v>0</v>
      </c>
      <c r="H53" s="1691">
        <f t="shared" si="5"/>
        <v>0</v>
      </c>
      <c r="I53" s="1691">
        <f t="shared" si="5"/>
        <v>0</v>
      </c>
      <c r="J53" s="1691">
        <f t="shared" si="5"/>
        <v>0</v>
      </c>
      <c r="K53" s="1691">
        <f t="shared" si="5"/>
        <v>91496</v>
      </c>
      <c r="L53" s="1691">
        <f t="shared" si="5"/>
        <v>91532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22063</v>
      </c>
      <c r="D55" s="481">
        <v>4048</v>
      </c>
      <c r="E55" s="481"/>
      <c r="F55" s="481"/>
      <c r="G55" s="481"/>
      <c r="H55" s="481"/>
      <c r="I55" s="467"/>
      <c r="J55" s="467"/>
      <c r="K55" s="1693">
        <f>SUM(C55:J55)</f>
        <v>26111</v>
      </c>
      <c r="L55" s="481">
        <v>26579</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22063</v>
      </c>
      <c r="D57" s="1695">
        <f t="shared" ref="D57:K57" si="6">SUM(D55:D56)</f>
        <v>4048</v>
      </c>
      <c r="E57" s="1695">
        <f t="shared" si="6"/>
        <v>0</v>
      </c>
      <c r="F57" s="1695">
        <f t="shared" si="6"/>
        <v>0</v>
      </c>
      <c r="G57" s="1695">
        <f t="shared" si="6"/>
        <v>0</v>
      </c>
      <c r="H57" s="1695">
        <f t="shared" si="6"/>
        <v>0</v>
      </c>
      <c r="I57" s="1695">
        <f t="shared" si="6"/>
        <v>0</v>
      </c>
      <c r="J57" s="1695">
        <f t="shared" si="6"/>
        <v>0</v>
      </c>
      <c r="K57" s="1695">
        <f t="shared" si="6"/>
        <v>26111</v>
      </c>
      <c r="L57" s="1691">
        <f>SUM(L55:L56)</f>
        <v>26579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53669</v>
      </c>
      <c r="D60" s="466">
        <v>1875</v>
      </c>
      <c r="E60" s="466">
        <v>2937</v>
      </c>
      <c r="F60" s="466">
        <v>1149</v>
      </c>
      <c r="G60" s="466"/>
      <c r="H60" s="466"/>
      <c r="I60" s="467"/>
      <c r="J60" s="467"/>
      <c r="K60" s="1693">
        <f t="shared" si="7"/>
        <v>59630</v>
      </c>
      <c r="L60" s="466">
        <v>59582</v>
      </c>
      <c r="M60" s="610"/>
      <c r="N60" s="610"/>
    </row>
    <row r="61" spans="1:14" s="343" customFormat="1" x14ac:dyDescent="0.2">
      <c r="A61" s="1526" t="s">
        <v>206</v>
      </c>
      <c r="B61" s="615">
        <v>2540</v>
      </c>
      <c r="C61" s="466"/>
      <c r="D61" s="466"/>
      <c r="E61" s="466"/>
      <c r="F61" s="466"/>
      <c r="G61" s="466"/>
      <c r="H61" s="466"/>
      <c r="I61" s="467"/>
      <c r="J61" s="467"/>
      <c r="K61" s="1693">
        <f t="shared" si="7"/>
        <v>0</v>
      </c>
      <c r="L61" s="466"/>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54882</v>
      </c>
      <c r="D63" s="466">
        <v>1350</v>
      </c>
      <c r="E63" s="466">
        <v>961</v>
      </c>
      <c r="F63" s="466">
        <v>42889</v>
      </c>
      <c r="G63" s="466">
        <v>618</v>
      </c>
      <c r="H63" s="466"/>
      <c r="I63" s="467"/>
      <c r="J63" s="467"/>
      <c r="K63" s="1693">
        <f t="shared" si="7"/>
        <v>100700</v>
      </c>
      <c r="L63" s="466">
        <v>93409</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108551</v>
      </c>
      <c r="D65" s="1691">
        <f t="shared" ref="D65:L65" si="8">SUM(D59:D64)</f>
        <v>3225</v>
      </c>
      <c r="E65" s="1691">
        <f t="shared" si="8"/>
        <v>3898</v>
      </c>
      <c r="F65" s="1691">
        <f t="shared" si="8"/>
        <v>44038</v>
      </c>
      <c r="G65" s="1691">
        <f t="shared" si="8"/>
        <v>618</v>
      </c>
      <c r="H65" s="1691">
        <f t="shared" si="8"/>
        <v>0</v>
      </c>
      <c r="I65" s="1691">
        <f t="shared" si="8"/>
        <v>0</v>
      </c>
      <c r="J65" s="1691">
        <f t="shared" si="8"/>
        <v>0</v>
      </c>
      <c r="K65" s="1691">
        <f t="shared" si="8"/>
        <v>160330</v>
      </c>
      <c r="L65" s="1691">
        <f t="shared" si="8"/>
        <v>152991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v>31352</v>
      </c>
      <c r="F71" s="466"/>
      <c r="G71" s="466"/>
      <c r="H71" s="466"/>
      <c r="I71" s="467"/>
      <c r="J71" s="467"/>
      <c r="K71" s="1693">
        <f>SUM(C71:J71)</f>
        <v>31352</v>
      </c>
      <c r="L71" s="466">
        <v>31352</v>
      </c>
      <c r="M71" s="610"/>
      <c r="N71" s="610"/>
    </row>
    <row r="72" spans="1:14" s="343" customFormat="1" ht="12.75" customHeight="1" thickBot="1" x14ac:dyDescent="0.25">
      <c r="A72" s="1689" t="s">
        <v>37</v>
      </c>
      <c r="B72" s="1696" t="s">
        <v>36</v>
      </c>
      <c r="C72" s="1691">
        <f>SUM(C67:C71)</f>
        <v>0</v>
      </c>
      <c r="D72" s="1691">
        <f t="shared" ref="D72:K72" si="9">SUM(D67:D71)</f>
        <v>0</v>
      </c>
      <c r="E72" s="1691">
        <f t="shared" si="9"/>
        <v>31352</v>
      </c>
      <c r="F72" s="1691">
        <f t="shared" si="9"/>
        <v>0</v>
      </c>
      <c r="G72" s="1691">
        <f t="shared" si="9"/>
        <v>0</v>
      </c>
      <c r="H72" s="1691">
        <f t="shared" si="9"/>
        <v>0</v>
      </c>
      <c r="I72" s="1691">
        <f t="shared" si="9"/>
        <v>0</v>
      </c>
      <c r="J72" s="1691">
        <f t="shared" si="9"/>
        <v>0</v>
      </c>
      <c r="K72" s="1691">
        <f t="shared" si="9"/>
        <v>31352</v>
      </c>
      <c r="L72" s="1691">
        <f>SUM(L67:L71)</f>
        <v>31352</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229406</v>
      </c>
      <c r="D74" s="1698">
        <f t="shared" ref="D74:K74" si="10">SUM(D42,D47,D53,D57,D65,D72,D73)</f>
        <v>22004</v>
      </c>
      <c r="E74" s="1698">
        <f t="shared" si="10"/>
        <v>54999</v>
      </c>
      <c r="F74" s="1698">
        <f t="shared" si="10"/>
        <v>47890</v>
      </c>
      <c r="G74" s="1698">
        <f t="shared" si="10"/>
        <v>618</v>
      </c>
      <c r="H74" s="1698">
        <f t="shared" si="10"/>
        <v>0</v>
      </c>
      <c r="I74" s="1698">
        <f t="shared" si="10"/>
        <v>0</v>
      </c>
      <c r="J74" s="1698">
        <f t="shared" si="10"/>
        <v>0</v>
      </c>
      <c r="K74" s="1698">
        <f t="shared" si="10"/>
        <v>354917</v>
      </c>
      <c r="L74" s="1698">
        <f>SUM(L42,L47,L53,L57,L65,L72,L73)</f>
        <v>344033</v>
      </c>
    </row>
    <row r="75" spans="1:14" s="259" customFormat="1" ht="15.75" customHeight="1" thickTop="1" thickBot="1" x14ac:dyDescent="0.25">
      <c r="A75" s="1632" t="s">
        <v>49</v>
      </c>
      <c r="B75" s="1633" t="s">
        <v>596</v>
      </c>
      <c r="C75" s="573"/>
      <c r="D75" s="573"/>
      <c r="E75" s="573">
        <v>2950</v>
      </c>
      <c r="F75" s="573"/>
      <c r="G75" s="573"/>
      <c r="H75" s="573"/>
      <c r="I75" s="531"/>
      <c r="J75" s="531"/>
      <c r="K75" s="1691">
        <f>SUM(C75:J75)</f>
        <v>2950</v>
      </c>
      <c r="L75" s="576">
        <v>2950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v>24766</v>
      </c>
      <c r="F79" s="617"/>
      <c r="G79" s="617"/>
      <c r="H79" s="466"/>
      <c r="I79" s="477"/>
      <c r="J79" s="477"/>
      <c r="K79" s="1692">
        <f t="shared" si="11"/>
        <v>24766</v>
      </c>
      <c r="L79" s="466">
        <v>33846</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24766</v>
      </c>
      <c r="F84" s="617"/>
      <c r="G84" s="617"/>
      <c r="H84" s="1691">
        <f>SUM(H78:H83)</f>
        <v>0</v>
      </c>
      <c r="I84" s="477"/>
      <c r="J84" s="477"/>
      <c r="K84" s="1691">
        <f>SUM(K78:K83)</f>
        <v>24766</v>
      </c>
      <c r="L84" s="1691">
        <f>SUM(L78:L83)</f>
        <v>33846</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c r="I86" s="477"/>
      <c r="J86" s="477"/>
      <c r="K86" s="1698">
        <f t="shared" ref="K86:K98" si="12">H86</f>
        <v>0</v>
      </c>
      <c r="L86" s="530"/>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24766</v>
      </c>
      <c r="F102" s="617"/>
      <c r="G102" s="617"/>
      <c r="H102" s="1698">
        <f>SUM(H84,H92,H100,H101)</f>
        <v>0</v>
      </c>
      <c r="I102" s="477"/>
      <c r="J102" s="477"/>
      <c r="K102" s="1698">
        <f>SUM(K84,K92,K100,K101)</f>
        <v>24766</v>
      </c>
      <c r="L102" s="1698">
        <f>SUM(L84,L92,L100,L101)</f>
        <v>33846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1197723</v>
      </c>
      <c r="D114" s="1691">
        <f t="shared" ref="D114:K114" si="13">SUM(D33,D74,D75,D102,D112,D113)</f>
        <v>211157</v>
      </c>
      <c r="E114" s="1691">
        <f t="shared" si="13"/>
        <v>128976</v>
      </c>
      <c r="F114" s="1691">
        <f t="shared" si="13"/>
        <v>117809</v>
      </c>
      <c r="G114" s="1691">
        <f t="shared" si="13"/>
        <v>2401</v>
      </c>
      <c r="H114" s="1691">
        <f>SUM(H33,H74,H75,H102,H112,H113)</f>
        <v>35</v>
      </c>
      <c r="I114" s="1691">
        <f t="shared" si="13"/>
        <v>0</v>
      </c>
      <c r="J114" s="1691">
        <f t="shared" si="13"/>
        <v>0</v>
      </c>
      <c r="K114" s="1691">
        <f t="shared" si="13"/>
        <v>1658101</v>
      </c>
      <c r="L114" s="1691">
        <f>SUM(L33,L74,L75,L102,L112,L113)</f>
        <v>1689168</v>
      </c>
    </row>
    <row r="115" spans="1:14" ht="13.5" thickTop="1" x14ac:dyDescent="0.2">
      <c r="A115" s="2198" t="s">
        <v>1053</v>
      </c>
      <c r="B115" s="2199"/>
      <c r="C115" s="619"/>
      <c r="D115" s="619"/>
      <c r="E115" s="619"/>
      <c r="F115" s="619"/>
      <c r="G115" s="619"/>
      <c r="H115" s="619"/>
      <c r="I115" s="619"/>
      <c r="J115" s="619"/>
      <c r="K115" s="1705">
        <f>'Revenues 9-14'!C275-'Expenditures 15-22'!K114</f>
        <v>-7791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v>105231</v>
      </c>
      <c r="D124" s="466">
        <v>3550</v>
      </c>
      <c r="E124" s="466">
        <v>27060</v>
      </c>
      <c r="F124" s="466">
        <v>45344</v>
      </c>
      <c r="G124" s="466">
        <v>11231</v>
      </c>
      <c r="H124" s="466"/>
      <c r="I124" s="467"/>
      <c r="J124" s="467"/>
      <c r="K124" s="1691">
        <f>SUM(C124:J124)</f>
        <v>192416</v>
      </c>
      <c r="L124" s="466">
        <v>200321</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105231</v>
      </c>
      <c r="D127" s="1691">
        <f t="shared" ref="D127:L127" si="14">SUM(D122:D126)</f>
        <v>3550</v>
      </c>
      <c r="E127" s="1691">
        <f t="shared" si="14"/>
        <v>27060</v>
      </c>
      <c r="F127" s="1691">
        <f t="shared" si="14"/>
        <v>45344</v>
      </c>
      <c r="G127" s="1691">
        <f t="shared" si="14"/>
        <v>11231</v>
      </c>
      <c r="H127" s="1691">
        <f t="shared" si="14"/>
        <v>0</v>
      </c>
      <c r="I127" s="1691">
        <f t="shared" si="14"/>
        <v>0</v>
      </c>
      <c r="J127" s="1691">
        <f t="shared" si="14"/>
        <v>0</v>
      </c>
      <c r="K127" s="1691">
        <f t="shared" si="14"/>
        <v>192416</v>
      </c>
      <c r="L127" s="1691">
        <f t="shared" si="14"/>
        <v>200321</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105231</v>
      </c>
      <c r="D129" s="1698">
        <f t="shared" ref="D129:L129" si="15">SUM(D120,D127,D128)</f>
        <v>3550</v>
      </c>
      <c r="E129" s="1698">
        <f t="shared" si="15"/>
        <v>27060</v>
      </c>
      <c r="F129" s="1698">
        <f t="shared" si="15"/>
        <v>45344</v>
      </c>
      <c r="G129" s="1698">
        <f t="shared" si="15"/>
        <v>11231</v>
      </c>
      <c r="H129" s="1698">
        <f t="shared" si="15"/>
        <v>0</v>
      </c>
      <c r="I129" s="1698">
        <f t="shared" si="15"/>
        <v>0</v>
      </c>
      <c r="J129" s="1698">
        <f t="shared" si="15"/>
        <v>0</v>
      </c>
      <c r="K129" s="1698">
        <f t="shared" si="15"/>
        <v>192416</v>
      </c>
      <c r="L129" s="1698">
        <f t="shared" si="15"/>
        <v>200321</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1">
        <f>SUM(C129,C130,C139,C149,C150)</f>
        <v>105231</v>
      </c>
      <c r="D151" s="1691">
        <f t="shared" ref="D151:K151" si="16">SUM(D129,D130,D139,D149,D150)</f>
        <v>3550</v>
      </c>
      <c r="E151" s="1691">
        <f t="shared" si="16"/>
        <v>27060</v>
      </c>
      <c r="F151" s="1691">
        <f t="shared" si="16"/>
        <v>45344</v>
      </c>
      <c r="G151" s="1691">
        <f t="shared" si="16"/>
        <v>11231</v>
      </c>
      <c r="H151" s="1691">
        <f t="shared" si="16"/>
        <v>0</v>
      </c>
      <c r="I151" s="1691">
        <f t="shared" si="16"/>
        <v>0</v>
      </c>
      <c r="J151" s="1691">
        <f t="shared" si="16"/>
        <v>0</v>
      </c>
      <c r="K151" s="1691">
        <f t="shared" si="16"/>
        <v>192416</v>
      </c>
      <c r="L151" s="1691">
        <f>SUM(L129,L130,L139,L149,L150)</f>
        <v>200321</v>
      </c>
    </row>
    <row r="152" spans="1:14" ht="12.75" customHeight="1" thickTop="1" x14ac:dyDescent="0.2">
      <c r="A152" s="2191" t="s">
        <v>1240</v>
      </c>
      <c r="B152" s="2192"/>
      <c r="C152" s="619"/>
      <c r="D152" s="619"/>
      <c r="E152" s="619"/>
      <c r="F152" s="619"/>
      <c r="G152" s="619"/>
      <c r="H152" s="619"/>
      <c r="I152" s="619"/>
      <c r="J152" s="617"/>
      <c r="K152" s="1705">
        <f>'Revenues 9-14'!D275-'Expenditures 15-22'!K151</f>
        <v>-7306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v>35020</v>
      </c>
      <c r="I170" s="617"/>
      <c r="J170" s="617"/>
      <c r="K170" s="1692">
        <f>SUM(C170:J170)</f>
        <v>35020</v>
      </c>
      <c r="L170" s="569">
        <v>35020</v>
      </c>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35020</v>
      </c>
      <c r="I172" s="639"/>
      <c r="J172" s="617"/>
      <c r="K172" s="1698">
        <f>SUM(K168,K169,K170,K171)</f>
        <v>35020</v>
      </c>
      <c r="L172" s="1698">
        <f>SUM(L168,L169,L170,L171)</f>
        <v>35020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35020</v>
      </c>
      <c r="I174" s="639"/>
      <c r="J174" s="617"/>
      <c r="K174" s="1698">
        <f>SUM(K160,K172,K173)</f>
        <v>35020</v>
      </c>
      <c r="L174" s="1698">
        <f>SUM(L160,L172,L173)</f>
        <v>35020</v>
      </c>
    </row>
    <row r="175" spans="1:14" ht="13.5" thickTop="1" x14ac:dyDescent="0.2">
      <c r="A175" s="2198" t="s">
        <v>1053</v>
      </c>
      <c r="B175" s="2199"/>
      <c r="C175" s="617"/>
      <c r="D175" s="617"/>
      <c r="E175" s="617"/>
      <c r="F175" s="617"/>
      <c r="G175" s="617"/>
      <c r="H175" s="619"/>
      <c r="I175" s="617"/>
      <c r="J175" s="617"/>
      <c r="K175" s="1705">
        <f>'Revenues 9-14'!E275-'Expenditures 15-22'!K174</f>
        <v>16918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36421</v>
      </c>
      <c r="D182" s="466">
        <v>931</v>
      </c>
      <c r="E182" s="466">
        <v>40379</v>
      </c>
      <c r="F182" s="466">
        <v>15687</v>
      </c>
      <c r="G182" s="466"/>
      <c r="H182" s="466"/>
      <c r="I182" s="467"/>
      <c r="J182" s="467"/>
      <c r="K182" s="1692">
        <f>SUM(C182:J182)</f>
        <v>93418</v>
      </c>
      <c r="L182" s="466">
        <v>97162</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36421</v>
      </c>
      <c r="D184" s="1698">
        <f t="shared" ref="D184:J184" si="17">SUM(D180,D182,D183)</f>
        <v>931</v>
      </c>
      <c r="E184" s="1698">
        <f t="shared" si="17"/>
        <v>40379</v>
      </c>
      <c r="F184" s="1698">
        <f t="shared" si="17"/>
        <v>15687</v>
      </c>
      <c r="G184" s="1698">
        <f t="shared" si="17"/>
        <v>0</v>
      </c>
      <c r="H184" s="1698">
        <f t="shared" si="17"/>
        <v>0</v>
      </c>
      <c r="I184" s="1698">
        <f t="shared" si="17"/>
        <v>0</v>
      </c>
      <c r="J184" s="1698">
        <f t="shared" si="17"/>
        <v>0</v>
      </c>
      <c r="K184" s="1698">
        <f>SUM(K180,K182,K183)</f>
        <v>93418</v>
      </c>
      <c r="L184" s="1698">
        <f>SUM(L180, L182:L183)</f>
        <v>97162</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36421</v>
      </c>
      <c r="D210" s="1691">
        <f>SUM(D184,D185)</f>
        <v>931</v>
      </c>
      <c r="E210" s="1691">
        <f>SUM(E184,E185,E196)</f>
        <v>40379</v>
      </c>
      <c r="F210" s="1691">
        <f>SUM(F184,F185)</f>
        <v>15687</v>
      </c>
      <c r="G210" s="1691">
        <f>SUM(G184,G185)</f>
        <v>0</v>
      </c>
      <c r="H210" s="1691">
        <f>SUM(H184,H185,H196,H208,H209)</f>
        <v>0</v>
      </c>
      <c r="I210" s="1691">
        <f>SUM(I184,I185)</f>
        <v>0</v>
      </c>
      <c r="J210" s="1691">
        <f>SUM(J184,J185)</f>
        <v>0</v>
      </c>
      <c r="K210" s="1692">
        <f>SUM(K184,K185,K196,K208,K209)</f>
        <v>93418</v>
      </c>
      <c r="L210" s="1691">
        <f>SUM(L184,L185,L196,L208,L209)</f>
        <v>97162</v>
      </c>
    </row>
    <row r="211" spans="1:14" ht="13.5" thickTop="1" x14ac:dyDescent="0.2">
      <c r="A211" s="2198" t="s">
        <v>1053</v>
      </c>
      <c r="B211" s="2199"/>
      <c r="C211" s="619"/>
      <c r="D211" s="619"/>
      <c r="E211" s="619"/>
      <c r="F211" s="619"/>
      <c r="G211" s="619"/>
      <c r="H211" s="619"/>
      <c r="I211" s="617"/>
      <c r="J211" s="617"/>
      <c r="K211" s="1705">
        <f>'Revenues 9-14'!F275-'Expenditures 15-22'!K210</f>
        <v>45710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13347</v>
      </c>
      <c r="E215" s="617"/>
      <c r="F215" s="617"/>
      <c r="G215" s="617"/>
      <c r="H215" s="617"/>
      <c r="I215" s="617"/>
      <c r="J215" s="617"/>
      <c r="K215" s="1692">
        <f>D215</f>
        <v>13347</v>
      </c>
      <c r="L215" s="466">
        <v>13110</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21408</v>
      </c>
      <c r="E217" s="617"/>
      <c r="F217" s="617"/>
      <c r="G217" s="617"/>
      <c r="H217" s="617"/>
      <c r="I217" s="617"/>
      <c r="J217" s="617"/>
      <c r="K217" s="1692">
        <f t="shared" si="19"/>
        <v>21408</v>
      </c>
      <c r="L217" s="466">
        <v>20235</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374</v>
      </c>
      <c r="E219" s="617"/>
      <c r="F219" s="617"/>
      <c r="G219" s="617"/>
      <c r="H219" s="617"/>
      <c r="I219" s="617"/>
      <c r="J219" s="617"/>
      <c r="K219" s="1692">
        <f t="shared" si="19"/>
        <v>374</v>
      </c>
      <c r="L219" s="466">
        <v>200</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v>1704</v>
      </c>
      <c r="E223" s="617"/>
      <c r="F223" s="617"/>
      <c r="G223" s="617"/>
      <c r="H223" s="617"/>
      <c r="I223" s="617"/>
      <c r="J223" s="617"/>
      <c r="K223" s="1692">
        <f t="shared" si="19"/>
        <v>1704</v>
      </c>
      <c r="L223" s="466">
        <v>1701</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36833</v>
      </c>
      <c r="E229" s="617"/>
      <c r="F229" s="617"/>
      <c r="G229" s="617"/>
      <c r="H229" s="617"/>
      <c r="I229" s="617"/>
      <c r="J229" s="617"/>
      <c r="K229" s="1691">
        <f>SUM(K215:K228)</f>
        <v>36833</v>
      </c>
      <c r="L229" s="1691">
        <f>SUM(L215:L228)</f>
        <v>35246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v>4712</v>
      </c>
      <c r="E234" s="617"/>
      <c r="F234" s="617"/>
      <c r="G234" s="617"/>
      <c r="H234" s="617"/>
      <c r="I234" s="617"/>
      <c r="J234" s="617"/>
      <c r="K234" s="1692">
        <f t="shared" si="20"/>
        <v>4712</v>
      </c>
      <c r="L234" s="466">
        <v>4685</v>
      </c>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v>862</v>
      </c>
      <c r="E237" s="617"/>
      <c r="F237" s="617"/>
      <c r="G237" s="617"/>
      <c r="H237" s="617"/>
      <c r="I237" s="617"/>
      <c r="J237" s="617"/>
      <c r="K237" s="1692">
        <f t="shared" si="20"/>
        <v>862</v>
      </c>
      <c r="L237" s="466">
        <v>950</v>
      </c>
    </row>
    <row r="238" spans="1:12" ht="12.75" customHeight="1" thickBot="1" x14ac:dyDescent="0.25">
      <c r="A238" s="1689" t="s">
        <v>581</v>
      </c>
      <c r="B238" s="1696" t="s">
        <v>740</v>
      </c>
      <c r="C238" s="617"/>
      <c r="D238" s="1691">
        <f>SUM(D232:D237)</f>
        <v>5574</v>
      </c>
      <c r="E238" s="617"/>
      <c r="F238" s="617"/>
      <c r="G238" s="617"/>
      <c r="H238" s="617"/>
      <c r="I238" s="617"/>
      <c r="J238" s="617"/>
      <c r="K238" s="1691">
        <f>SUM(K232:K237)</f>
        <v>5574</v>
      </c>
      <c r="L238" s="1691">
        <f>SUM(L232:L237)</f>
        <v>5635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86</v>
      </c>
      <c r="E240" s="617"/>
      <c r="F240" s="617"/>
      <c r="G240" s="617"/>
      <c r="H240" s="617"/>
      <c r="I240" s="617"/>
      <c r="J240" s="617"/>
      <c r="K240" s="1693">
        <f>D240</f>
        <v>86</v>
      </c>
      <c r="L240" s="481"/>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86</v>
      </c>
      <c r="E243" s="617"/>
      <c r="F243" s="617"/>
      <c r="G243" s="617"/>
      <c r="H243" s="617"/>
      <c r="I243" s="617"/>
      <c r="J243" s="617"/>
      <c r="K243" s="1691">
        <f>SUM(K240:K242)</f>
        <v>86</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row>
    <row r="246" spans="1:12" x14ac:dyDescent="0.2">
      <c r="A246" s="1526" t="s">
        <v>872</v>
      </c>
      <c r="B246" s="615">
        <v>2320</v>
      </c>
      <c r="C246" s="617"/>
      <c r="D246" s="466">
        <v>939</v>
      </c>
      <c r="E246" s="617"/>
      <c r="F246" s="617"/>
      <c r="G246" s="617"/>
      <c r="H246" s="617"/>
      <c r="I246" s="617"/>
      <c r="J246" s="617"/>
      <c r="K246" s="1693">
        <f t="shared" ref="K246:K256" si="21">D246</f>
        <v>939</v>
      </c>
      <c r="L246" s="466">
        <v>875</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939</v>
      </c>
      <c r="E257" s="617"/>
      <c r="F257" s="617"/>
      <c r="G257" s="617"/>
      <c r="H257" s="617"/>
      <c r="I257" s="617"/>
      <c r="J257" s="617"/>
      <c r="K257" s="1691">
        <f>SUM(K245:K256)</f>
        <v>939</v>
      </c>
      <c r="L257" s="1691">
        <f>SUM(L245:L256)</f>
        <v>875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320</v>
      </c>
      <c r="E259" s="617"/>
      <c r="F259" s="617"/>
      <c r="G259" s="617"/>
      <c r="H259" s="617"/>
      <c r="I259" s="617"/>
      <c r="J259" s="617"/>
      <c r="K259" s="1693">
        <f>D259</f>
        <v>320</v>
      </c>
      <c r="L259" s="481">
        <v>350</v>
      </c>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320</v>
      </c>
      <c r="E261" s="617"/>
      <c r="F261" s="617"/>
      <c r="G261" s="617"/>
      <c r="H261" s="617"/>
      <c r="I261" s="617"/>
      <c r="J261" s="617"/>
      <c r="K261" s="1691">
        <f>SUM(K259:K260)</f>
        <v>320</v>
      </c>
      <c r="L261" s="1691">
        <f>SUM(L259:L260)</f>
        <v>350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10143</v>
      </c>
      <c r="E264" s="617"/>
      <c r="F264" s="617"/>
      <c r="G264" s="617"/>
      <c r="H264" s="617"/>
      <c r="I264" s="617"/>
      <c r="J264" s="617"/>
      <c r="K264" s="1693">
        <f t="shared" ref="K264:K269" si="22">D264</f>
        <v>10143</v>
      </c>
      <c r="L264" s="466">
        <v>9970</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20011</v>
      </c>
      <c r="E266" s="617"/>
      <c r="F266" s="617"/>
      <c r="G266" s="617"/>
      <c r="H266" s="617"/>
      <c r="I266" s="617"/>
      <c r="J266" s="617"/>
      <c r="K266" s="1693">
        <f t="shared" si="22"/>
        <v>20011</v>
      </c>
      <c r="L266" s="466">
        <v>20485</v>
      </c>
    </row>
    <row r="267" spans="1:14" x14ac:dyDescent="0.2">
      <c r="A267" s="1526" t="s">
        <v>1010</v>
      </c>
      <c r="B267" s="615">
        <v>2550</v>
      </c>
      <c r="C267" s="617"/>
      <c r="D267" s="466">
        <v>5936</v>
      </c>
      <c r="E267" s="617"/>
      <c r="F267" s="617"/>
      <c r="G267" s="617"/>
      <c r="H267" s="617"/>
      <c r="I267" s="617"/>
      <c r="J267" s="617"/>
      <c r="K267" s="1693">
        <f t="shared" si="22"/>
        <v>5936</v>
      </c>
      <c r="L267" s="466">
        <v>7240</v>
      </c>
    </row>
    <row r="268" spans="1:14" x14ac:dyDescent="0.2">
      <c r="A268" s="1526" t="s">
        <v>102</v>
      </c>
      <c r="B268" s="615">
        <v>2560</v>
      </c>
      <c r="C268" s="617"/>
      <c r="D268" s="466">
        <v>9664</v>
      </c>
      <c r="E268" s="617"/>
      <c r="F268" s="617"/>
      <c r="G268" s="617"/>
      <c r="H268" s="617"/>
      <c r="I268" s="617"/>
      <c r="J268" s="617"/>
      <c r="K268" s="1693">
        <f t="shared" si="22"/>
        <v>9664</v>
      </c>
      <c r="L268" s="466">
        <v>8341</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45754</v>
      </c>
      <c r="E270" s="617"/>
      <c r="F270" s="617"/>
      <c r="G270" s="617"/>
      <c r="H270" s="617"/>
      <c r="I270" s="617"/>
      <c r="J270" s="617"/>
      <c r="K270" s="1691">
        <f>SUM(K263:K269)</f>
        <v>45754</v>
      </c>
      <c r="L270" s="1691">
        <f>SUM(L263:L269)</f>
        <v>46036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52673</v>
      </c>
      <c r="E279" s="617"/>
      <c r="F279" s="617"/>
      <c r="G279" s="617"/>
      <c r="H279" s="617"/>
      <c r="I279" s="617"/>
      <c r="J279" s="617"/>
      <c r="K279" s="1698">
        <f>SUM(K238,K243,K257,K261,K270,K277,K278)</f>
        <v>52673</v>
      </c>
      <c r="L279" s="1698">
        <f>SUM(L238,L243,L257,L261,L270,L277,L278)</f>
        <v>52896</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1">
        <f>SUM(D229,D279,D280,D285)</f>
        <v>89506</v>
      </c>
      <c r="E295" s="617"/>
      <c r="F295" s="617"/>
      <c r="G295" s="617"/>
      <c r="H295" s="1691">
        <f>H293</f>
        <v>0</v>
      </c>
      <c r="I295" s="617"/>
      <c r="J295" s="617"/>
      <c r="K295" s="1691">
        <f>SUM(K229,K279,K280,K285,K293,K294)</f>
        <v>89506</v>
      </c>
      <c r="L295" s="1691">
        <f>SUM(L229,L279,L280,L285,L293,L294)</f>
        <v>88142</v>
      </c>
    </row>
    <row r="296" spans="1:14" ht="13.5" thickTop="1" x14ac:dyDescent="0.2">
      <c r="A296" s="2198" t="s">
        <v>1053</v>
      </c>
      <c r="B296" s="2199"/>
      <c r="C296" s="617"/>
      <c r="D296" s="619"/>
      <c r="E296" s="617"/>
      <c r="F296" s="617"/>
      <c r="G296" s="617"/>
      <c r="H296" s="688"/>
      <c r="I296" s="617"/>
      <c r="J296" s="617"/>
      <c r="K296" s="1705">
        <f>'Revenues 9-14'!G275-'Expenditures 15-22'!K295</f>
        <v>3708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7016</v>
      </c>
      <c r="F301" s="466">
        <v>144</v>
      </c>
      <c r="G301" s="466">
        <v>16986</v>
      </c>
      <c r="H301" s="466"/>
      <c r="I301" s="467"/>
      <c r="J301" s="467"/>
      <c r="K301" s="1692">
        <f>SUM(C301:J301)</f>
        <v>24146</v>
      </c>
      <c r="L301" s="467">
        <v>38853</v>
      </c>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7016</v>
      </c>
      <c r="F303" s="1698">
        <f t="shared" si="23"/>
        <v>144</v>
      </c>
      <c r="G303" s="1698">
        <f t="shared" si="23"/>
        <v>16986</v>
      </c>
      <c r="H303" s="1698">
        <f t="shared" si="23"/>
        <v>0</v>
      </c>
      <c r="I303" s="1698">
        <f t="shared" si="23"/>
        <v>0</v>
      </c>
      <c r="J303" s="1698">
        <f t="shared" si="23"/>
        <v>0</v>
      </c>
      <c r="K303" s="1698">
        <f t="shared" si="23"/>
        <v>24146</v>
      </c>
      <c r="L303" s="1698">
        <f t="shared" si="23"/>
        <v>38853</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1">
        <f>SUM(C303)</f>
        <v>0</v>
      </c>
      <c r="D312" s="1691">
        <f>SUM(D303)</f>
        <v>0</v>
      </c>
      <c r="E312" s="1691">
        <f>SUM(E303,E310)</f>
        <v>7016</v>
      </c>
      <c r="F312" s="1691">
        <f>SUM(F303)</f>
        <v>144</v>
      </c>
      <c r="G312" s="1691">
        <f>SUM(G303)</f>
        <v>16986</v>
      </c>
      <c r="H312" s="1691">
        <f>SUM(H303,H310)</f>
        <v>0</v>
      </c>
      <c r="I312" s="1691">
        <f>SUM(I303)</f>
        <v>0</v>
      </c>
      <c r="J312" s="1691">
        <f>SUM(J303)</f>
        <v>0</v>
      </c>
      <c r="K312" s="1691">
        <f>SUM(K303,K310,K311)</f>
        <v>24146</v>
      </c>
      <c r="L312" s="1691">
        <f>SUM(L303,L310,L311)</f>
        <v>38853</v>
      </c>
      <c r="M312" s="666"/>
      <c r="N312" s="666"/>
    </row>
    <row r="313" spans="1:14" ht="13.5" thickTop="1" x14ac:dyDescent="0.2">
      <c r="A313" s="2182" t="s">
        <v>1053</v>
      </c>
      <c r="B313" s="2183"/>
      <c r="C313" s="627"/>
      <c r="D313" s="627"/>
      <c r="E313" s="627"/>
      <c r="F313" s="627"/>
      <c r="G313" s="627"/>
      <c r="H313" s="627"/>
      <c r="I313" s="627"/>
      <c r="J313" s="627"/>
      <c r="K313" s="1706">
        <f>'Revenues 9-14'!H275-'Expenditures 15-22'!K312</f>
        <v>8176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9513</v>
      </c>
      <c r="F320" s="467"/>
      <c r="G320" s="467"/>
      <c r="H320" s="467"/>
      <c r="I320" s="467"/>
      <c r="J320" s="467"/>
      <c r="K320" s="1692">
        <f t="shared" ref="K320:K327" si="24">SUM(C320:J320)</f>
        <v>9513</v>
      </c>
      <c r="L320" s="467">
        <v>9513</v>
      </c>
      <c r="M320" s="666"/>
      <c r="N320" s="666"/>
    </row>
    <row r="321" spans="1:14" s="675" customFormat="1" x14ac:dyDescent="0.2">
      <c r="A321" s="1541" t="s">
        <v>318</v>
      </c>
      <c r="B321" s="698" t="s">
        <v>301</v>
      </c>
      <c r="C321" s="467"/>
      <c r="D321" s="467"/>
      <c r="E321" s="467">
        <v>3027</v>
      </c>
      <c r="F321" s="467"/>
      <c r="G321" s="467"/>
      <c r="H321" s="467"/>
      <c r="I321" s="467"/>
      <c r="J321" s="467"/>
      <c r="K321" s="1692">
        <f t="shared" si="24"/>
        <v>3027</v>
      </c>
      <c r="L321" s="467">
        <v>4800</v>
      </c>
      <c r="M321" s="666"/>
      <c r="N321" s="666"/>
    </row>
    <row r="322" spans="1:14" s="675" customFormat="1" x14ac:dyDescent="0.2">
      <c r="A322" s="1541" t="s">
        <v>256</v>
      </c>
      <c r="B322" s="698" t="s">
        <v>302</v>
      </c>
      <c r="C322" s="467"/>
      <c r="D322" s="467"/>
      <c r="E322" s="467">
        <v>17060</v>
      </c>
      <c r="F322" s="467"/>
      <c r="G322" s="467"/>
      <c r="H322" s="467"/>
      <c r="I322" s="467"/>
      <c r="J322" s="467"/>
      <c r="K322" s="1692">
        <f t="shared" si="24"/>
        <v>17060</v>
      </c>
      <c r="L322" s="467">
        <v>26558</v>
      </c>
      <c r="M322" s="666"/>
      <c r="N322" s="666"/>
    </row>
    <row r="323" spans="1:14" s="675" customFormat="1" x14ac:dyDescent="0.2">
      <c r="A323" s="1541" t="s">
        <v>726</v>
      </c>
      <c r="B323" s="698" t="s">
        <v>303</v>
      </c>
      <c r="C323" s="467"/>
      <c r="D323" s="467"/>
      <c r="E323" s="467">
        <v>6389</v>
      </c>
      <c r="F323" s="467"/>
      <c r="G323" s="467"/>
      <c r="H323" s="467"/>
      <c r="I323" s="467"/>
      <c r="J323" s="467"/>
      <c r="K323" s="1692">
        <f t="shared" si="24"/>
        <v>6389</v>
      </c>
      <c r="L323" s="467">
        <v>8000</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v>3443</v>
      </c>
      <c r="F327" s="467"/>
      <c r="G327" s="467"/>
      <c r="H327" s="467"/>
      <c r="I327" s="467"/>
      <c r="J327" s="467"/>
      <c r="K327" s="1692">
        <f t="shared" si="24"/>
        <v>3443</v>
      </c>
      <c r="L327" s="467">
        <v>3443</v>
      </c>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39432</v>
      </c>
      <c r="F330" s="1691">
        <f t="shared" si="25"/>
        <v>0</v>
      </c>
      <c r="G330" s="1691">
        <f t="shared" si="25"/>
        <v>0</v>
      </c>
      <c r="H330" s="1691">
        <f t="shared" si="25"/>
        <v>0</v>
      </c>
      <c r="I330" s="1691">
        <f t="shared" si="25"/>
        <v>0</v>
      </c>
      <c r="J330" s="1691">
        <f t="shared" si="25"/>
        <v>0</v>
      </c>
      <c r="K330" s="1691">
        <f>SUM(K319:K329)</f>
        <v>39432</v>
      </c>
      <c r="L330" s="1691">
        <f>SUM(L319:L329)</f>
        <v>52314</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39432</v>
      </c>
      <c r="F342" s="1691">
        <f>SUM(F330)</f>
        <v>0</v>
      </c>
      <c r="G342" s="1691">
        <f>SUM(G330)</f>
        <v>0</v>
      </c>
      <c r="H342" s="1691">
        <f>SUM(H330,H334,H340)</f>
        <v>0</v>
      </c>
      <c r="I342" s="1691">
        <f>SUM(I330)</f>
        <v>0</v>
      </c>
      <c r="J342" s="1691">
        <f>SUM(J330)</f>
        <v>0</v>
      </c>
      <c r="K342" s="1691">
        <f>SUM(K330,K334,K340)</f>
        <v>39432</v>
      </c>
      <c r="L342" s="1698">
        <f>SUM(L330,L340,L341)</f>
        <v>52314</v>
      </c>
    </row>
    <row r="343" spans="1:14" ht="12.75" customHeight="1" thickTop="1" x14ac:dyDescent="0.2">
      <c r="A343" s="2184" t="s">
        <v>1053</v>
      </c>
      <c r="B343" s="2185"/>
      <c r="C343" s="617"/>
      <c r="D343" s="617"/>
      <c r="E343" s="617"/>
      <c r="F343" s="617"/>
      <c r="G343" s="617"/>
      <c r="H343" s="617"/>
      <c r="I343" s="617"/>
      <c r="J343" s="617"/>
      <c r="K343" s="1705">
        <f>'Revenues 9-14'!J275-'Expenditures 15-22'!K342</f>
        <v>-29690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row>
    <row r="349" spans="1:14" x14ac:dyDescent="0.2">
      <c r="A349" s="1526" t="s">
        <v>206</v>
      </c>
      <c r="B349" s="615">
        <v>2540</v>
      </c>
      <c r="C349" s="466"/>
      <c r="D349" s="466"/>
      <c r="E349" s="466"/>
      <c r="F349" s="466"/>
      <c r="G349" s="466">
        <v>423</v>
      </c>
      <c r="H349" s="466"/>
      <c r="I349" s="467"/>
      <c r="J349" s="467"/>
      <c r="K349" s="1692">
        <f>SUM(C349:J349)</f>
        <v>423</v>
      </c>
      <c r="L349" s="466">
        <v>500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423</v>
      </c>
      <c r="H350" s="1691">
        <f t="shared" si="26"/>
        <v>0</v>
      </c>
      <c r="I350" s="1691">
        <f t="shared" si="26"/>
        <v>0</v>
      </c>
      <c r="J350" s="1691">
        <f t="shared" si="26"/>
        <v>0</v>
      </c>
      <c r="K350" s="1691">
        <f t="shared" si="26"/>
        <v>423</v>
      </c>
      <c r="L350" s="1691">
        <f t="shared" si="26"/>
        <v>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423</v>
      </c>
      <c r="H352" s="1691">
        <f t="shared" si="27"/>
        <v>0</v>
      </c>
      <c r="I352" s="1691">
        <f t="shared" si="27"/>
        <v>0</v>
      </c>
      <c r="J352" s="1691">
        <f t="shared" si="27"/>
        <v>0</v>
      </c>
      <c r="K352" s="1691">
        <f t="shared" si="27"/>
        <v>423</v>
      </c>
      <c r="L352" s="1691">
        <f t="shared" si="27"/>
        <v>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423</v>
      </c>
      <c r="H367" s="1691">
        <f t="shared" si="28"/>
        <v>0</v>
      </c>
      <c r="I367" s="1691">
        <f t="shared" si="28"/>
        <v>0</v>
      </c>
      <c r="J367" s="1691">
        <f t="shared" si="28"/>
        <v>0</v>
      </c>
      <c r="K367" s="1691">
        <f t="shared" si="28"/>
        <v>423</v>
      </c>
      <c r="L367" s="1691">
        <f t="shared" si="28"/>
        <v>500</v>
      </c>
    </row>
    <row r="368" spans="1:14" ht="13.5" thickTop="1" x14ac:dyDescent="0.2">
      <c r="A368" s="2198" t="s">
        <v>1053</v>
      </c>
      <c r="B368" s="2199"/>
      <c r="C368" s="655"/>
      <c r="D368" s="655"/>
      <c r="E368" s="627"/>
      <c r="F368" s="627"/>
      <c r="G368" s="627"/>
      <c r="H368" s="627"/>
      <c r="I368" s="627"/>
      <c r="J368" s="624"/>
      <c r="K368" s="1692">
        <f>'Revenues 9-14'!K275-'Expenditures 15-22'!K367</f>
        <v>786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purl.org/dc/elements/1.1/"/>
    <ds:schemaRef ds:uri="http://schemas.microsoft.com/office/2006/documentManagement/types"/>
    <ds:schemaRef ds:uri="http://purl.org/dc/terms/"/>
    <ds:schemaRef ds:uri="http://schemas.microsoft.com/office/2006/metadata/properties"/>
    <ds:schemaRef ds:uri="http://schemas.microsoft.com/office/infopath/2007/PartnerControls"/>
    <ds:schemaRef ds:uri="http://www.w3.org/XML/1998/namespace"/>
    <ds:schemaRef ds:uri="4d435f69-8686-490b-bd6d-b153bf22ab50"/>
    <ds:schemaRef ds:uri="http://schemas.openxmlformats.org/package/2006/metadata/core-properties"/>
    <ds:schemaRef ds:uri="d21dc803-237d-4c68-8692-8d731fd29118"/>
    <ds:schemaRef ds:uri="6ce3111e-7420-4802-b50a-75d4e9a0b980"/>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2018-09-13T19:44:41Z</cp:lastPrinted>
  <dcterms:created xsi:type="dcterms:W3CDTF">2003-10-29T19:06:34Z</dcterms:created>
  <dcterms:modified xsi:type="dcterms:W3CDTF">2018-10-09T19:04:10Z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