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2 (4)" sheetId="185" r:id="rId34"/>
    <sheet name="SF&amp;QC Sec-2 (5)" sheetId="186" r:id="rId35"/>
    <sheet name="SF&amp;QC Sec-2 (6)" sheetId="187" r:id="rId36"/>
    <sheet name="SF&amp;QC Sec-2 (7)" sheetId="188" r:id="rId37"/>
    <sheet name="SF&amp;QC Sec-3" sheetId="176" r:id="rId38"/>
    <sheet name="SSPAF" sheetId="177" r:id="rId39"/>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7">'SF&amp;QC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workbook>
</file>

<file path=xl/calcChain.xml><?xml version="1.0" encoding="utf-8"?>
<calcChain xmlns="http://schemas.openxmlformats.org/spreadsheetml/2006/main">
  <c r="B4" i="188" l="1"/>
  <c r="B4" i="187"/>
  <c r="B4" i="186"/>
  <c r="B4" i="185" l="1"/>
  <c r="B4" i="184"/>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7"/>
  <c r="B1" i="188"/>
  <c r="B1" i="186"/>
  <c r="B1" i="184"/>
  <c r="B1" i="185"/>
  <c r="B2" i="188"/>
  <c r="B2" i="186"/>
  <c r="B2" i="187"/>
  <c r="B2" i="184"/>
  <c r="B2"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D1132" i="106"/>
  <c r="K68" i="29"/>
  <c r="K69" i="29"/>
  <c r="B1136" i="106" s="1"/>
  <c r="D1136" i="106" s="1"/>
  <c r="K70" i="29"/>
  <c r="D1138" i="106"/>
  <c r="K71" i="29"/>
  <c r="B1139" i="106" s="1"/>
  <c r="D1139" i="106" s="1"/>
  <c r="D1140" i="106"/>
  <c r="K73" i="29"/>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s="1"/>
  <c r="B5116" i="106"/>
  <c r="D5116" i="106" s="1"/>
  <c r="B5117" i="106"/>
  <c r="D5117" i="106" s="1"/>
  <c r="B5118" i="106"/>
  <c r="D5118" i="106" s="1"/>
  <c r="B5119" i="106"/>
  <c r="D5119" i="106" s="1"/>
  <c r="B5122" i="106"/>
  <c r="D5122" i="106" s="1"/>
  <c r="B5123" i="106"/>
  <c r="D5123" i="106"/>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s="1"/>
  <c r="B6334" i="106"/>
  <c r="D6334" i="106" s="1"/>
  <c r="B6335" i="106"/>
  <c r="D6335" i="106" s="1"/>
  <c r="B6336" i="106"/>
  <c r="D6336" i="106"/>
  <c r="B6337" i="106"/>
  <c r="D6337" i="106" s="1"/>
  <c r="B6338" i="106"/>
  <c r="D6338" i="106"/>
  <c r="B6339" i="106"/>
  <c r="D6339" i="106" s="1"/>
  <c r="B6340" i="106"/>
  <c r="D6340" i="106" s="1"/>
  <c r="B6341" i="106"/>
  <c r="D6341" i="106" s="1"/>
  <c r="B6342" i="106"/>
  <c r="D6342" i="106" s="1"/>
  <c r="B6343" i="106"/>
  <c r="D6343" i="106" s="1"/>
  <c r="B6344" i="106"/>
  <c r="D6344" i="106"/>
  <c r="B6345" i="106"/>
  <c r="D6345" i="106" s="1"/>
  <c r="B6346" i="106"/>
  <c r="D6346" i="106"/>
  <c r="B6347" i="106"/>
  <c r="D6347" i="106" s="1"/>
  <c r="B6348" i="106"/>
  <c r="D6348" i="106" s="1"/>
  <c r="B6349" i="106"/>
  <c r="D6349" i="106" s="1"/>
  <c r="B6350" i="106"/>
  <c r="D6350" i="106"/>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c r="B6364" i="106"/>
  <c r="D6364" i="106" s="1"/>
  <c r="B6365" i="106"/>
  <c r="D6365" i="106"/>
  <c r="B6366" i="106"/>
  <c r="D6366" i="106" s="1"/>
  <c r="B6367" i="106"/>
  <c r="D6367" i="106" s="1"/>
  <c r="B6368" i="106"/>
  <c r="D6368" i="106" s="1"/>
  <c r="B6369" i="106"/>
  <c r="D6369" i="106" s="1"/>
  <c r="B6370" i="106"/>
  <c r="D6370" i="106" s="1"/>
  <c r="B6371" i="106"/>
  <c r="D6371" i="106"/>
  <c r="B6372" i="106"/>
  <c r="D6372" i="106" s="1"/>
  <c r="B6373" i="106"/>
  <c r="D6373" i="106"/>
  <c r="B6374" i="106"/>
  <c r="D6374" i="106" s="1"/>
  <c r="B6375" i="106"/>
  <c r="D6375" i="106" s="1"/>
  <c r="B6376" i="106"/>
  <c r="D6376" i="106" s="1"/>
  <c r="B6377" i="106"/>
  <c r="D6377" i="106" s="1"/>
  <c r="B6378" i="106"/>
  <c r="D6378" i="106" s="1"/>
  <c r="B6379" i="106"/>
  <c r="D6379" i="106"/>
  <c r="B6380" i="106"/>
  <c r="D6380" i="106" s="1"/>
  <c r="B6381" i="106"/>
  <c r="D6381" i="106"/>
  <c r="B6382" i="106"/>
  <c r="D6382" i="106" s="1"/>
  <c r="B6383" i="106"/>
  <c r="D6383" i="106" s="1"/>
  <c r="B6384" i="106"/>
  <c r="D6384" i="106" s="1"/>
  <c r="B6385" i="106"/>
  <c r="D6385" i="106"/>
  <c r="B6386" i="106"/>
  <c r="D6386" i="106" s="1"/>
  <c r="B6387" i="106"/>
  <c r="D6387" i="106"/>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c r="B6631" i="106"/>
  <c r="D6631" i="106" s="1"/>
  <c r="B6632" i="106"/>
  <c r="D6632" i="106"/>
  <c r="B6633" i="106"/>
  <c r="D6633" i="106" s="1"/>
  <c r="B6634" i="106"/>
  <c r="D6634" i="106" s="1"/>
  <c r="B6635" i="106"/>
  <c r="D6635" i="106" s="1"/>
  <c r="B6636" i="106"/>
  <c r="D6636" i="106" s="1"/>
  <c r="B6637" i="106"/>
  <c r="D6637" i="106" s="1"/>
  <c r="B6638" i="106"/>
  <c r="D6638" i="106"/>
  <c r="B6639" i="106"/>
  <c r="D6639" i="106" s="1"/>
  <c r="B6640" i="106"/>
  <c r="D6640" i="106"/>
  <c r="B6641" i="106"/>
  <c r="D6641" i="106" s="1"/>
  <c r="B6642" i="106"/>
  <c r="D6642" i="106" s="1"/>
  <c r="B6643" i="106"/>
  <c r="D6643" i="106" s="1"/>
  <c r="B6644" i="106"/>
  <c r="D6644" i="106" s="1"/>
  <c r="B6645" i="106"/>
  <c r="D6645" i="106" s="1"/>
  <c r="B6646" i="106"/>
  <c r="D6646" i="106"/>
  <c r="B6647" i="106"/>
  <c r="D6647" i="106" s="1"/>
  <c r="B6648" i="106"/>
  <c r="D6648" i="106"/>
  <c r="B6649" i="106"/>
  <c r="D6649" i="106" s="1"/>
  <c r="B6650" i="106"/>
  <c r="D6650" i="106" s="1"/>
  <c r="B6651" i="106"/>
  <c r="D6651" i="106" s="1"/>
  <c r="B6652" i="106"/>
  <c r="D6652" i="106"/>
  <c r="B6653" i="106"/>
  <c r="D6653" i="106" s="1"/>
  <c r="B6654" i="106"/>
  <c r="D6654" i="106"/>
  <c r="B6655" i="106"/>
  <c r="D6655" i="106" s="1"/>
  <c r="B6656" i="106"/>
  <c r="D6656" i="106"/>
  <c r="B6657" i="106"/>
  <c r="D6657" i="106" s="1"/>
  <c r="B6658" i="106"/>
  <c r="D6658" i="106" s="1"/>
  <c r="B6659" i="106"/>
  <c r="D6659" i="106" s="1"/>
  <c r="B6660" i="106"/>
  <c r="D6660" i="106" s="1"/>
  <c r="B6661" i="106"/>
  <c r="D6661" i="106" s="1"/>
  <c r="B6662" i="106"/>
  <c r="D6662" i="106"/>
  <c r="B6663" i="106"/>
  <c r="D6663" i="106" s="1"/>
  <c r="B6664" i="106"/>
  <c r="D6664" i="106"/>
  <c r="B6665" i="106"/>
  <c r="D6665" i="106" s="1"/>
  <c r="B6666" i="106"/>
  <c r="D6666" i="106" s="1"/>
  <c r="B6667" i="106"/>
  <c r="D6667" i="106" s="1"/>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F26" i="108"/>
  <c r="G26" i="108"/>
  <c r="D27" i="108"/>
  <c r="E27" i="108"/>
  <c r="F27" i="108"/>
  <c r="G27" i="108"/>
  <c r="E28" i="108"/>
  <c r="F28" i="108"/>
  <c r="F31" i="108"/>
  <c r="G28" i="108"/>
  <c r="E29" i="108"/>
  <c r="G29" i="108"/>
  <c r="D31" i="108"/>
  <c r="D36"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B5161" i="106" s="1"/>
  <c r="D5161" i="106" s="1"/>
  <c r="D140" i="5"/>
  <c r="B5383" i="106" s="1"/>
  <c r="D5383" i="106" s="1"/>
  <c r="G140" i="5"/>
  <c r="G172" i="5" s="1"/>
  <c r="G173" i="5" s="1"/>
  <c r="B5778" i="106" s="1"/>
  <c r="D5778"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6" i="34"/>
  <c r="F131" i="34"/>
  <c r="B5847" i="106"/>
  <c r="D5847" i="106" s="1"/>
  <c r="B5599" i="106"/>
  <c r="D5599" i="106" s="1"/>
  <c r="H173" i="5"/>
  <c r="B5906" i="106" s="1"/>
  <c r="D5906" i="106" s="1"/>
  <c r="B1746" i="106"/>
  <c r="D1746" i="106" s="1"/>
  <c r="D17" i="7"/>
  <c r="B4104" i="106" s="1"/>
  <c r="D4104" i="106" s="1"/>
  <c r="D12" i="7"/>
  <c r="B1769" i="106" s="1"/>
  <c r="D1769" i="106" s="1"/>
  <c r="F106" i="34" l="1"/>
  <c r="B5752" i="106"/>
  <c r="D5752" i="106" s="1"/>
  <c r="F130" i="34"/>
  <c r="B6006" i="106"/>
  <c r="D6006" i="106" s="1"/>
  <c r="K173" i="5"/>
  <c r="K6" i="4" s="1"/>
  <c r="B3570" i="106" s="1"/>
  <c r="D3570" i="106" s="1"/>
  <c r="L312" i="29"/>
  <c r="F94" i="34"/>
  <c r="B5096" i="106"/>
  <c r="D5096" i="106" s="1"/>
  <c r="D7245" i="106"/>
  <c r="J77" i="4"/>
  <c r="B6262" i="106" s="1"/>
  <c r="D6262" i="106" s="1"/>
  <c r="I24" i="12"/>
  <c r="B1995" i="106"/>
  <c r="D1995" i="106" s="1"/>
  <c r="B1308" i="106"/>
  <c r="D1308" i="106" s="1"/>
  <c r="E174" i="29"/>
  <c r="B1309" i="106" s="1"/>
  <c r="D1309" i="106" s="1"/>
  <c r="B1142" i="106"/>
  <c r="D1142" i="106" s="1"/>
  <c r="G38" i="108"/>
  <c r="E38" i="108"/>
  <c r="B1137" i="106"/>
  <c r="D1137" i="106" s="1"/>
  <c r="F36" i="108"/>
  <c r="B1130" i="106"/>
  <c r="D1130" i="106" s="1"/>
  <c r="G30" i="108"/>
  <c r="E30" i="108"/>
  <c r="E15" i="145"/>
  <c r="G15" i="145" s="1"/>
  <c r="D26" i="108"/>
  <c r="B2836" i="106"/>
  <c r="D2836" i="106" s="1"/>
  <c r="F62" i="34"/>
  <c r="K274" i="5"/>
  <c r="F36" i="34"/>
  <c r="B6897" i="106"/>
  <c r="D6897" i="106" s="1"/>
  <c r="F49" i="34"/>
  <c r="D15" i="7"/>
  <c r="B1772" i="106" s="1"/>
  <c r="D1772" i="106" s="1"/>
  <c r="H6" i="4"/>
  <c r="B2656" i="106" s="1"/>
  <c r="D2656" i="106" s="1"/>
  <c r="F127" i="34"/>
  <c r="D7" i="7"/>
  <c r="B1763" i="106" s="1"/>
  <c r="D1763" i="106" s="1"/>
  <c r="B5770" i="106"/>
  <c r="D5770" i="106" s="1"/>
  <c r="K28" i="118"/>
  <c r="O27" i="118" s="1"/>
  <c r="O29" i="118" s="1"/>
  <c r="J274" i="5"/>
  <c r="B7054" i="106" s="1"/>
  <c r="D7054" i="106" s="1"/>
  <c r="B7071" i="106"/>
  <c r="D7071" i="106" s="1"/>
  <c r="F66" i="34"/>
  <c r="F172" i="5"/>
  <c r="B5644" i="106" s="1"/>
  <c r="D5644" i="106" s="1"/>
  <c r="B3621" i="106"/>
  <c r="D3621" i="106" s="1"/>
  <c r="C367" i="29"/>
  <c r="K76" i="4"/>
  <c r="B3586" i="106" s="1"/>
  <c r="D3586" i="106" s="1"/>
  <c r="K24" i="12"/>
  <c r="H365" i="29"/>
  <c r="K41" i="3"/>
  <c r="D109" i="5"/>
  <c r="B5356" i="106" s="1"/>
  <c r="D5356" i="106" s="1"/>
  <c r="E109" i="5"/>
  <c r="E4" i="4" s="1"/>
  <c r="B2630" i="106" s="1"/>
  <c r="D2630" i="106" s="1"/>
  <c r="G210" i="29"/>
  <c r="D11" i="7"/>
  <c r="B1768" i="106" s="1"/>
  <c r="D1768" i="106" s="1"/>
  <c r="G352" i="29"/>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7733" i="106" l="1"/>
  <c r="D7733" i="106" s="1"/>
  <c r="K26" i="12"/>
  <c r="B7743" i="106" s="1"/>
  <c r="D7743" i="106" s="1"/>
  <c r="D7256" i="106"/>
  <c r="D7251" i="106"/>
  <c r="B1996" i="106"/>
  <c r="D1996" i="106" s="1"/>
  <c r="I26" i="12"/>
  <c r="B7741" i="106" s="1"/>
  <c r="D7741" i="106" s="1"/>
  <c r="D7253" i="106"/>
  <c r="F173" i="5"/>
  <c r="F6" i="4" s="1"/>
  <c r="B2593" i="106" s="1"/>
  <c r="D2593" i="106" s="1"/>
  <c r="B3568" i="106"/>
  <c r="D3568" i="106" s="1"/>
  <c r="D52" i="36"/>
  <c r="D7254" i="106"/>
  <c r="D7250" i="106"/>
  <c r="H367" i="29"/>
  <c r="B3660" i="106" s="1"/>
  <c r="D3660" i="106" s="1"/>
  <c r="B7242" i="106"/>
  <c r="D7242" i="106" s="1"/>
  <c r="D4" i="4"/>
  <c r="B2564" i="106" s="1"/>
  <c r="D2564" i="106" s="1"/>
  <c r="B1365" i="106"/>
  <c r="D1365" i="106" s="1"/>
  <c r="F65" i="34"/>
  <c r="B1317" i="106"/>
  <c r="D1317" i="106" s="1"/>
  <c r="L114" i="29"/>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B5507" i="106"/>
  <c r="D5507" i="106" s="1"/>
  <c r="B7298" i="106"/>
  <c r="B7299" i="106"/>
  <c r="B5653" i="106" l="1"/>
  <c r="D5653" i="106" s="1"/>
  <c r="F275" i="5"/>
  <c r="B5720" i="106" s="1"/>
  <c r="D5720" i="106" s="1"/>
  <c r="C6" i="4"/>
  <c r="B2553" i="106" s="1"/>
  <c r="D2553" i="106" s="1"/>
  <c r="G41" i="108"/>
  <c r="G44" i="108" s="1"/>
  <c r="G45" i="108" s="1"/>
  <c r="E41" i="108"/>
  <c r="E44" i="108" s="1"/>
  <c r="E45" i="108" s="1"/>
  <c r="B2655" i="106"/>
  <c r="D2655" i="106" s="1"/>
  <c r="H8" i="4"/>
  <c r="J17" i="4"/>
  <c r="B6227" i="106" s="1"/>
  <c r="D6227"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10" i="171" l="1"/>
  <c r="J20" i="4"/>
  <c r="D19" i="17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l="1"/>
  <c r="B4123" i="106" s="1"/>
  <c r="D4123"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<sst xmlns="http://schemas.openxmlformats.org/spreadsheetml/2006/main" count="5229" uniqueCount="2151">
  <si>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</si>
  <si>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</si>
  <si>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</si>
  <si>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</si>
  <si>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</si>
  <si>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</si>
  <si>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</si>
  <si>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</si>
  <si>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</si>
  <si>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</si>
  <si>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</si>
  <si>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</si>
  <si>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</si>
  <si>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</si>
  <si>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</si>
  <si>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</si>
  <si>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</si>
  <si>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</si>
  <si>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</si>
  <si>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</si>
  <si>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</si>
  <si>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</si>
  <si>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</si>
  <si>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</si>
  <si>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</si>
  <si>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</si>
  <si>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</si>
  <si>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</si>
  <si>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</si>
  <si>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</si>
  <si>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</si>
  <si>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</si>
  <si>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</si>
  <si>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</si>
  <si>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</si>
  <si>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</si>
  <si>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</si>
  <si>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</si>
  <si>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</si>
  <si>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</si>
  <si>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</si>
  <si>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</si>
  <si>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</si>
  <si>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</si>
  <si>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</si>
  <si>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</si>
  <si>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</si>
  <si>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</si>
  <si>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</si>
  <si>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</si>
  <si>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</si>
  <si>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</si>
  <si>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</si>
  <si>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</si>
  <si>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</si>
  <si>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</si>
  <si>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</si>
  <si>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</si>
  <si>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</si>
  <si>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</si>
  <si>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</si>
  <si>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</si>
  <si>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</si>
  <si>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</si>
  <si>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</si>
  <si>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</si>
  <si>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</si>
  <si>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</si>
  <si>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</si>
  <si>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</si>
  <si>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</si>
  <si>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</si>
  <si>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</si>
  <si>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</si>
  <si>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</si>
  <si>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</si>
  <si>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</si>
  <si>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</si>
  <si>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</si>
  <si>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</si>
  <si>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</si>
  <si>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</si>
  <si>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</si>
  <si>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</si>
  <si>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</si>
  <si>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</si>
  <si>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</si>
  <si>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</si>
  <si>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</si>
  <si>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</si>
  <si>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</si>
  <si>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</si>
  <si>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</si>
  <si>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</si>
  <si>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</si>
  <si>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</si>
  <si>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</si>
  <si>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</si>
  <si>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</si>
  <si>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</si>
  <si>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</si>
  <si>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</si>
  <si>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</si>
  <si>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</si>
  <si>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</si>
  <si>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</si>
  <si>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</si>
  <si>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</si>
  <si>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</si>
  <si>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</si>
  <si>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</si>
  <si>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</si>
  <si>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</si>
  <si>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</si>
  <si>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</si>
  <si>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</si>
  <si>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</si>
  <si>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</si>
  <si>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</si>
  <si>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</si>
  <si>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</si>
  <si>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</si>
  <si>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</si>
  <si>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</si>
  <si>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</si>
  <si>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</si>
  <si>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</si>
  <si>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</si>
  <si>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</si>
  <si>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</si>
  <si>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</si>
  <si>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</si>
  <si>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</si>
  <si>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</si>
  <si>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</si>
  <si>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</si>
  <si>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</si>
  <si>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</si>
  <si>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</si>
  <si>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</si>
  <si>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</si>
  <si>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</si>
  <si>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</si>
  <si>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</si>
  <si>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</si>
  <si>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</si>
  <si>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</si>
  <si>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</si>
  <si>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</si>
  <si>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</si>
  <si>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</si>
  <si>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</si>
  <si>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</si>
  <si>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</si>
  <si>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</si>
  <si>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</si>
  <si>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</si>
  <si>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</si>
  <si>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</si>
  <si>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</si>
  <si>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</si>
  <si>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</si>
  <si>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</si>
  <si>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</si>
  <si>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</si>
  <si>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</si>
  <si>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</si>
  <si>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</si>
  <si>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</si>
  <si>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</si>
  <si>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</si>
  <si>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</si>
  <si>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</si>
  <si>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</si>
  <si>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</si>
  <si>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</si>
  <si>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</si>
  <si>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</si>
  <si>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</si>
  <si>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</si>
  <si>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</si>
  <si>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</si>
  <si>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</si>
  <si>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</si>
  <si>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</si>
  <si>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</si>
  <si>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</si>
  <si>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</si>
  <si>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</si>
  <si>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</si>
  <si>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</si>
  <si>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</si>
  <si>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</si>
  <si>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</si>
  <si>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</si>
  <si>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</si>
  <si>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</si>
  <si>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</si>
  <si>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</si>
  <si>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</si>
  <si>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</si>
  <si>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</si>
  <si>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</si>
  <si>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</si>
  <si>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</si>
  <si>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</si>
  <si>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</si>
  <si>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</si>
  <si>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</si>
  <si>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</si>
  <si>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</si>
  <si>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</si>
  <si>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</si>
  <si>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</si>
  <si>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</si>
  <si>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</si>
  <si>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</si>
  <si>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</si>
  <si>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</si>
  <si>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</si>
  <si>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</si>
  <si>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</si>
  <si>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</si>
  <si>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</si>
  <si>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</si>
  <si>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</si>
  <si>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</si>
  <si>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</si>
  <si>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</si>
  <si>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</si>
  <si>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</si>
  <si>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</si>
  <si>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</si>
  <si>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</si>
  <si>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</si>
  <si>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</si>
  <si>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</si>
  <si>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</si>
  <si>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</si>
  <si>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</si>
  <si>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</si>
  <si>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</si>
  <si>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</si>
  <si>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</si>
  <si>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</si>
  <si>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</si>
  <si>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</si>
  <si>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</si>
  <si>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</si>
  <si>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</si>
  <si>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</si>
  <si>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</si>
  <si>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</si>
  <si>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</si>
  <si>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</si>
  <si>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</si>
  <si>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</si>
  <si>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</si>
  <si>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</si>
  <si>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</si>
  <si>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</si>
  <si>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</si>
  <si>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</si>
  <si>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</si>
  <si>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</si>
  <si>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</si>
  <si>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</si>
  <si>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</si>
  <si>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</si>
  <si>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</si>
  <si>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</si>
  <si>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</si>
  <si>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</si>
  <si>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</si>
  <si>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</si>
  <si>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</si>
  <si>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</si>
  <si>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</si>
  <si>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</si>
  <si>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</si>
  <si>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</si>
  <si>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</si>
  <si>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</si>
  <si>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</si>
  <si>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</si>
  <si>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</si>
  <si>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</si>
  <si>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</si>
  <si>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</si>
  <si>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</si>
  <si>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</si>
  <si>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</si>
  <si>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</si>
  <si>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</si>
  <si>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</si>
  <si>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</si>
  <si>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</si>
  <si>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</si>
  <si>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</si>
  <si>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</si>
  <si>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</si>
  <si>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</si>
  <si>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</si>
  <si>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</si>
  <si>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</si>
  <si>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</si>
  <si>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</si>
  <si>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</si>
  <si>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</si>
  <si>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</si>
  <si>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</si>
  <si>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</si>
  <si>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</si>
  <si>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</si>
  <si>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</si>
  <si>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</si>
  <si>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</si>
  <si>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</si>
  <si>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</si>
  <si>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</si>
  <si>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</si>
  <si>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</si>
  <si>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</si>
  <si>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</si>
  <si>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</si>
  <si>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</si>
  <si>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</si>
  <si>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</si>
  <si>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</si>
  <si>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</si>
  <si>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</si>
  <si>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</si>
  <si>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</si>
  <si>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</si>
  <si>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</si>
  <si>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</si>
  <si>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</si>
  <si>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</si>
  <si>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</si>
  <si>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</si>
  <si>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</si>
  <si>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</si>
  <si>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</si>
  <si>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</si>
  <si>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</si>
  <si>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</si>
  <si>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</si>
  <si>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</si>
  <si>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</si>
  <si>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</si>
  <si>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</si>
  <si>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</si>
  <si>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</si>
  <si>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</si>
  <si>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</si>
  <si>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</si>
  <si>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</si>
  <si>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</si>
  <si>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</si>
  <si>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</si>
  <si>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</si>
  <si>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</si>
  <si>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</si>
  <si>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</si>
  <si>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</si>
  <si>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</si>
  <si>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</si>
  <si>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</si>
  <si>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</si>
  <si>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</si>
  <si>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</si>
  <si>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</si>
  <si>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</si>
  <si>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</si>
  <si>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</si>
  <si>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</si>
  <si>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</si>
  <si>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</si>
  <si>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</si>
  <si>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</si>
  <si>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</si>
  <si>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</si>
  <si>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</si>
  <si>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</si>
  <si>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</si>
  <si>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</si>
  <si>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</si>
  <si>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</si>
  <si>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</si>
  <si>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</si>
  <si>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</si>
  <si>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</si>
  <si>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</si>
  <si>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</si>
  <si>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</si>
  <si>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</si>
  <si>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</si>
  <si>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</si>
  <si>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</si>
  <si>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</si>
  <si>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</si>
  <si>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</si>
  <si>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</si>
  <si>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</si>
  <si>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</si>
  <si>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</si>
  <si>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</si>
  <si>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</si>
  <si>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</si>
  <si>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</si>
  <si>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</si>
  <si>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</si>
  <si>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</si>
  <si>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</si>
  <si>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</si>
  <si>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</si>
  <si>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</si>
  <si>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</si>
  <si>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</si>
  <si>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</si>
  <si>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</si>
  <si>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</si>
  <si>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</si>
  <si>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</si>
  <si>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</si>
  <si>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</si>
  <si>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</si>
  <si>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</si>
  <si>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</si>
  <si>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</si>
  <si>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</si>
  <si>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</si>
  <si>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</si>
  <si>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</si>
  <si>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</si>
  <si>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</si>
  <si>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</si>
  <si>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</si>
  <si>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</si>
  <si>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</si>
  <si>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</si>
  <si>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</si>
  <si>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</si>
  <si>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</si>
  <si>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</si>
  <si>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</si>
  <si>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</si>
  <si>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</si>
  <si>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</si>
  <si>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</si>
  <si>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</si>
  <si>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</si>
  <si>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</si>
  <si>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</si>
  <si>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</si>
  <si>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</si>
  <si>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</si>
  <si>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</si>
  <si>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</si>
  <si>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</si>
  <si>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</si>
  <si>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</si>
  <si>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</si>
  <si>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</si>
  <si>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</si>
  <si>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</si>
  <si>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</si>
  <si>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</si>
  <si>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</si>
  <si>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</si>
  <si>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</si>
  <si>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</si>
  <si>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</si>
  <si>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</si>
  <si>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</si>
  <si>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</si>
  <si>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</si>
  <si>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</si>
  <si>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</si>
  <si>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</si>
  <si>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</si>
  <si>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</si>
  <si>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</si>
  <si>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</si>
  <si>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</si>
  <si>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</si>
  <si>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</si>
  <si>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</si>
  <si>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</si>
  <si>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</si>
  <si>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</si>
  <si>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</si>
  <si>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</si>
  <si>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</si>
  <si>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</si>
  <si>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</si>
  <si>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</si>
  <si>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</si>
  <si>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</si>
  <si>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</si>
  <si>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</si>
  <si>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</si>
  <si>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</si>
  <si>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</si>
  <si>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</si>
  <si>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</si>
  <si>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</si>
  <si>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</si>
  <si>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</si>
  <si>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</si>
  <si>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</si>
  <si>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</si>
  <si>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</si>
  <si>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</si>
  <si>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</si>
  <si>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</si>
  <si>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</si>
  <si>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</si>
  <si>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</si>
  <si>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</si>
  <si>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</si>
  <si>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</si>
  <si>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</si>
  <si>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</si>
  <si>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</si>
  <si>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</si>
  <si>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</si>
  <si>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</si>
  <si>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</si>
  <si>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</si>
  <si>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</si>
  <si>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</si>
  <si>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</si>
  <si>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</si>
  <si>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</si>
  <si>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</si>
  <si>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</si>
  <si>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</si>
  <si>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</si>
  <si>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</si>
  <si>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</si>
  <si>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</si>
  <si>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</si>
  <si>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</si>
  <si>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</si>
  <si>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</si>
  <si>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</si>
  <si>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</si>
  <si>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</si>
  <si>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</si>
  <si>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</si>
  <si>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</si>
  <si>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</si>
  <si>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</si>
  <si>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</si>
  <si>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</si>
  <si>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</si>
  <si>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</si>
  <si>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</si>
  <si>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</si>
  <si>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</si>
  <si>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</si>
  <si>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</si>
  <si>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</si>
  <si>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</si>
  <si>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</si>
  <si>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</si>
  <si>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</si>
  <si>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</si>
  <si>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</si>
  <si>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</si>
  <si>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</si>
  <si>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</si>
  <si>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</si>
  <si>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</si>
  <si>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</si>
  <si>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</si>
  <si>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</si>
  <si>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</si>
  <si>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</si>
  <si>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</si>
  <si>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</si>
  <si>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</si>
  <si>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</si>
  <si>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</si>
  <si>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</si>
  <si>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</si>
  <si>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</si>
  <si>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</si>
  <si>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</si>
  <si>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</si>
  <si>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</si>
  <si>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</si>
  <si>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</si>
  <si>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</si>
  <si>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</si>
  <si>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</si>
  <si>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</si>
  <si>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</si>
  <si>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</si>
  <si>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</si>
  <si>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</si>
  <si>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</si>
  <si>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</si>
  <si>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</si>
  <si>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</si>
  <si>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</si>
  <si>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</si>
  <si>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</si>
  <si>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</si>
  <si>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</si>
  <si>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</si>
  <si>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</si>
  <si>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</si>
  <si>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</si>
  <si>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</si>
  <si>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</si>
  <si>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</si>
  <si>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</si>
  <si>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</si>
  <si>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</si>
  <si>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</si>
  <si>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</si>
  <si>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</si>
  <si>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</si>
  <si>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</si>
  <si>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</si>
  <si>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</si>
  <si>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</si>
  <si>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</si>
  <si>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</si>
  <si>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</si>
  <si>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</si>
  <si>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</si>
  <si>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</si>
  <si>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</si>
  <si>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</si>
  <si>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</si>
  <si>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</si>
  <si>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</si>
  <si>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</si>
  <si>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</si>
  <si>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</si>
  <si>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</si>
  <si>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</si>
  <si>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</si>
  <si>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</si>
  <si>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</si>
  <si>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</si>
  <si>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</si>
  <si>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</si>
  <si>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</si>
  <si>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</si>
  <si>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</si>
  <si>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</si>
  <si>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</si>
  <si>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</si>
  <si>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</si>
  <si>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</si>
  <si>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</si>
  <si>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</si>
  <si>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</si>
  <si>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</si>
  <si>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</si>
  <si>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</si>
  <si>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</si>
  <si>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</si>
  <si>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</si>
  <si>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</si>
  <si>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</si>
  <si>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</si>
  <si>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</si>
  <si>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</si>
  <si>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</si>
  <si>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</si>
  <si>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</si>
  <si>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</si>
  <si>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</si>
  <si>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</si>
  <si>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</si>
  <si>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</si>
  <si>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</si>
  <si>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</si>
  <si>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</si>
  <si>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</si>
  <si>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</si>
  <si>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</si>
  <si>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</si>
  <si>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</si>
  <si>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</si>
  <si>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</si>
  <si>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</si>
  <si>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</si>
  <si>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</si>
  <si>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</si>
  <si>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</si>
  <si>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</si>
  <si>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</si>
  <si>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</si>
  <si>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</si>
  <si>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</si>
  <si>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</si>
  <si>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</si>
  <si>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</si>
  <si>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</si>
  <si>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</si>
  <si>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</si>
  <si>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</si>
  <si>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</si>
  <si>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</si>
  <si>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</si>
  <si>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</si>
  <si>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</si>
  <si>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</si>
  <si>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</si>
  <si>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</si>
  <si>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</si>
  <si>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</si>
  <si>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</si>
  <si>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</si>
  <si>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</si>
  <si>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</si>
  <si>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</si>
  <si>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</si>
  <si>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</si>
  <si>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</si>
  <si>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</si>
  <si>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</si>
  <si>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</si>
  <si>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</si>
  <si>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</si>
  <si>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</si>
  <si>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</si>
  <si>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</si>
  <si>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</si>
  <si>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</si>
  <si>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</si>
  <si>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</si>
  <si>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</si>
  <si>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</si>
  <si>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</si>
  <si>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</si>
  <si>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</si>
  <si>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</si>
  <si>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</si>
  <si>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</si>
  <si>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</si>
  <si>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</si>
  <si>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</si>
  <si>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</si>
  <si>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</si>
  <si>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</si>
  <si>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</si>
  <si>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</si>
  <si>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</si>
  <si>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</si>
  <si>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</si>
  <si>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</si>
  <si>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</si>
  <si>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</si>
  <si>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</si>
  <si>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</si>
  <si>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</si>
  <si>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</si>
  <si>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</si>
  <si>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</si>
  <si>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</si>
  <si>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</si>
  <si>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</si>
  <si>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</si>
  <si>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</si>
  <si>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</si>
  <si>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</si>
  <si>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</si>
  <si>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</si>
  <si>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</si>
  <si>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</si>
  <si>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</si>
  <si>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</si>
  <si>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</si>
  <si>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</si>
  <si>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</si>
  <si>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</si>
  <si>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</si>
  <si>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</si>
  <si>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</si>
  <si>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</si>
  <si>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</si>
  <si>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</si>
  <si>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</si>
  <si>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</si>
  <si>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</si>
  <si>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</si>
  <si>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</si>
  <si>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</si>
  <si>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</si>
  <si>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</si>
  <si>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</si>
  <si>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</si>
  <si>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</si>
  <si>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</si>
  <si>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</si>
  <si>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</si>
  <si>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</si>
  <si>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</si>
  <si>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</si>
  <si>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</si>
  <si>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</si>
  <si>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</si>
  <si>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</si>
  <si>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</si>
  <si>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</si>
  <si>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</si>
  <si>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</si>
  <si>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</si>
  <si>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</si>
  <si>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</si>
  <si>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</si>
  <si>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</si>
  <si>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</si>
  <si>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</si>
  <si>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</si>
  <si>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</si>
  <si>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</si>
  <si>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</si>
  <si>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</si>
  <si>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</si>
  <si>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</si>
  <si>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</si>
  <si>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</si>
  <si>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</si>
  <si>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</si>
  <si>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</si>
  <si>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</si>
  <si>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</si>
  <si>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</si>
  <si>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</si>
  <si>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</si>
  <si>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</si>
  <si>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</si>
  <si>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</si>
  <si>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</si>
  <si>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</si>
  <si>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</si>
  <si>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</si>
  <si>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</si>
  <si>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</si>
  <si>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</si>
  <si>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</si>
  <si>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</si>
  <si>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</si>
  <si>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</si>
  <si>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</si>
  <si>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</si>
  <si>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</si>
  <si>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</si>
  <si>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</si>
  <si>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</si>
  <si>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</si>
  <si>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</si>
  <si>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</si>
  <si>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</si>
  <si>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</si>
  <si>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</si>
  <si>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</si>
  <si>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</si>
  <si>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</si>
  <si>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</si>
  <si>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</si>
  <si>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</si>
  <si>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</si>
  <si>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</si>
  <si>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</si>
  <si>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</si>
  <si>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</si>
  <si>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</si>
  <si>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</si>
  <si>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</si>
  <si>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</si>
  <si>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</si>
  <si>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</si>
  <si>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</si>
  <si>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</si>
  <si>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</si>
  <si>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</si>
  <si>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</si>
  <si>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</si>
  <si>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</si>
  <si>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</si>
  <si>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</si>
  <si>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</si>
  <si>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</si>
  <si>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</si>
  <si>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</si>
  <si>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</si>
  <si>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</si>
  <si>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</si>
  <si>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</si>
  <si>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</si>
  <si>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</si>
  <si>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</si>
  <si>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</si>
  <si>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</si>
  <si>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</si>
  <si>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</si>
  <si>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</si>
  <si>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</si>
  <si>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</si>
  <si>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</si>
  <si>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</si>
  <si>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</si>
  <si>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</si>
  <si>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</si>
  <si>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</si>
  <si>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</si>
  <si>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</si>
  <si>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</si>
  <si>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</si>
  <si>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</si>
  <si>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</si>
  <si>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</si>
  <si>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</si>
  <si>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</si>
  <si>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</si>
  <si>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</si>
  <si>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</si>
  <si>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</si>
  <si>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</si>
  <si>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</si>
  <si>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</si>
  <si>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</si>
  <si>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</si>
  <si>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</si>
  <si>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</si>
  <si>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</si>
  <si>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</si>
  <si>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</si>
  <si>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</si>
  <si>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</si>
  <si>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</si>
  <si>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</si>
  <si>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</si>
  <si>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</si>
  <si>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</si>
  <si>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</si>
  <si>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</si>
  <si>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</si>
  <si>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</si>
  <si>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</si>
  <si>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</si>
  <si>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</si>
  <si>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</si>
  <si>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</si>
  <si>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</si>
  <si>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</si>
  <si>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</si>
  <si>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</si>
  <si>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</si>
  <si>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</si>
  <si>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</si>
  <si>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</si>
  <si>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</si>
  <si>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</si>
  <si>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</si>
  <si>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</si>
  <si>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</si>
  <si>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</si>
  <si>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</si>
  <si>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</si>
  <si>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</si>
  <si>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</si>
  <si>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</si>
  <si>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</si>
  <si>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</si>
  <si>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</si>
  <si>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</si>
  <si>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</si>
  <si>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</si>
  <si>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</si>
  <si>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</si>
  <si>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</si>
  <si>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</si>
  <si>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</si>
  <si>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</si>
  <si>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</si>
  <si>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</si>
  <si>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</si>
  <si>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</si>
  <si>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</si>
  <si>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</si>
  <si>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</si>
  <si>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</si>
  <si>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</si>
  <si>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</si>
  <si>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</si>
  <si>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</si>
  <si>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</si>
  <si>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</si>
  <si>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</si>
  <si>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</si>
  <si>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</si>
  <si>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</si>
  <si>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</si>
  <si>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</si>
  <si>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</si>
  <si>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</si>
  <si>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</si>
  <si>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</si>
  <si>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</si>
  <si>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</si>
  <si>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</si>
  <si>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</si>
  <si>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</si>
  <si>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</si>
  <si>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</si>
  <si>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</si>
  <si>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</si>
  <si>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</si>
  <si>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</si>
  <si>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</si>
  <si>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</si>
  <si>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</si>
  <si>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</si>
  <si>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</si>
  <si>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</si>
  <si>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</si>
  <si>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</si>
  <si>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</si>
  <si>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</si>
  <si>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</si>
  <si>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</si>
  <si>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</si>
  <si>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</si>
  <si>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</si>
  <si>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</si>
  <si>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</si>
  <si>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</si>
  <si>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</si>
  <si>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</si>
  <si>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</si>
  <si>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</si>
  <si>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</si>
  <si>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</si>
  <si>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</si>
  <si>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</si>
  <si>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</si>
  <si>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</si>
  <si>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</si>
  <si>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</si>
  <si>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</si>
  <si>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</si>
  <si>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</si>
  <si>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</si>
  <si>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</si>
  <si>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</si>
  <si>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</si>
  <si>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</si>
  <si>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</si>
  <si>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</si>
  <si>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</si>
  <si>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</si>
  <si>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</si>
  <si>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</si>
  <si>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</si>
  <si>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</si>
  <si>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</si>
  <si>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</si>
  <si>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</si>
  <si>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</si>
  <si>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</si>
  <si>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</si>
  <si>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</si>
  <si>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</si>
  <si>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</si>
  <si>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</si>
  <si>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</si>
  <si>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</si>
  <si>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</si>
  <si>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</si>
  <si>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</si>
  <si>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</si>
  <si>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</si>
  <si>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</si>
  <si>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</si>
  <si>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</si>
  <si>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</si>
  <si>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</si>
  <si>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</si>
  <si>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</si>
  <si>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</si>
  <si>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</si>
  <si>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</si>
  <si>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</si>
  <si>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</si>
  <si>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</si>
  <si>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</si>
  <si>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</si>
  <si>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</si>
  <si>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</si>
  <si>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</si>
  <si>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</si>
  <si>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</si>
  <si>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</si>
  <si>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</si>
  <si>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</si>
  <si>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</si>
  <si>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</si>
  <si>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</si>
  <si>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</si>
  <si>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</si>
  <si>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</si>
  <si>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</si>
  <si>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</si>
  <si>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</si>
  <si>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</si>
  <si>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</si>
  <si>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</si>
  <si>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</si>
  <si>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</si>
  <si>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</si>
  <si>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</si>
  <si>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</si>
  <si>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</si>
  <si>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</si>
  <si>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</si>
  <si>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</si>
  <si>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</si>
  <si>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</si>
  <si>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</si>
  <si>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</si>
  <si>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</si>
  <si>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</si>
  <si>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</si>
  <si>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</si>
  <si>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</si>
  <si>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</si>
  <si>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</si>
  <si>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</si>
  <si>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</si>
  <si>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</si>
  <si>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</si>
  <si>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</si>
  <si>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</si>
  <si>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</si>
  <si>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</si>
  <si>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</si>
  <si>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</si>
  <si>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</si>
  <si>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</si>
  <si>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</si>
  <si>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</si>
  <si>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</si>
  <si>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</si>
  <si>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</si>
  <si>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</si>
  <si>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</si>
  <si>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</si>
  <si>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</si>
  <si>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</si>
  <si>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</si>
  <si>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</si>
  <si>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</si>
  <si>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</si>
  <si>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</si>
  <si>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</si>
  <si>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</si>
  <si>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</si>
  <si>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</si>
  <si>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</si>
  <si>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</si>
  <si>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</si>
  <si>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</si>
  <si>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</si>
  <si>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</si>
  <si>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</si>
  <si>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</si>
  <si>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</si>
  <si>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</si>
  <si>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</si>
  <si>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</si>
  <si>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</si>
  <si>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</si>
  <si>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</si>
  <si>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</si>
  <si>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</si>
  <si>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</si>
  <si>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</si>
  <si>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</si>
  <si>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</si>
  <si>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</si>
  <si>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</si>
  <si>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</si>
  <si>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</si>
  <si>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</si>
  <si>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</si>
  <si>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</si>
  <si>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</si>
  <si>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</si>
  <si>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</si>
  <si>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</si>
  <si>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</si>
  <si>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</si>
  <si>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</si>
  <si>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</si>
  <si>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</si>
  <si>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</si>
  <si>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</si>
  <si>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</si>
  <si>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</si>
  <si>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</si>
  <si>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</si>
  <si>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</si>
  <si>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</si>
  <si>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</si>
  <si>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</si>
  <si>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</si>
  <si>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</si>
  <si>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</si>
  <si>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</si>
  <si>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</si>
  <si>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</si>
  <si>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</si>
  <si>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</si>
  <si>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</si>
  <si>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</si>
  <si>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</si>
  <si>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</si>
  <si>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</si>
  <si>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</si>
  <si>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</si>
  <si>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</si>
  <si>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</si>
  <si>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</si>
  <si>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</si>
  <si>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</si>
  <si>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</si>
  <si>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</si>
  <si>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</si>
  <si>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</si>
  <si>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</si>
  <si>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</si>
  <si>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</si>
  <si>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</si>
  <si>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</si>
  <si>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</si>
  <si>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</si>
  <si>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</si>
  <si>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</si>
  <si>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</si>
  <si>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</si>
  <si>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</si>
  <si>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</si>
  <si>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</si>
  <si>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</si>
  <si>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</si>
  <si>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</si>
  <si>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</si>
  <si>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</si>
  <si>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</si>
  <si>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</si>
  <si>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</si>
  <si>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</si>
  <si>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</si>
  <si>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</si>
  <si>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</si>
  <si>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</si>
  <si>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</si>
  <si>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</si>
  <si>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</si>
  <si>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</si>
  <si>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</si>
  <si>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</si>
  <si>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</si>
  <si>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</si>
  <si>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</si>
  <si>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</si>
  <si>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</si>
  <si>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</si>
  <si>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</si>
  <si>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</si>
  <si>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</si>
  <si>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</si>
  <si>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</si>
  <si>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</si>
  <si>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</si>
  <si>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</si>
  <si>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</si>
  <si>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</si>
  <si>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</si>
  <si>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</si>
  <si>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</si>
  <si>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</si>
  <si>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</si>
  <si>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</si>
  <si>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</si>
  <si>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</si>
  <si>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</si>
  <si>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</si>
  <si>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</si>
  <si>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</si>
  <si>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</si>
  <si>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</si>
  <si>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</si>
  <si>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</si>
  <si>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</si>
  <si>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</si>
  <si>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</si>
  <si>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</si>
  <si>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</si>
  <si>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</si>
  <si>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</si>
  <si>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</si>
  <si>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</si>
  <si>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</si>
  <si>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</si>
  <si>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</si>
  <si>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</si>
  <si>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</si>
  <si>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</si>
  <si>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</si>
  <si>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</si>
  <si>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</si>
  <si>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</si>
  <si>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</si>
  <si>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</si>
  <si>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</si>
  <si>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</si>
  <si>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</si>
  <si>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</si>
  <si>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</si>
  <si>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</si>
  <si>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</si>
  <si>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</si>
  <si>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</si>
  <si>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</si>
  <si>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</si>
  <si>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</si>
  <si>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</si>
  <si>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</si>
  <si>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</si>
  <si>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</si>
  <si>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</si>
  <si>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</si>
  <si>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</si>
  <si>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</si>
  <si>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</si>
  <si>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</si>
  <si>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</si>
  <si>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</si>
  <si>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</si>
  <si>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</si>
  <si>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</si>
  <si>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</si>
  <si>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</si>
  <si>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</si>
  <si>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</si>
  <si>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</si>
  <si>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</si>
  <si>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</si>
  <si>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</si>
  <si>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</si>
  <si>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</si>
  <si>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</si>
  <si>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</si>
  <si>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</si>
  <si>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</si>
  <si>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</si>
  <si>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</si>
  <si>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</si>
  <si>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</si>
  <si>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</si>
  <si>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</si>
  <si>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</si>
  <si>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</si>
  <si>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</si>
  <si>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</si>
  <si>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</si>
  <si>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</si>
  <si>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</si>
  <si>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</si>
  <si>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</si>
  <si>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</si>
  <si>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</si>
  <si>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</si>
  <si>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</si>
  <si>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</si>
  <si>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</si>
  <si>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</si>
  <si>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</si>
  <si>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</si>
  <si>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</si>
  <si>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</si>
  <si>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</si>
  <si>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</si>
  <si>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</si>
  <si>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</si>
  <si>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</si>
  <si>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</si>
  <si>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</si>
  <si>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</si>
  <si>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</si>
  <si>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</si>
  <si>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</si>
  <si>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</si>
  <si>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</si>
  <si>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</si>
  <si>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</si>
  <si>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</si>
  <si>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</si>
  <si>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</si>
  <si>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</si>
  <si>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</si>
  <si>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</si>
  <si>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</si>
  <si>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</si>
  <si>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</si>
  <si>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</si>
  <si>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</si>
  <si>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</si>
  <si>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</si>
  <si>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</si>
  <si>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</si>
  <si>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</si>
  <si>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</si>
  <si>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</si>
  <si>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</si>
  <si>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</si>
  <si>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</si>
  <si>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</si>
  <si>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</si>
  <si>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</si>
  <si>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</si>
  <si>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</si>
  <si>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</si>
  <si>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</si>
  <si>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</si>
  <si>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</si>
  <si>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</si>
  <si>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</si>
  <si>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</si>
  <si>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</si>
  <si>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</si>
  <si>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</si>
  <si>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</si>
  <si>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</si>
  <si>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</si>
  <si>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</si>
  <si>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</si>
  <si>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</si>
  <si>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</si>
  <si>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</si>
  <si>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</si>
  <si>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</si>
  <si>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</si>
  <si>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</si>
  <si>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</si>
  <si>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</si>
  <si>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</si>
  <si>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</si>
  <si>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</si>
  <si>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</si>
  <si>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</si>
  <si>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</si>
  <si>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</si>
  <si>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</si>
  <si>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</si>
  <si>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</si>
  <si>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</si>
  <si>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</si>
  <si>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</si>
  <si>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</si>
  <si>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</si>
  <si>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</si>
  <si>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</si>
  <si>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</si>
  <si>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</si>
  <si>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</si>
  <si>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</si>
  <si>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</si>
  <si>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</si>
  <si>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</si>
  <si>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</si>
  <si>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</si>
  <si>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</si>
  <si>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</si>
  <si>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</si>
  <si>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</si>
  <si>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</si>
  <si>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</si>
  <si>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</si>
  <si>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</si>
  <si>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</si>
  <si>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</si>
  <si>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</si>
  <si>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</si>
  <si>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</si>
  <si>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</si>
  <si>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</si>
  <si>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</si>
  <si>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</si>
  <si>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</si>
  <si>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</si>
  <si>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</si>
  <si>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</si>
  <si>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</si>
  <si>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</si>
  <si>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</si>
  <si>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</si>
  <si>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</si>
  <si>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</si>
  <si>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</si>
  <si>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</si>
  <si>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</si>
  <si>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</si>
  <si>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</si>
  <si>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</si>
  <si>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</si>
  <si>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</si>
  <si>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</si>
  <si>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</si>
  <si>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</si>
  <si>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</si>
  <si>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</si>
  <si>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</si>
  <si>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</si>
  <si>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</si>
  <si>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</si>
  <si>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</si>
  <si>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</si>
  <si>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</si>
  <si>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</si>
  <si>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</si>
  <si>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</si>
  <si>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</si>
  <si>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</si>
  <si>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</si>
  <si>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</si>
  <si>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</si>
  <si>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</si>
  <si>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</si>
  <si>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</si>
  <si>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</si>
  <si>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</si>
  <si>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</si>
  <si>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</si>
  <si>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</si>
  <si>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</si>
  <si>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</si>
  <si>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</si>
  <si>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</si>
  <si>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</si>
  <si>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</si>
  <si>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</si>
  <si>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</si>
  <si>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</si>
  <si>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</si>
  <si>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</si>
  <si>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</si>
  <si>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</si>
  <si>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</si>
  <si>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</si>
  <si>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</si>
  <si>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</si>
  <si>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</si>
  <si>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</si>
  <si>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</si>
  <si>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</si>
  <si>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</si>
  <si>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</si>
  <si>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</si>
  <si>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</si>
  <si>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</si>
  <si>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</si>
  <si>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</si>
  <si>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</si>
  <si>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</si>
  <si>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</si>
  <si>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</si>
  <si>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</si>
  <si>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</si>
  <si>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</si>
  <si>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</si>
  <si>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</si>
  <si>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</si>
  <si>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</si>
  <si>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</si>
  <si>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</si>
  <si>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</si>
  <si>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</si>
  <si>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</si>
  <si>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</si>
  <si>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</si>
  <si>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</si>
  <si>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</si>
  <si>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</si>
  <si>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</si>
  <si>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</si>
  <si>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</si>
  <si>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</si>
  <si>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</si>
  <si>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</si>
  <si>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</si>
  <si>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</si>
  <si>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</si>
  <si>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</si>
  <si>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</si>
  <si>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</si>
  <si>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</si>
  <si>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</si>
  <si>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</si>
  <si>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</si>
  <si>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</si>
  <si>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</si>
  <si>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</si>
  <si>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</si>
  <si>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</si>
  <si>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</si>
  <si>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</si>
  <si>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</si>
  <si>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</si>
  <si>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</si>
  <si>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</si>
  <si>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</si>
  <si>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</si>
  <si>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</si>
  <si>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</si>
  <si>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</si>
  <si>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</si>
  <si>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</si>
  <si>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</si>
  <si>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</si>
  <si>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</si>
  <si>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</si>
  <si>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</si>
  <si>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</si>
  <si>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</si>
  <si>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</si>
  <si>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</si>
  <si>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</si>
  <si>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</si>
  <si>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</si>
  <si>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</si>
  <si>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</si>
  <si>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</si>
  <si>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</si>
  <si>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</si>
  <si>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</si>
  <si>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</si>
  <si>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</si>
  <si>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</si>
  <si>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</si>
  <si>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</si>
  <si>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</si>
  <si>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</si>
  <si>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</si>
  <si>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</si>
  <si>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</si>
  <si>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</si>
  <si>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</si>
  <si>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</si>
  <si>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</si>
  <si>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</si>
  <si>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</si>
  <si>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</si>
  <si>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</si>
  <si>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</si>
  <si>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</si>
  <si>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</si>
  <si>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</si>
  <si>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</si>
  <si>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</si>
  <si>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</si>
  <si>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</si>
  <si>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</si>
  <si>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</si>
  <si>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</si>
  <si>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</si>
  <si>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</si>
  <si>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</si>
  <si>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</si>
  <si>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</si>
  <si>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</si>
  <si>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</si>
  <si>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</si>
  <si>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</si>
  <si>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</si>
  <si>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</si>
  <si>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</si>
  <si>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</si>
  <si>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</si>
  <si>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</si>
  <si>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</si>
  <si>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</si>
  <si>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</si>
  <si>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</si>
  <si>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</si>
  <si>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</si>
  <si>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</si>
  <si>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</si>
  <si>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</si>
  <si>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</si>
  <si>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</si>
  <si>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</si>
  <si>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</si>
  <si>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</si>
  <si>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</si>
  <si>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</si>
  <si>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</si>
  <si>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</si>
  <si>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</si>
  <si>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</si>
  <si>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</si>
  <si>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</si>
  <si>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</si>
  <si>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</si>
  <si>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</si>
  <si>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</si>
  <si>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</si>
  <si>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</si>
  <si>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</si>
  <si>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</si>
  <si>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</si>
  <si>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</si>
  <si>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</si>
  <si>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</si>
  <si>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</si>
  <si>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</si>
  <si>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</si>
  <si>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</si>
  <si>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</si>
  <si>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</si>
  <si>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</si>
  <si>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</si>
  <si>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</si>
  <si>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</si>
  <si>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</si>
  <si>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</si>
  <si>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</si>
  <si>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</si>
  <si>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</si>
  <si>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</si>
  <si>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</si>
  <si>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</si>
  <si>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</si>
  <si>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</si>
  <si>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</si>
  <si>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</si>
  <si>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</si>
  <si>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</si>
  <si>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</si>
  <si>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</si>
  <si>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</si>
  <si>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</si>
  <si>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</si>
  <si>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</si>
  <si>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</si>
  <si>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</si>
  <si>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</si>
  <si>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</si>
  <si>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</si>
  <si>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</si>
  <si>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</si>
  <si>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</si>
  <si>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</si>
  <si>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</si>
  <si>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</si>
  <si>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</si>
  <si>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</si>
  <si>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</si>
  <si>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</si>
  <si>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</si>
  <si>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</si>
  <si>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</si>
  <si>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</si>
  <si>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</si>
  <si>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</si>
  <si>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</si>
  <si>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</si>
  <si>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</si>
  <si>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</si>
  <si>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</si>
  <si>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</si>
  <si>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</si>
  <si>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</si>
  <si>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</si>
  <si>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</si>
  <si>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</si>
  <si>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</si>
  <si>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</si>
  <si>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</si>
  <si>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</si>
  <si>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</si>
  <si>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</si>
  <si>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</si>
  <si>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</si>
  <si>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</si>
  <si>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</si>
  <si>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</si>
  <si>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</si>
  <si>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</si>
  <si>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</si>
  <si>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</si>
  <si>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</si>
  <si>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</si>
  <si>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</si>
  <si>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</si>
  <si>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</si>
  <si>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</si>
  <si>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</si>
  <si>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</si>
  <si>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</si>
  <si>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</si>
  <si>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</si>
  <si>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</si>
  <si>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</si>
  <si>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</si>
  <si>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</si>
  <si>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</si>
  <si>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</si>
  <si>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</si>
  <si>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</si>
  <si>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</si>
  <si>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</si>
  <si>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</si>
  <si>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</si>
  <si>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</si>
  <si>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</si>
  <si>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</si>
  <si>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</si>
  <si>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</si>
  <si>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</si>
  <si>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</si>
  <si>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</si>
  <si>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</si>
  <si>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</si>
  <si>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</si>
  <si>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</si>
  <si>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</si>
  <si>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</si>
  <si>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</si>
  <si>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</si>
  <si>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</si>
  <si>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</si>
  <si>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</si>
  <si>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</si>
  <si>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</si>
  <si>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</si>
  <si>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</si>
  <si>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</si>
  <si>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</si>
  <si>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</si>
  <si>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</si>
  <si>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</si>
  <si>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</si>
  <si>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</si>
  <si>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</si>
  <si>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</si>
  <si>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</si>
  <si>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</si>
  <si>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</si>
  <si>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</si>
  <si>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</si>
  <si>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</si>
  <si>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</si>
  <si>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</si>
  <si>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</si>
  <si>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</si>
  <si>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</si>
  <si>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</si>
  <si>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</si>
  <si>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</si>
  <si>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</si>
  <si>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</si>
  <si>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</si>
  <si>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</si>
  <si>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</si>
  <si>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</si>
  <si>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</si>
  <si>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</si>
  <si>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</si>
  <si>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</si>
  <si>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</si>
  <si>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</si>
  <si>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</si>
  <si>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</si>
  <si>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</si>
  <si>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</si>
  <si>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</si>
  <si>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</si>
  <si>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</si>
  <si>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</si>
  <si>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</si>
  <si>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</si>
  <si>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</si>
  <si>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</si>
  <si>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</si>
  <si>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</si>
  <si>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</si>
  <si>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</si>
  <si>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</si>
  <si>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</si>
  <si>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</si>
  <si>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</si>
  <si>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</si>
  <si>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</si>
  <si>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</si>
  <si>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</si>
  <si>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</si>
  <si>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</si>
  <si>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</si>
  <si>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</si>
  <si>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</si>
  <si>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</si>
  <si>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</si>
  <si>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</si>
  <si>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</si>
  <si>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</si>
  <si>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</si>
  <si>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</si>
  <si>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</si>
  <si>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</si>
  <si>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</si>
  <si>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</si>
  <si>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</si>
  <si>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</si>
  <si>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</si>
  <si>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</si>
  <si>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</si>
  <si>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</si>
  <si>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</si>
  <si>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</si>
  <si>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</si>
  <si>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</si>
  <si>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</si>
  <si>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</si>
  <si>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</si>
  <si>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</si>
  <si>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</si>
  <si>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</si>
  <si>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</si>
  <si>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</si>
  <si>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</si>
  <si>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</si>
  <si>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</si>
  <si>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</si>
  <si>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</si>
  <si>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</si>
  <si>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</si>
  <si>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</si>
  <si>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</si>
  <si>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</si>
  <si>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</si>
  <si>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</si>
  <si>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</si>
  <si>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</si>
  <si>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</si>
  <si>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</si>
  <si>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</si>
  <si>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</si>
  <si>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</si>
  <si>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</si>
  <si>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</si>
  <si>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</si>
  <si>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</si>
  <si>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</si>
  <si>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</si>
  <si>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</si>
  <si>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</si>
  <si>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</si>
  <si>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</si>
  <si>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</si>
  <si>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</si>
  <si>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</si>
  <si>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</si>
  <si>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</si>
  <si>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</si>
  <si>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</si>
  <si>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</si>
  <si>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</si>
  <si>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</si>
  <si>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</si>
  <si>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</si>
  <si>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</si>
  <si>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</si>
  <si>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</si>
  <si>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</si>
  <si>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</si>
  <si>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</si>
  <si>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</si>
  <si>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</si>
  <si>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</si>
  <si>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</si>
  <si>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</si>
  <si>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</si>
  <si>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</si>
  <si>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</si>
  <si>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</si>
  <si>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</si>
  <si>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</si>
  <si>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</si>
  <si>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</si>
  <si>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</si>
  <si>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</si>
  <si>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</si>
  <si>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</si>
  <si>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</si>
  <si>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</si>
  <si>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</si>
  <si>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</si>
  <si>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</si>
  <si>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</si>
  <si>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</si>
  <si>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</si>
  <si>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</si>
  <si>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</si>
  <si>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</si>
  <si>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</si>
  <si>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</si>
  <si>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</si>
  <si>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</si>
  <si>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</si>
  <si>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</si>
  <si>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</si>
  <si>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</si>
  <si>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</si>
  <si>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</si>
  <si>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</si>
  <si>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</si>
  <si>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</si>
  <si>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</si>
  <si>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</si>
  <si>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</si>
  <si>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</si>
  <si>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</si>
  <si>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</si>
  <si>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</si>
  <si>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</si>
  <si>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</si>
  <si>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</si>
  <si>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</si>
  <si>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</si>
  <si>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</si>
  <si>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</si>
  <si>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</si>
  <si>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</si>
  <si>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</si>
  <si>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</si>
  <si>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</si>
  <si>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</si>
  <si>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</si>
  <si>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</si>
  <si>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</si>
  <si>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</si>
  <si>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</si>
  <si>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</si>
  <si>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</si>
  <si>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</si>
  <si>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</si>
  <si>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</si>
  <si>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</si>
  <si>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</si>
  <si>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</si>
  <si>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</si>
  <si>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</si>
  <si>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</si>
  <si>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</si>
  <si>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</si>
  <si>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</si>
  <si>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</si>
  <si>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</si>
  <si>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</si>
  <si>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</si>
  <si>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</si>
  <si>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</si>
  <si>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</si>
  <si>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</si>
  <si>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</si>
  <si>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</si>
  <si>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</si>
  <si>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</si>
  <si>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</si>
  <si>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</si>
  <si>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</si>
  <si>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</si>
  <si>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</si>
  <si>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</si>
  <si>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</si>
  <si>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</si>
  <si>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</si>
  <si>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</si>
  <si>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</si>
  <si>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</si>
  <si>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</si>
  <si>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</si>
  <si>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</si>
  <si>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FRANKLIN</t>
  </si>
  <si>
    <t>21962 AKIN BLACKTOP</t>
  </si>
  <si>
    <t>AKIN</t>
  </si>
  <si>
    <t>618-627-2180</t>
  </si>
  <si>
    <t>618-627-2119</t>
  </si>
  <si>
    <t>TAMMY McCOLLUM</t>
  </si>
  <si>
    <t>tmccollum@akin091.org</t>
  </si>
  <si>
    <t>Alternate Revenue Bonds, Series 2011</t>
  </si>
  <si>
    <t>Alternate Revenue Refunding Bonds, Series 2013</t>
  </si>
  <si>
    <t>Alternate Revenue</t>
  </si>
  <si>
    <t>ED-Instruction-Purchased Service</t>
  </si>
  <si>
    <t>10-1000-300</t>
  </si>
  <si>
    <t>Quality Network Solutions</t>
  </si>
  <si>
    <t>ED-Support Services-Purchased Service</t>
  </si>
  <si>
    <t>10-2200-300</t>
  </si>
  <si>
    <t>Egyptian Area Schools Employee Benefit Trust</t>
  </si>
  <si>
    <t>Franklin-Jefferson Special Education District 801</t>
  </si>
  <si>
    <t>Page 9, Line 17 - TVA Tax</t>
  </si>
  <si>
    <t>Page 10, Line 72 - Preschool lunch and breakfast</t>
  </si>
  <si>
    <t>Page 10, Line 107 - Operations and Maintenance - Erate</t>
  </si>
  <si>
    <t>Page 12, Line 171 - Healthy Community Investments Grant</t>
  </si>
  <si>
    <t>Page 12, Line 183 - REAP Grant</t>
  </si>
  <si>
    <t>Page 18, Line 171 - Bond Fees</t>
  </si>
  <si>
    <t>Page 25, Line 20 - Bond Fees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</si>
  <si>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</si>
  <si>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</si>
  <si>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</si>
  <si>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</si>
  <si>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</si>
  <si>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and review the unopened bank statement and the subsequent reconciliation.</t>
  </si>
  <si>
    <t>Due to the small size of the District and its limited funds, hiring additional personnel is not feasible.  The Superintendent will review the monthly bank statement and reconciliation for unusual items.</t>
  </si>
  <si>
    <t>The balances on the monthly treasurer's report, balance sheet, and bank reconciliation should all agree to each other.</t>
  </si>
  <si>
    <t>None of the monthly treasurer's reports agreed to the balance sheet and bank reconciliation.  Only two of the funds were in agreement and some of the balances on the treasurer's report were from the previous year.</t>
  </si>
  <si>
    <t>The treasurer's report and balance sheet individual fund amounts were not reviewed to make sure they were in agreement.</t>
  </si>
  <si>
    <t>We recommend that the Superintendent review the treasurer's report, balance sheet, and bank reconciliation to make sure that they all agree and are in balance.</t>
  </si>
  <si>
    <t>Management agrees with the above recommendation.</t>
  </si>
  <si>
    <t>Grant reports should be filed timely and the account numbers used on the grant budget should be used to record transactions in the general ledger.</t>
  </si>
  <si>
    <t>The June 30, 2018 grant reports filed with ISBE were not filed until August, 2018.  The amounts claimed on the grants were not recorded in the general ledger in the account numbers used on the grant budget.  The purchase of 2 buses in fiscal year 2018 were shown as purchased service on the transportation claim, when they should have been set up on depreciation for 5 years.</t>
  </si>
  <si>
    <t>Grant reports were not filed timely and the general ledger account numbers were not correct.  The transportation claim was not prepared correctly.</t>
  </si>
  <si>
    <t>An approval voucher is used to the payment of vendor bills.  There were instances when the Superintendent didn't use the correct account number or there were instances when the bookkeeper didn't record the payment in the account numbers on the voucher.  The prior Superintendent didn't file the grant reports before retirement at June 30.</t>
  </si>
  <si>
    <t>Management agrees with the above recommendation.  The District has been in contact with ISBE to correct the transportation claim.</t>
  </si>
  <si>
    <t>According to 5 ILCS 420/4A-101, all board members, administrators, certified business officials, and other qualifying district personnel must file an economic interest statement with the County Clerk by May 1 of each year.</t>
  </si>
  <si>
    <t>The Superintendent and board members did not complete and file the forms by the May 1 deadline.</t>
  </si>
  <si>
    <t>None</t>
  </si>
  <si>
    <t>The state statue requiring individuals to file an economic interest statement with the County Clerk was not followed.</t>
  </si>
  <si>
    <t>District Superintendent did not monitor the deadline to file the statements at the County Clerk's office.</t>
  </si>
  <si>
    <t>The Superintendent, treasurer, and board members will complete the forms at the September 2018 meeting and file them as soon as possible.</t>
  </si>
  <si>
    <t>The receipts and disbursements should be recorded in the general ledger in accordance with 23 Illinois Administrative Code Part 100 - requirements for accounting, budgeting, financial reporting, and auditing.</t>
  </si>
  <si>
    <t>Receipts and disbursements did not follow Part 100 of the administrative code or the budget so numerous reclassifications were made during the audit.</t>
  </si>
  <si>
    <t>The Superintendent and bookkeeper didn't use the correct account numbers or object codes.</t>
  </si>
  <si>
    <t>There was a substantial and systematic misclassification of receipts and disbursements during the fiscal year.  Transportation receipts from ISBE were recorded in the Education Fund, incorrect account numbers were used for numerous receipts and disbursements.  The payroll was not set up correctly so that some of the salary's and benefits were not in the correct account numbers or funds.</t>
  </si>
  <si>
    <t>The new Superintendent and bookkeeper should review the Part 100 of the administrative code for a description of the account numbers and objects to properly record the transactions and the payroll set up should be reviewed in the accounting software.</t>
  </si>
  <si>
    <t>Existing members, new members, treasurer, and the Superintendent should be given the form to fill out at a meeting each year and they should be filed at the County Clerk's office within the May 1 deadline.  The forms for 2018 should be filed as soon as possible.</t>
  </si>
  <si>
    <t>Grant reports should be filed timely.  The grant budget should be reviewed so that the correct account numbers are being used in the general ledger.  The transportation claim should be amended.</t>
  </si>
  <si>
    <t>The treasurer's report provide to the Board each month was not correct.</t>
  </si>
  <si>
    <t>Akin CCSD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</si>
</sst>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304800</xdr:colOff>
          <xdr:row>14</xdr:row>
          <xdr:rowOff>38100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2077</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2077</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21028091004</v>
      </c>
      <c r="B13" s="2041"/>
      <c r="C13" s="2041"/>
      <c r="D13" s="2041"/>
      <c r="E13" s="2041"/>
      <c r="F13" s="2041"/>
      <c r="G13" s="2041"/>
      <c r="H13" s="2042"/>
      <c r="I13" s="31"/>
      <c r="J13" s="30"/>
      <c r="K13" s="28"/>
      <c r="L13" s="30"/>
      <c r="M13" s="30"/>
      <c r="N13" s="30"/>
      <c r="O13" s="30"/>
      <c r="P13" s="30"/>
      <c r="Q13" s="30"/>
      <c r="R13" s="30"/>
      <c r="S13" s="30"/>
      <c r="T13" s="2045" t="s">
        <v>2078</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2095</v>
      </c>
      <c r="B15" s="2043"/>
      <c r="C15" s="2043"/>
      <c r="D15" s="2043"/>
      <c r="E15" s="2043"/>
      <c r="F15" s="2043"/>
      <c r="G15" s="2043"/>
      <c r="H15" s="2044"/>
      <c r="T15" s="2049" t="s">
        <v>2079</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2150</v>
      </c>
      <c r="B17" s="2000"/>
      <c r="C17" s="2000"/>
      <c r="D17" s="2000"/>
      <c r="E17" s="2000"/>
      <c r="F17" s="2000"/>
      <c r="G17" s="2000"/>
      <c r="H17" s="2025"/>
      <c r="T17" s="2056" t="s">
        <v>2080</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2096</v>
      </c>
      <c r="B19" s="1985"/>
      <c r="C19" s="1985"/>
      <c r="D19" s="1985"/>
      <c r="E19" s="1985"/>
      <c r="F19" s="1985"/>
      <c r="G19" s="1985"/>
      <c r="H19" s="1965"/>
      <c r="I19" s="30"/>
      <c r="J19" s="99"/>
      <c r="K19" s="40"/>
      <c r="L19" s="38"/>
      <c r="M19" s="112" t="s">
        <v>333</v>
      </c>
      <c r="P19" s="27"/>
      <c r="Q19" s="27"/>
      <c r="R19" s="27"/>
      <c r="S19" s="31"/>
      <c r="T19" s="2039" t="s">
        <v>2081</v>
      </c>
      <c r="U19" s="1964"/>
      <c r="V19" s="1964"/>
      <c r="W19" s="1965"/>
      <c r="X19" s="2054" t="s">
        <v>2082</v>
      </c>
      <c r="Y19" s="2055"/>
      <c r="Z19" s="2052">
        <v>62870</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2097</v>
      </c>
      <c r="B21" s="1964"/>
      <c r="C21" s="1964"/>
      <c r="D21" s="1964"/>
      <c r="E21" s="1964"/>
      <c r="F21" s="1964"/>
      <c r="G21" s="1964"/>
      <c r="H21" s="1965"/>
      <c r="I21" s="2019" t="s">
        <v>699</v>
      </c>
      <c r="J21" s="2014"/>
      <c r="K21" s="2014"/>
      <c r="L21" s="2014"/>
      <c r="M21" s="2014"/>
      <c r="N21" s="2014"/>
      <c r="O21" s="2014"/>
      <c r="P21" s="2014"/>
      <c r="Q21" s="2014"/>
      <c r="R21" s="2014"/>
      <c r="S21" s="2020"/>
      <c r="T21" s="2063" t="s">
        <v>2083</v>
      </c>
      <c r="U21" s="2064"/>
      <c r="V21" s="2064"/>
      <c r="W21" s="2064"/>
      <c r="X21" s="2069" t="s">
        <v>2084</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2101</v>
      </c>
      <c r="B23" s="2017"/>
      <c r="C23" s="2017"/>
      <c r="D23" s="2017"/>
      <c r="E23" s="2017"/>
      <c r="F23" s="2017"/>
      <c r="G23" s="2017"/>
      <c r="H23" s="2018"/>
      <c r="T23" s="1999" t="s">
        <v>2085</v>
      </c>
      <c r="U23" s="2062"/>
      <c r="V23" s="2062"/>
      <c r="W23" s="2062"/>
      <c r="X23" s="2066">
        <v>43466</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62890</v>
      </c>
      <c r="B25" s="1964"/>
      <c r="C25" s="1964"/>
      <c r="D25" s="1964"/>
      <c r="E25" s="1964"/>
      <c r="F25" s="1964"/>
      <c r="G25" s="1964"/>
      <c r="H25" s="1965"/>
      <c r="I25" s="113"/>
      <c r="J25" s="1988"/>
      <c r="K25" s="1988"/>
      <c r="L25" s="1988"/>
      <c r="M25" s="1988"/>
      <c r="N25" s="1988"/>
      <c r="O25" s="1988"/>
      <c r="P25" s="1988"/>
      <c r="Q25" s="1988"/>
      <c r="R25" s="1988"/>
      <c r="S25" s="1989"/>
      <c r="T25" s="2059" t="s">
        <v>2086</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2100</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2101</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2098</v>
      </c>
      <c r="B42" s="1983"/>
      <c r="C42" s="1984"/>
      <c r="D42" s="1982" t="s">
        <v>2099</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4" sqref="A44:H4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0">
        <f>'Revenues 9-14'!C5</f>
        <v>901360</v>
      </c>
      <c r="C4" s="1546"/>
      <c r="D4" s="1773">
        <f>B4-C4</f>
        <v>901360</v>
      </c>
      <c r="E4" s="1546">
        <v>934482</v>
      </c>
      <c r="F4" s="1773">
        <f>E4-C4</f>
        <v>934482</v>
      </c>
    </row>
    <row r="5" spans="1:6" ht="13.7" customHeight="1" x14ac:dyDescent="0.2">
      <c r="A5" s="716" t="s">
        <v>925</v>
      </c>
      <c r="B5" s="1771">
        <f>'Revenues 9-14'!D5</f>
        <v>268757</v>
      </c>
      <c r="C5" s="585"/>
      <c r="D5" s="1774">
        <f t="shared" ref="D5:D18" si="0">B5-C5</f>
        <v>268757</v>
      </c>
      <c r="E5" s="585">
        <v>270296</v>
      </c>
      <c r="F5" s="1774">
        <f>E5-C5</f>
        <v>270296</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69858</v>
      </c>
      <c r="C7" s="585"/>
      <c r="D7" s="1774">
        <f t="shared" si="0"/>
        <v>69858</v>
      </c>
      <c r="E7" s="585">
        <v>68956</v>
      </c>
      <c r="F7" s="1774">
        <f t="shared" si="1"/>
        <v>68956</v>
      </c>
    </row>
    <row r="8" spans="1:6" ht="13.7" customHeight="1" x14ac:dyDescent="0.2">
      <c r="A8" s="716" t="s">
        <v>1241</v>
      </c>
      <c r="B8" s="1771">
        <f>'Revenues 9-14'!G5</f>
        <v>11972</v>
      </c>
      <c r="C8" s="585"/>
      <c r="D8" s="1774">
        <f t="shared" si="0"/>
        <v>11972</v>
      </c>
      <c r="E8" s="585">
        <v>11791</v>
      </c>
      <c r="F8" s="1774">
        <f t="shared" si="1"/>
        <v>11791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16319</v>
      </c>
      <c r="C10" s="585"/>
      <c r="D10" s="1774">
        <f t="shared" si="0"/>
        <v>16319</v>
      </c>
      <c r="E10" s="585">
        <v>16107</v>
      </c>
      <c r="F10" s="1774">
        <f t="shared" si="1"/>
        <v>16107</v>
      </c>
    </row>
    <row r="11" spans="1:6" x14ac:dyDescent="0.2">
      <c r="A11" s="716" t="s">
        <v>429</v>
      </c>
      <c r="B11" s="1771">
        <f>'Revenues 9-14'!J5</f>
        <v>87708</v>
      </c>
      <c r="C11" s="585"/>
      <c r="D11" s="1774">
        <f t="shared" si="0"/>
        <v>87708</v>
      </c>
      <c r="E11" s="585">
        <v>86589</v>
      </c>
      <c r="F11" s="1774">
        <f t="shared" si="1"/>
        <v>86589</v>
      </c>
    </row>
    <row r="12" spans="1:6" ht="13.7" customHeight="1" x14ac:dyDescent="0.2">
      <c r="A12" s="716" t="s">
        <v>159</v>
      </c>
      <c r="B12" s="1771">
        <f>'Revenues 9-14'!K5</f>
        <v>16320</v>
      </c>
      <c r="C12" s="585"/>
      <c r="D12" s="1774">
        <f t="shared" si="0"/>
        <v>16320</v>
      </c>
      <c r="E12" s="585">
        <v>16107</v>
      </c>
      <c r="F12" s="1774">
        <f t="shared" si="1"/>
        <v>16107</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7476</v>
      </c>
      <c r="C14" s="585"/>
      <c r="D14" s="1774">
        <f t="shared" si="0"/>
        <v>7476</v>
      </c>
      <c r="E14" s="585">
        <v>7369</v>
      </c>
      <c r="F14" s="1774">
        <f t="shared" si="1"/>
        <v>7369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11972</v>
      </c>
      <c r="C16" s="585"/>
      <c r="D16" s="1774">
        <f t="shared" si="0"/>
        <v>11972</v>
      </c>
      <c r="E16" s="585">
        <v>11792</v>
      </c>
      <c r="F16" s="1774">
        <f t="shared" si="1"/>
        <v>11792</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1391742</v>
      </c>
      <c r="C19" s="1772">
        <f>SUM(C4:C18)</f>
        <v>0</v>
      </c>
      <c r="D19" s="1772">
        <f>SUM(D4:D18)</f>
        <v>1391742</v>
      </c>
      <c r="E19" s="1772">
        <f>SUM(E4:E18)</f>
        <v>1423489</v>
      </c>
      <c r="F19" s="1772">
        <f>SUM(F4:F18)</f>
        <v>1423489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A44" sqref="A44:H4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1905</v>
      </c>
      <c r="B2" s="2233"/>
      <c r="C2" s="1907" t="s">
        <v>2038</v>
      </c>
      <c r="D2" s="724" t="s">
        <v>2045</v>
      </c>
      <c r="E2" s="724" t="s">
        <v>2046</v>
      </c>
      <c r="F2" s="1907" t="s">
        <v>2039</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6">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8" t="s">
        <v>652</v>
      </c>
      <c r="B15" s="2219"/>
      <c r="C15" s="1776">
        <f>SUM(C6:C14)</f>
        <v>0</v>
      </c>
      <c r="D15" s="1776">
        <f>SUM(D6:D14)</f>
        <v>0</v>
      </c>
      <c r="E15" s="1776">
        <f>SUM(E6:E14)</f>
        <v>0</v>
      </c>
      <c r="F15" s="1776">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6">
        <f>SUM(C17+D17)-E17</f>
        <v>0</v>
      </c>
    </row>
    <row r="18" spans="1:11" ht="12.75" customHeight="1" thickTop="1" thickBot="1" x14ac:dyDescent="0.25">
      <c r="A18" s="2213" t="s">
        <v>6</v>
      </c>
      <c r="B18" s="2214"/>
      <c r="C18" s="727"/>
      <c r="D18" s="585"/>
      <c r="E18" s="727"/>
      <c r="F18" s="1776">
        <f>SUM(C18+D18)-E18</f>
        <v>0</v>
      </c>
    </row>
    <row r="19" spans="1:11" ht="12.75" customHeight="1" thickTop="1" thickBot="1" x14ac:dyDescent="0.25">
      <c r="A19" s="2213" t="s">
        <v>406</v>
      </c>
      <c r="B19" s="2214"/>
      <c r="C19" s="727"/>
      <c r="D19" s="585"/>
      <c r="E19" s="727"/>
      <c r="F19" s="1776">
        <f>SUM(C19+D19)-E19</f>
        <v>0</v>
      </c>
    </row>
    <row r="20" spans="1:11" ht="12.75" customHeight="1" thickTop="1" thickBot="1" x14ac:dyDescent="0.25">
      <c r="A20" s="2213" t="s">
        <v>468</v>
      </c>
      <c r="B20" s="2214"/>
      <c r="C20" s="727"/>
      <c r="D20" s="585"/>
      <c r="E20" s="727"/>
      <c r="F20" s="1776">
        <f>SUM(C20+D20)-E20</f>
        <v>0</v>
      </c>
    </row>
    <row r="21" spans="1:11" ht="14.25" thickTop="1" thickBot="1" x14ac:dyDescent="0.25">
      <c r="A21" s="2218" t="s">
        <v>653</v>
      </c>
      <c r="B21" s="2219"/>
      <c r="C21" s="1776">
        <f>SUM(C17:C20)</f>
        <v>0</v>
      </c>
      <c r="D21" s="1776">
        <f>SUM(D17:D20)</f>
        <v>0</v>
      </c>
      <c r="E21" s="1776">
        <f>SUM(E17:E20)</f>
        <v>0</v>
      </c>
      <c r="F21" s="1776">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6">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6">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6">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2102</v>
      </c>
      <c r="B32" s="734">
        <v>40756</v>
      </c>
      <c r="C32" s="735">
        <v>220000</v>
      </c>
      <c r="D32" s="736">
        <v>7</v>
      </c>
      <c r="E32" s="735">
        <v>25000</v>
      </c>
      <c r="F32" s="735"/>
      <c r="G32" s="735"/>
      <c r="H32" s="735">
        <v>25000</v>
      </c>
      <c r="I32" s="1777">
        <f>((E32+F32)-H32)+G32</f>
        <v>0</v>
      </c>
      <c r="J32" s="735">
        <v>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2103</v>
      </c>
      <c r="B34" s="734">
        <v>41395</v>
      </c>
      <c r="C34" s="735">
        <v>110000</v>
      </c>
      <c r="D34" s="736">
        <v>7</v>
      </c>
      <c r="E34" s="735">
        <v>110000</v>
      </c>
      <c r="F34" s="735"/>
      <c r="G34" s="735"/>
      <c r="H34" s="735"/>
      <c r="I34" s="1777">
        <f t="shared" si="1"/>
        <v>110000</v>
      </c>
      <c r="J34" s="735">
        <v>90278</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330000</v>
      </c>
      <c r="D49" s="746"/>
      <c r="E49" s="1777">
        <f t="shared" ref="E49:J49" si="2">SUM(E31:E48)</f>
        <v>135000</v>
      </c>
      <c r="F49" s="1777">
        <f t="shared" si="2"/>
        <v>0</v>
      </c>
      <c r="G49" s="1777">
        <f t="shared" si="2"/>
        <v>0</v>
      </c>
      <c r="H49" s="1777">
        <f t="shared" si="2"/>
        <v>25000</v>
      </c>
      <c r="I49" s="1777">
        <f t="shared" si="2"/>
        <v>110000</v>
      </c>
      <c r="J49" s="1777">
        <f t="shared" si="2"/>
        <v>90278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t="s">
        <v>2104</v>
      </c>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4" sqref="A44: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2"/>
      <c r="I1" s="761"/>
      <c r="J1" s="433"/>
    </row>
    <row r="2" spans="1:11" ht="26.25" x14ac:dyDescent="0.2">
      <c r="A2" s="2255" t="s">
        <v>1776</v>
      </c>
      <c r="B2" s="2256"/>
      <c r="C2" s="2256"/>
      <c r="D2" s="2256"/>
      <c r="E2" s="2257"/>
      <c r="F2" s="762" t="s">
        <v>960</v>
      </c>
      <c r="G2" s="763" t="s">
        <v>1773</v>
      </c>
      <c r="H2" s="763" t="s">
        <v>430</v>
      </c>
      <c r="I2" s="763" t="s">
        <v>1220</v>
      </c>
      <c r="J2" s="763" t="s">
        <v>1919</v>
      </c>
      <c r="K2" s="763" t="s">
        <v>140</v>
      </c>
    </row>
    <row r="3" spans="1:11" x14ac:dyDescent="0.2">
      <c r="A3" s="2258" t="s">
        <v>1698</v>
      </c>
      <c r="B3" s="2259"/>
      <c r="C3" s="2259"/>
      <c r="D3" s="2259"/>
      <c r="E3" s="2260"/>
      <c r="F3" s="764"/>
      <c r="G3" s="765"/>
      <c r="H3" s="765">
        <v>0</v>
      </c>
      <c r="I3" s="765">
        <v>0</v>
      </c>
      <c r="J3" s="766">
        <v>16298</v>
      </c>
      <c r="K3" s="766">
        <v>0</v>
      </c>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v>7476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32459</v>
      </c>
      <c r="K8" s="770"/>
    </row>
    <row r="9" spans="1:11" x14ac:dyDescent="0.2">
      <c r="A9" s="779" t="s">
        <v>140</v>
      </c>
      <c r="B9" s="780"/>
      <c r="C9" s="780"/>
      <c r="D9" s="780"/>
      <c r="E9" s="781"/>
      <c r="F9" s="778" t="s">
        <v>908</v>
      </c>
      <c r="G9" s="783"/>
      <c r="H9" s="772"/>
      <c r="I9" s="772"/>
      <c r="J9" s="782"/>
      <c r="K9" s="766"/>
    </row>
    <row r="10" spans="1:11" x14ac:dyDescent="0.2">
      <c r="A10" s="2239" t="s">
        <v>1920</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8"/>
      <c r="G12" s="1779">
        <f>SUM(G5:G11)</f>
        <v>0</v>
      </c>
      <c r="H12" s="1779">
        <f>SUM(H5:H11)</f>
        <v>7476</v>
      </c>
      <c r="I12" s="1779">
        <f>SUM(I5:I11)</f>
        <v>0</v>
      </c>
      <c r="J12" s="1779">
        <f>SUM(J5:J11)</f>
        <v>32459</v>
      </c>
      <c r="K12" s="1779">
        <f>SUM(K5:K11)</f>
        <v>0</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v>7476</v>
      </c>
      <c r="I14" s="772"/>
      <c r="J14" s="774"/>
      <c r="K14" s="766"/>
    </row>
    <row r="15" spans="1:11" x14ac:dyDescent="0.2">
      <c r="A15" s="2240" t="s">
        <v>4</v>
      </c>
      <c r="B15" s="2240"/>
      <c r="C15" s="2240"/>
      <c r="D15" s="2240"/>
      <c r="E15" s="2241"/>
      <c r="F15" s="790" t="s">
        <v>910</v>
      </c>
      <c r="G15" s="772"/>
      <c r="H15" s="765"/>
      <c r="I15" s="765"/>
      <c r="J15" s="766">
        <v>71</v>
      </c>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v>2964</v>
      </c>
      <c r="K18" s="796"/>
    </row>
    <row r="19" spans="1:11" ht="21.75" customHeight="1" x14ac:dyDescent="0.2">
      <c r="A19" s="2248" t="s">
        <v>1916</v>
      </c>
      <c r="B19" s="2248"/>
      <c r="C19" s="2248"/>
      <c r="D19" s="2248"/>
      <c r="E19" s="2249"/>
      <c r="F19" s="790" t="s">
        <v>990</v>
      </c>
      <c r="G19" s="783"/>
      <c r="H19" s="783"/>
      <c r="I19" s="783"/>
      <c r="J19" s="766">
        <v>25000</v>
      </c>
      <c r="K19" s="796"/>
    </row>
    <row r="20" spans="1:11" x14ac:dyDescent="0.2">
      <c r="A20" s="2250" t="s">
        <v>1921</v>
      </c>
      <c r="B20" s="2251"/>
      <c r="C20" s="2251"/>
      <c r="D20" s="2251"/>
      <c r="E20" s="2252"/>
      <c r="F20" s="790" t="s">
        <v>991</v>
      </c>
      <c r="G20" s="783"/>
      <c r="H20" s="783"/>
      <c r="I20" s="783"/>
      <c r="J20" s="766">
        <v>1000</v>
      </c>
      <c r="K20" s="796"/>
    </row>
    <row r="21" spans="1:11" ht="13.5" thickBot="1" x14ac:dyDescent="0.25">
      <c r="A21" s="2269" t="s">
        <v>659</v>
      </c>
      <c r="B21" s="2269"/>
      <c r="C21" s="2269"/>
      <c r="D21" s="2269"/>
      <c r="E21" s="2269"/>
      <c r="F21" s="1780"/>
      <c r="G21" s="793"/>
      <c r="H21" s="797"/>
      <c r="I21" s="797"/>
      <c r="J21" s="1781">
        <f>SUM(J18:J20)</f>
        <v>28964</v>
      </c>
      <c r="K21" s="794"/>
    </row>
    <row r="22" spans="1:11" ht="13.5" thickTop="1" x14ac:dyDescent="0.2">
      <c r="A22" s="2240" t="s">
        <v>1922</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82"/>
      <c r="G23" s="1779">
        <f>SUM(G14:G16,G21,G22)</f>
        <v>0</v>
      </c>
      <c r="H23" s="1779">
        <f>SUM(H14:H16,H21,H22)</f>
        <v>7476</v>
      </c>
      <c r="I23" s="1779">
        <f>SUM(I14:I16,I21,I22)</f>
        <v>0</v>
      </c>
      <c r="J23" s="1779">
        <f>SUM(J14:J16,J21,J22)</f>
        <v>29035</v>
      </c>
      <c r="K23" s="1779">
        <f>SUM(K14:K16,K21,K22)</f>
        <v>0</v>
      </c>
    </row>
    <row r="24" spans="1:11" ht="14.25" thickTop="1" thickBot="1" x14ac:dyDescent="0.25">
      <c r="A24" s="2270" t="s">
        <v>2026</v>
      </c>
      <c r="B24" s="2269"/>
      <c r="C24" s="2269"/>
      <c r="D24" s="2269"/>
      <c r="E24" s="2269"/>
      <c r="F24" s="1783"/>
      <c r="G24" s="1784">
        <f>SUM(G3,G12)-G23</f>
        <v>0</v>
      </c>
      <c r="H24" s="1784">
        <f>SUM(H3,H12)-H23</f>
        <v>0</v>
      </c>
      <c r="I24" s="1784">
        <f>SUM(I3,I12)-I23</f>
        <v>0</v>
      </c>
      <c r="J24" s="1784">
        <f>SUM(J3,J12)-J23</f>
        <v>19722</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19722</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25500</v>
      </c>
      <c r="D5" s="842"/>
      <c r="E5" s="842"/>
      <c r="F5" s="1781">
        <f>(C5+D5)-E5</f>
        <v>25500</v>
      </c>
      <c r="G5" s="838"/>
      <c r="H5" s="843"/>
      <c r="I5" s="843"/>
      <c r="J5" s="843"/>
      <c r="K5" s="794"/>
      <c r="L5" s="1790">
        <f>F5-K5</f>
        <v>25500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1009186</v>
      </c>
      <c r="D8" s="845">
        <v>148373</v>
      </c>
      <c r="E8" s="845"/>
      <c r="F8" s="1781">
        <f>(C8+D8)-E8</f>
        <v>1157559</v>
      </c>
      <c r="G8" s="844">
        <v>50</v>
      </c>
      <c r="H8" s="766">
        <v>362755</v>
      </c>
      <c r="I8" s="766">
        <v>25746</v>
      </c>
      <c r="J8" s="766"/>
      <c r="K8" s="1790">
        <f>(H8+I8)-J8</f>
        <v>388501</v>
      </c>
      <c r="L8" s="1790">
        <f>F8-K8</f>
        <v>769058</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74153</v>
      </c>
      <c r="D10" s="847">
        <v>73323</v>
      </c>
      <c r="E10" s="847"/>
      <c r="F10" s="1785">
        <f>(C10+D10)-E10</f>
        <v>147476</v>
      </c>
      <c r="G10" s="844">
        <v>20</v>
      </c>
      <c r="H10" s="848">
        <v>52295</v>
      </c>
      <c r="I10" s="848">
        <v>5439</v>
      </c>
      <c r="J10" s="848"/>
      <c r="K10" s="1790">
        <f>(H10+I10)-J10</f>
        <v>57734</v>
      </c>
      <c r="L10" s="1790">
        <f>F10-K10</f>
        <v>89742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580142</v>
      </c>
      <c r="D12" s="845">
        <v>36308</v>
      </c>
      <c r="E12" s="845"/>
      <c r="F12" s="1781">
        <f>(C12+D12)-E12</f>
        <v>616450</v>
      </c>
      <c r="G12" s="844">
        <v>10</v>
      </c>
      <c r="H12" s="766">
        <v>504027</v>
      </c>
      <c r="I12" s="766">
        <v>21864</v>
      </c>
      <c r="J12" s="766"/>
      <c r="K12" s="1790">
        <f>(H12+I12)-J12</f>
        <v>525891</v>
      </c>
      <c r="L12" s="1790">
        <f>F12-K12</f>
        <v>90559</v>
      </c>
    </row>
    <row r="13" spans="1:14" ht="14.25" thickTop="1" thickBot="1" x14ac:dyDescent="0.25">
      <c r="A13" s="849" t="s">
        <v>1184</v>
      </c>
      <c r="B13" s="841">
        <v>252</v>
      </c>
      <c r="C13" s="845"/>
      <c r="D13" s="845">
        <v>121805</v>
      </c>
      <c r="E13" s="845"/>
      <c r="F13" s="1781">
        <f>(C13+D13)-E13</f>
        <v>121805</v>
      </c>
      <c r="G13" s="844">
        <v>5</v>
      </c>
      <c r="H13" s="766"/>
      <c r="I13" s="766">
        <v>19964</v>
      </c>
      <c r="J13" s="766"/>
      <c r="K13" s="1790">
        <f>(H13+I13)-J13</f>
        <v>19964</v>
      </c>
      <c r="L13" s="1790">
        <f>F13-K13</f>
        <v>101841</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1688981</v>
      </c>
      <c r="D16" s="1781">
        <f>SUM(D3,D5:D6,D8:D10,D12:D15)</f>
        <v>379809</v>
      </c>
      <c r="E16" s="1781">
        <f>SUM(E3,E5:E6,E8:E10,E12:E15)</f>
        <v>0</v>
      </c>
      <c r="F16" s="1781">
        <f>SUM(F3,F5:F6,F8:F10,F12:F15)</f>
        <v>2068790</v>
      </c>
      <c r="G16" s="844"/>
      <c r="H16" s="1781">
        <f>SUM(H3,H6,H8:H10,H12:H14,)</f>
        <v>919077</v>
      </c>
      <c r="I16" s="1781">
        <f>SUM(I3,I6,I8:I10,I12:I14,)</f>
        <v>73013</v>
      </c>
      <c r="J16" s="1781">
        <f>SUM(J3,J6,J8:J10,J12:J14,)</f>
        <v>0</v>
      </c>
      <c r="K16" s="1781">
        <f>(H16+I16)-J16</f>
        <v>992090</v>
      </c>
      <c r="L16" s="1781">
        <f>F16-K16</f>
        <v>1076700</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73013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4" sqref="A44:H44"/>
      <selection pane="bottomLeft" activeCell="A44" sqref="A44:H4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1012746</v>
      </c>
      <c r="G8" s="866"/>
    </row>
    <row r="9" spans="1:7" x14ac:dyDescent="0.2">
      <c r="A9" s="870" t="s">
        <v>480</v>
      </c>
      <c r="B9" s="871" t="s">
        <v>1989</v>
      </c>
      <c r="C9" s="872"/>
      <c r="D9" s="870" t="s">
        <v>522</v>
      </c>
      <c r="E9" s="869"/>
      <c r="F9" s="1933">
        <f>'Expenditures 15-22'!K151</f>
        <v>339193</v>
      </c>
      <c r="G9" s="873"/>
    </row>
    <row r="10" spans="1:7" x14ac:dyDescent="0.2">
      <c r="A10" s="870" t="s">
        <v>520</v>
      </c>
      <c r="B10" s="871" t="s">
        <v>1990</v>
      </c>
      <c r="C10" s="872"/>
      <c r="D10" s="870" t="s">
        <v>522</v>
      </c>
      <c r="E10" s="869"/>
      <c r="F10" s="1933">
        <f>'Expenditures 15-22'!K174</f>
        <v>28964</v>
      </c>
      <c r="G10" s="873"/>
    </row>
    <row r="11" spans="1:7" x14ac:dyDescent="0.2">
      <c r="A11" s="870" t="s">
        <v>481</v>
      </c>
      <c r="B11" s="871" t="s">
        <v>1991</v>
      </c>
      <c r="C11" s="872"/>
      <c r="D11" s="870" t="s">
        <v>522</v>
      </c>
      <c r="E11" s="869"/>
      <c r="F11" s="1933">
        <f>'Expenditures 15-22'!K210</f>
        <v>147733</v>
      </c>
      <c r="G11" s="873"/>
    </row>
    <row r="12" spans="1:7" x14ac:dyDescent="0.2">
      <c r="A12" s="870" t="s">
        <v>482</v>
      </c>
      <c r="B12" s="871" t="s">
        <v>1992</v>
      </c>
      <c r="C12" s="872"/>
      <c r="D12" s="870" t="s">
        <v>522</v>
      </c>
      <c r="E12" s="869"/>
      <c r="F12" s="1933">
        <f>'Expenditures 15-22'!K295</f>
        <v>36296</v>
      </c>
      <c r="G12" s="873"/>
    </row>
    <row r="13" spans="1:7" x14ac:dyDescent="0.2">
      <c r="A13" s="870" t="s">
        <v>108</v>
      </c>
      <c r="B13" s="871" t="s">
        <v>1993</v>
      </c>
      <c r="C13" s="872"/>
      <c r="D13" s="870" t="s">
        <v>522</v>
      </c>
      <c r="E13" s="869"/>
      <c r="F13" s="1933">
        <f>'Expenditures 15-22'!K342</f>
        <v>40685</v>
      </c>
      <c r="G13" s="874"/>
    </row>
    <row r="14" spans="1:7" ht="12" customHeight="1" thickBot="1" x14ac:dyDescent="0.25">
      <c r="A14" s="1791"/>
      <c r="B14" s="1792"/>
      <c r="C14" s="1793"/>
      <c r="D14" s="1794" t="s">
        <v>522</v>
      </c>
      <c r="E14" s="1795" t="s">
        <v>1015</v>
      </c>
      <c r="F14" s="1796">
        <f>SUM(F8:F13)</f>
        <v>1605617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4648</v>
      </c>
      <c r="G52" s="866"/>
    </row>
    <row r="53" spans="1:7" x14ac:dyDescent="0.2">
      <c r="A53" s="870" t="s">
        <v>479</v>
      </c>
      <c r="B53" s="870" t="s">
        <v>1551</v>
      </c>
      <c r="C53" s="890">
        <f>'Expenditures 15-22'!B102</f>
        <v>4000</v>
      </c>
      <c r="D53" s="889" t="str">
        <f>'Expenditures 15-22'!A102</f>
        <v>Total Payments to Other Govt Units</v>
      </c>
      <c r="E53" s="869"/>
      <c r="F53" s="1937">
        <f>'Expenditures 15-22'!K102</f>
        <v>4870</v>
      </c>
      <c r="G53" s="866"/>
    </row>
    <row r="54" spans="1:7" x14ac:dyDescent="0.2">
      <c r="A54" s="870" t="s">
        <v>479</v>
      </c>
      <c r="B54" s="870" t="s">
        <v>1552</v>
      </c>
      <c r="C54" s="890" t="s">
        <v>1039</v>
      </c>
      <c r="D54" s="886" t="s">
        <v>1157</v>
      </c>
      <c r="E54" s="869"/>
      <c r="F54" s="1937">
        <f>'Expenditures 15-22'!G114</f>
        <v>15679</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231575</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25000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121805</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204</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403781</v>
      </c>
      <c r="G76" s="866"/>
    </row>
    <row r="77" spans="1:8" s="894" customFormat="1" ht="12" customHeight="1" thickTop="1" thickBot="1" x14ac:dyDescent="0.25">
      <c r="A77" s="1800"/>
      <c r="B77" s="1797"/>
      <c r="C77" s="1793"/>
      <c r="D77" s="1798" t="s">
        <v>2012</v>
      </c>
      <c r="E77" s="1795"/>
      <c r="F77" s="1801">
        <f>(F14-F76)</f>
        <v>1201836</v>
      </c>
      <c r="G77" s="870"/>
    </row>
    <row r="78" spans="1:8" s="894" customFormat="1" ht="12" customHeight="1" thickTop="1" x14ac:dyDescent="0.2">
      <c r="A78" s="1802"/>
      <c r="B78" s="1797"/>
      <c r="C78" s="1793"/>
      <c r="D78" s="1798" t="s">
        <v>2059</v>
      </c>
      <c r="E78" s="1795"/>
      <c r="F78" s="899">
        <v>68</v>
      </c>
      <c r="G78" s="900"/>
      <c r="H78" s="870"/>
    </row>
    <row r="79" spans="1:8" s="894" customFormat="1" ht="12" customHeight="1" thickBot="1" x14ac:dyDescent="0.25">
      <c r="A79" s="1803"/>
      <c r="B79" s="1797"/>
      <c r="C79" s="1793"/>
      <c r="D79" s="1798" t="s">
        <v>2013</v>
      </c>
      <c r="E79" s="1795" t="s">
        <v>1015</v>
      </c>
      <c r="F79" s="1804">
        <f>IF(F78&gt;0,F77/F78," Complete Line 78")</f>
        <v>17674.058823529413</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5583</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510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370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594</v>
      </c>
      <c r="G103" s="913"/>
    </row>
    <row r="104" spans="1:7" x14ac:dyDescent="0.2">
      <c r="A104" s="909" t="s">
        <v>479</v>
      </c>
      <c r="B104" s="909" t="s">
        <v>841</v>
      </c>
      <c r="C104" s="911">
        <f>'Revenues 9-14'!B106</f>
        <v>1993</v>
      </c>
      <c r="D104" s="912" t="str">
        <f>'Revenues 9-14'!A106</f>
        <v>Other Local Fees (Describe &amp; Itemize)</v>
      </c>
      <c r="E104" s="907"/>
      <c r="F104" s="1810">
        <f>('Revenues 9-14'!C106)</f>
        <v>275</v>
      </c>
      <c r="G104" s="913"/>
    </row>
    <row r="105" spans="1:7" x14ac:dyDescent="0.2">
      <c r="A105" s="909" t="s">
        <v>524</v>
      </c>
      <c r="B105" s="909" t="s">
        <v>842</v>
      </c>
      <c r="C105" s="914">
        <v>3100</v>
      </c>
      <c r="D105" s="920" t="str">
        <f>'Revenues 9-14'!A131</f>
        <v>Total Special Education</v>
      </c>
      <c r="E105" s="907"/>
      <c r="F105" s="1810">
        <f>SUM('Revenues 9-14'!C131:D131,'Revenues 9-14'!F131)</f>
        <v>11588</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415</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12099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39609</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12569</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21384</v>
      </c>
      <c r="G129" s="931"/>
    </row>
    <row r="130" spans="1:7" x14ac:dyDescent="0.2">
      <c r="A130" s="928" t="s">
        <v>689</v>
      </c>
      <c r="B130" s="928" t="s">
        <v>804</v>
      </c>
      <c r="C130" s="933">
        <v>4300</v>
      </c>
      <c r="D130" s="934" t="str">
        <f>'Revenues 9-14'!A211</f>
        <v>Total Title I</v>
      </c>
      <c r="E130" s="907"/>
      <c r="F130" s="1810">
        <f>SUM('Revenues 9-14'!C211,'Revenues 9-14'!D211,'Revenues 9-14'!F211,'Revenues 9-14'!G211)</f>
        <v>24243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9000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1333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7494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147066</v>
      </c>
    </row>
    <row r="179" spans="1:7" ht="12" customHeight="1" x14ac:dyDescent="0.2">
      <c r="A179" s="1791"/>
      <c r="B179" s="1805"/>
      <c r="C179" s="1806"/>
      <c r="D179" s="1807" t="s">
        <v>2015</v>
      </c>
      <c r="E179" s="1808"/>
      <c r="F179" s="1810">
        <f>'PCTC-OEPP 27-28'!F77-F178</f>
        <v>1054770</v>
      </c>
    </row>
    <row r="180" spans="1:7" ht="12" customHeight="1" x14ac:dyDescent="0.2">
      <c r="A180" s="1791"/>
      <c r="B180" s="1805"/>
      <c r="C180" s="1806"/>
      <c r="D180" s="1807" t="s">
        <v>1924</v>
      </c>
      <c r="E180" s="1808"/>
      <c r="F180" s="1810">
        <f>'Cap Outlay Deprec 26'!I18</f>
        <v>73013</v>
      </c>
    </row>
    <row r="181" spans="1:7" ht="12" customHeight="1" x14ac:dyDescent="0.2">
      <c r="A181" s="1791"/>
      <c r="B181" s="1805"/>
      <c r="C181" s="1806"/>
      <c r="D181" s="1807" t="s">
        <v>2016</v>
      </c>
      <c r="E181" s="1808"/>
      <c r="F181" s="1810">
        <f>F179+F180</f>
        <v>1127783</v>
      </c>
    </row>
    <row r="182" spans="1:7" ht="12" customHeight="1" x14ac:dyDescent="0.2">
      <c r="A182" s="1791"/>
      <c r="B182" s="1811"/>
      <c r="C182" s="1806"/>
      <c r="D182" s="1807" t="str">
        <f>D78</f>
        <v>9 Month ADA from District Average Daily Attendance/Prior General State Aid Inquiry 2017-2018</v>
      </c>
      <c r="E182" s="1808"/>
      <c r="F182" s="1812">
        <f>'PCTC-OEPP 27-28'!F78</f>
        <v>68</v>
      </c>
      <c r="G182" s="931"/>
    </row>
    <row r="183" spans="1:7" ht="12" customHeight="1" thickBot="1" x14ac:dyDescent="0.25">
      <c r="A183" s="1791"/>
      <c r="B183" s="1811"/>
      <c r="C183" s="1806"/>
      <c r="D183" s="1807" t="s">
        <v>2017</v>
      </c>
      <c r="E183" s="1808" t="s">
        <v>1626</v>
      </c>
      <c r="F183" s="1813">
        <f>F181/F182</f>
        <v>16585.044117647059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4" sqref="A44:H44"/>
      <selection pane="bottomLeft" activeCell="A44" sqref="A44:H4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2105</v>
      </c>
      <c r="B17" s="1961" t="s">
        <v>2106</v>
      </c>
      <c r="C17" s="1962" t="s">
        <v>2107</v>
      </c>
      <c r="D17" s="1865">
        <v>17285</v>
      </c>
      <c r="E17" s="1562">
        <f t="shared" ref="E17:E30" si="1">IF(D17&lt;=25000,D17,IF(D17&gt;25000,25000,0))</f>
        <v>17285</v>
      </c>
      <c r="F17" s="1814">
        <f t="shared" si="0"/>
        <v>17285</v>
      </c>
      <c r="G17" s="1815">
        <f>IF(F17=0,0,D17-F17)</f>
        <v>0</v>
      </c>
      <c r="H17" s="1669"/>
    </row>
    <row r="18" spans="1:8" x14ac:dyDescent="0.25">
      <c r="A18" s="1960" t="s">
        <v>2108</v>
      </c>
      <c r="B18" s="1961" t="s">
        <v>2109</v>
      </c>
      <c r="C18" s="1962" t="s">
        <v>2107</v>
      </c>
      <c r="D18" s="1865">
        <v>3457</v>
      </c>
      <c r="E18" s="1562">
        <f t="shared" ref="E18:E29" si="2">IF(D18&lt;=25000,D18,IF(D18&gt;25000,25000,0))</f>
        <v>3457</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3457</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20742</v>
      </c>
      <c r="E30" s="1563">
        <f t="shared" si="1"/>
        <v>20742</v>
      </c>
      <c r="F30" s="1816">
        <f>SUM(F17:F29)</f>
        <v>20742</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4" sqref="A44: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27825</v>
      </c>
      <c r="F10" s="975"/>
      <c r="G10" s="976"/>
      <c r="H10" s="162"/>
      <c r="I10" s="162"/>
    </row>
    <row r="11" spans="1:9" s="669" customFormat="1" ht="22.5" customHeight="1" x14ac:dyDescent="0.2">
      <c r="A11" s="2309" t="s">
        <v>1945</v>
      </c>
      <c r="B11" s="2310"/>
      <c r="C11" s="2310"/>
      <c r="D11" s="2311"/>
      <c r="E11" s="978">
        <v>6318</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706786</v>
      </c>
      <c r="F19" s="1821"/>
      <c r="G19" s="1823">
        <f>'Expenditures 15-22'!K33-SUM('Expenditures 15-22'!G33,'Expenditures 15-22'!I33)+'Expenditures 15-22'!D229</f>
        <v>706786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9584</v>
      </c>
      <c r="F21" s="1824"/>
      <c r="G21" s="1827">
        <f>'Expenditures 15-22'!K42-SUM('Expenditures 15-22'!G42,'Expenditures 15-22'!I42)+'Expenditures 15-22'!K120-SUM('Expenditures 15-22'!G120,'Expenditures 15-22'!I120)+'Expenditures 15-22'!K180-SUM('Expenditures 15-22'!G180,'Expenditures 15-22'!I180)+'Expenditures 15-22'!D238</f>
        <v>9584</v>
      </c>
      <c r="H21" s="988"/>
      <c r="I21" s="162"/>
    </row>
    <row r="22" spans="1:9" s="669" customFormat="1" ht="12" customHeight="1" x14ac:dyDescent="0.2">
      <c r="A22" s="995" t="s">
        <v>585</v>
      </c>
      <c r="B22" s="996"/>
      <c r="C22" s="994">
        <v>2200</v>
      </c>
      <c r="D22" s="1824"/>
      <c r="E22" s="1826">
        <f>'Expenditures 15-22'!K47-SUM('Expenditures 15-22'!G47,'Expenditures 15-22'!I47)+'Expenditures 15-22'!D243</f>
        <v>17077</v>
      </c>
      <c r="F22" s="1824"/>
      <c r="G22" s="1827">
        <f>'Expenditures 15-22'!K47-SUM('Expenditures 15-22'!G47,'Expenditures 15-22'!I47)+'Expenditures 15-22'!D243</f>
        <v>17077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108255</v>
      </c>
      <c r="F23" s="1824"/>
      <c r="G23" s="1826">
        <f>'Expenditures 15-22'!K53-SUM('Expenditures 15-22'!G53,'Expenditures 15-22'!I53)+'Expenditures 15-22'!D257+'Expenditures 15-22'!K330-SUM('Expenditures 15-22'!G330,'Expenditures 15-22'!I330)</f>
        <v>108255</v>
      </c>
      <c r="H23" s="988"/>
      <c r="I23" s="162"/>
    </row>
    <row r="24" spans="1:9" s="669" customFormat="1" ht="12" customHeight="1" x14ac:dyDescent="0.2">
      <c r="A24" s="995" t="s">
        <v>587</v>
      </c>
      <c r="B24" s="996"/>
      <c r="C24" s="994">
        <v>2400</v>
      </c>
      <c r="D24" s="1824"/>
      <c r="E24" s="1826">
        <f>'Expenditures 15-22'!K57-SUM('Expenditures 15-22'!G57,'Expenditures 15-22'!I57)+'Expenditures 15-22'!D261</f>
        <v>70725</v>
      </c>
      <c r="F24" s="1824"/>
      <c r="G24" s="1827">
        <f>'Expenditures 15-22'!K57-SUM('Expenditures 15-22'!G57,'Expenditures 15-22'!I57)+'Expenditures 15-22'!D261</f>
        <v>70725</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87886</v>
      </c>
      <c r="E27" s="1826">
        <f>E8</f>
        <v>0</v>
      </c>
      <c r="F27" s="1826">
        <f>'Expenditures 15-22'!K60-SUM('Expenditures 15-22'!G60,'Expenditures 15-22'!I60)+'Expenditures 15-22'!D264-E8</f>
        <v>87886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114232</v>
      </c>
      <c r="F28" s="1828">
        <f>'Expenditures 15-22'!K61-SUM('Expenditures 15-22'!G61,'Expenditures 15-22'!I61)+'Expenditures 15-22'!K124-SUM('Expenditures 15-22'!G124,'Expenditures 15-22'!I124)+'Expenditures 15-22'!D266-E9</f>
        <v>114232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28476</v>
      </c>
      <c r="F29" s="1824"/>
      <c r="G29" s="1827">
        <f>'Expenditures 15-22'!K62-SUM('Expenditures 15-22'!G62,'Expenditures 15-22'!I62)+'Expenditures 15-22'!K125-SUM('Expenditures 15-22'!G125,'Expenditures 15-22'!I125)+'Expenditures 15-22'!K182-SUM('Expenditures 15-22'!G182,'Expenditures 15-22'!I182)+'Expenditures 15-22'!D267</f>
        <v>28476</v>
      </c>
      <c r="H29" s="986"/>
    </row>
    <row r="30" spans="1:9" ht="12" customHeight="1" x14ac:dyDescent="0.2">
      <c r="A30" s="995" t="s">
        <v>102</v>
      </c>
      <c r="B30" s="998"/>
      <c r="C30" s="994">
        <v>2560</v>
      </c>
      <c r="D30" s="1824"/>
      <c r="E30" s="1826">
        <f>'Expenditures 15-22'!K63-SUM('Expenditures 15-22'!G63,'Expenditures 15-22'!I63)+'Expenditures 15-22'!D268-E10</f>
        <v>27026</v>
      </c>
      <c r="F30" s="1824"/>
      <c r="G30" s="1826">
        <f>'Expenditures 15-22'!K63-SUM('Expenditures 15-22'!G63,'Expenditures 15-22'!I63)+'Expenditures 15-22'!D268-E10</f>
        <v>27026</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4852</v>
      </c>
      <c r="F39" s="1824"/>
      <c r="G39" s="1826">
        <f>'Expenditures 15-22'!K75-SUM('Expenditures 15-22'!G75,'Expenditures 15-22'!I75)+'Expenditures 15-22'!K130-SUM('Expenditures 15-22'!G130,'Expenditures 15-22'!I130)+'Expenditures 15-22'!K185-SUM('Expenditures 15-22'!G185,'Expenditures 15-22'!I185)+'Expenditures 15-22'!D280</f>
        <v>4852</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87886</v>
      </c>
      <c r="E41" s="1828">
        <f>SUM(E19:E40)</f>
        <v>1087013</v>
      </c>
      <c r="F41" s="1828">
        <f>SUM(F19:F39)</f>
        <v>202118</v>
      </c>
      <c r="G41" s="1828">
        <f>SUM(G19:G40)</f>
        <v>972781</v>
      </c>
    </row>
    <row r="42" spans="1:7" x14ac:dyDescent="0.2">
      <c r="A42" s="988"/>
      <c r="B42" s="162"/>
      <c r="C42" s="1002"/>
      <c r="D42" s="2307" t="s">
        <v>543</v>
      </c>
      <c r="E42" s="2308"/>
      <c r="F42" s="1003" t="s">
        <v>544</v>
      </c>
      <c r="G42" s="1004"/>
    </row>
    <row r="43" spans="1:7" ht="12" customHeight="1" x14ac:dyDescent="0.2">
      <c r="A43" s="988"/>
      <c r="B43" s="162"/>
      <c r="C43" s="1002"/>
      <c r="D43" s="1829" t="s">
        <v>493</v>
      </c>
      <c r="E43" s="1830">
        <f>D41</f>
        <v>87886</v>
      </c>
      <c r="F43" s="1829" t="s">
        <v>495</v>
      </c>
      <c r="G43" s="1830">
        <f>F41</f>
        <v>202118</v>
      </c>
    </row>
    <row r="44" spans="1:7" ht="12" customHeight="1" x14ac:dyDescent="0.2">
      <c r="A44" s="988"/>
      <c r="B44" s="162"/>
      <c r="C44" s="1002"/>
      <c r="D44" s="1829" t="s">
        <v>494</v>
      </c>
      <c r="E44" s="1830">
        <f>E41</f>
        <v>1087013</v>
      </c>
      <c r="F44" s="1829" t="s">
        <v>494</v>
      </c>
      <c r="G44" s="1830">
        <f>G41</f>
        <v>972781</v>
      </c>
    </row>
    <row r="45" spans="1:7" ht="12" customHeight="1" x14ac:dyDescent="0.2">
      <c r="A45" s="988"/>
      <c r="B45" s="162"/>
      <c r="C45" s="162"/>
      <c r="D45" s="1831" t="s">
        <v>1063</v>
      </c>
      <c r="E45" s="1832">
        <f>(E43/E44)</f>
        <v>8.0850918986249479E-2</v>
      </c>
      <c r="F45" s="1831" t="s">
        <v>1063</v>
      </c>
      <c r="G45" s="1832">
        <f>(G43/G44)</f>
        <v>0.20777338373179574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4" sqref="A44:H44"/>
      <selection pane="bottomLeft" activeCell="A44" sqref="A44:H44"/>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6" t="s">
        <v>1446</v>
      </c>
      <c r="B1" s="2326"/>
      <c r="C1" s="2326"/>
      <c r="D1" s="2326"/>
      <c r="E1" s="2326"/>
      <c r="F1" s="2326"/>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7" t="s">
        <v>1627</v>
      </c>
      <c r="B5" s="2328"/>
      <c r="C5" s="2329"/>
      <c r="D5" s="2329"/>
      <c r="E5" s="2329"/>
      <c r="F5" s="2329"/>
    </row>
    <row r="6" spans="1:10" ht="12" customHeight="1" x14ac:dyDescent="0.25">
      <c r="A6" s="1873"/>
      <c r="B6" s="1874"/>
      <c r="C6" s="2330" t="str">
        <f>COVER!A17</f>
        <v>Akin CCSD 91</v>
      </c>
      <c r="D6" s="2330"/>
      <c r="E6" s="2330"/>
      <c r="F6" s="1875"/>
    </row>
    <row r="7" spans="1:10" ht="11.25" customHeight="1" thickBot="1" x14ac:dyDescent="0.3">
      <c r="A7" s="1873"/>
      <c r="B7" s="1874"/>
      <c r="C7" s="2331">
        <f>COVER!A13</f>
        <v>21028091004</v>
      </c>
      <c r="D7" s="2331"/>
      <c r="E7" s="2331"/>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2087</v>
      </c>
      <c r="D14" s="1888" t="s">
        <v>2087</v>
      </c>
      <c r="E14" s="1891" t="s">
        <v>2087</v>
      </c>
      <c r="F14" s="1890" t="s">
        <v>2110</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2111</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2087</v>
      </c>
      <c r="D29" s="1888" t="s">
        <v>2087</v>
      </c>
      <c r="E29" s="1891" t="s">
        <v>2087</v>
      </c>
      <c r="F29" s="1890" t="s">
        <v>2107</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15</v>
      </c>
      <c r="K34" s="1901">
        <f>SUM(H34:J34)</f>
        <v>45</v>
      </c>
    </row>
    <row r="35" spans="1:11" ht="12" customHeight="1" x14ac:dyDescent="0.2">
      <c r="A35" s="1894" t="s">
        <v>1459</v>
      </c>
      <c r="B35" s="1895"/>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1458</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2"/>
      <c r="B43" s="2313"/>
      <c r="C43" s="2313"/>
      <c r="D43" s="2313"/>
      <c r="E43" s="2313"/>
      <c r="F43" s="2314"/>
      <c r="H43" s="1902"/>
      <c r="I43" s="1902"/>
      <c r="J43" s="1902"/>
      <c r="K43" s="1902"/>
    </row>
    <row r="44" spans="1:11" s="1893" customFormat="1" ht="12" hidden="1" customHeight="1" x14ac:dyDescent="0.25">
      <c r="A44" s="2312"/>
      <c r="B44" s="2313"/>
      <c r="C44" s="2313"/>
      <c r="D44" s="2313"/>
      <c r="E44" s="2313"/>
      <c r="F44" s="231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4" sqref="A44:H4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9" t="str">
        <f>COVER!A17</f>
        <v>Akin CCSD 91</v>
      </c>
      <c r="J6" s="2340"/>
      <c r="Q6" s="1685"/>
    </row>
    <row r="7" spans="1:17" x14ac:dyDescent="0.2">
      <c r="A7" s="2341" t="s">
        <v>924</v>
      </c>
      <c r="B7" s="2342"/>
      <c r="C7" s="2342"/>
      <c r="D7" s="2342"/>
      <c r="E7" s="2343"/>
      <c r="F7" s="1018"/>
      <c r="G7" s="1010"/>
      <c r="H7" s="1017" t="s">
        <v>390</v>
      </c>
      <c r="I7" s="2344">
        <f>COVER!A13</f>
        <v>21028091004</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55529</v>
      </c>
      <c r="F12" s="1040"/>
      <c r="G12" s="1833">
        <f t="shared" ref="G12:G18" si="0">SUM(E12:F12)</f>
        <v>55529</v>
      </c>
      <c r="H12" s="1041">
        <v>58470</v>
      </c>
      <c r="I12" s="1040"/>
      <c r="J12" s="1833">
        <f t="shared" ref="J12:J18" si="1">SUM(H12:I12)</f>
        <v>58470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8" t="s">
        <v>7</v>
      </c>
      <c r="C18" s="2349"/>
      <c r="D18" s="2350"/>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55529</v>
      </c>
      <c r="F19" s="1835">
        <f t="shared" si="2"/>
        <v>0</v>
      </c>
      <c r="G19" s="1835">
        <f t="shared" si="2"/>
        <v>55529</v>
      </c>
      <c r="H19" s="1835">
        <f t="shared" si="2"/>
        <v>58470</v>
      </c>
      <c r="I19" s="1835">
        <f t="shared" si="2"/>
        <v>0</v>
      </c>
      <c r="J19" s="1835">
        <f t="shared" si="2"/>
        <v>58470</v>
      </c>
    </row>
    <row r="20" spans="1:10" ht="13.5" thickTop="1" x14ac:dyDescent="0.2">
      <c r="A20" s="1036">
        <v>9</v>
      </c>
      <c r="B20" s="2351" t="s">
        <v>1703</v>
      </c>
      <c r="C20" s="2351"/>
      <c r="D20" s="2352"/>
      <c r="E20" s="1047"/>
      <c r="F20" s="1047"/>
      <c r="G20" s="1047"/>
      <c r="H20" s="1047"/>
      <c r="I20" s="1047"/>
      <c r="J20" s="1836">
        <f>IF(AND(G19&gt;0,J19&gt;0),(((J19-G19)/G19)),"Enter Budget Data")</f>
        <v>5.2963316465270402E-2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4" sqref="A44:H4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2112</v>
      </c>
    </row>
    <row r="6" spans="1:2" x14ac:dyDescent="0.2">
      <c r="A6" s="1069"/>
    </row>
    <row r="7" spans="1:2" x14ac:dyDescent="0.2">
      <c r="A7" s="1069">
        <v>2</v>
      </c>
      <c r="B7" s="329" t="s">
        <v>2113</v>
      </c>
    </row>
    <row r="8" spans="1:2" x14ac:dyDescent="0.2">
      <c r="A8" s="1069"/>
    </row>
    <row r="9" spans="1:2" x14ac:dyDescent="0.2">
      <c r="A9" s="1070">
        <v>3</v>
      </c>
      <c r="B9" s="329" t="s">
        <v>2114</v>
      </c>
    </row>
    <row r="10" spans="1:2" x14ac:dyDescent="0.2">
      <c r="A10" s="1070"/>
    </row>
    <row r="11" spans="1:2" x14ac:dyDescent="0.2">
      <c r="A11" s="1070">
        <v>4</v>
      </c>
      <c r="B11" s="329" t="s">
        <v>2115</v>
      </c>
    </row>
    <row r="12" spans="1:2" x14ac:dyDescent="0.2">
      <c r="A12" s="1070"/>
    </row>
    <row r="13" spans="1:2" x14ac:dyDescent="0.2">
      <c r="A13" s="1070">
        <v>5</v>
      </c>
      <c r="B13" s="329" t="s">
        <v>2116</v>
      </c>
    </row>
    <row r="14" spans="1:2" x14ac:dyDescent="0.2">
      <c r="A14" s="1070"/>
    </row>
    <row r="15" spans="1:2" x14ac:dyDescent="0.2">
      <c r="A15" s="1070">
        <v>6</v>
      </c>
      <c r="B15" s="329" t="s">
        <v>2117</v>
      </c>
    </row>
    <row r="16" spans="1:2" x14ac:dyDescent="0.2">
      <c r="A16" s="1070"/>
    </row>
    <row r="17" spans="1:2" x14ac:dyDescent="0.2">
      <c r="A17" s="1070">
        <v>7</v>
      </c>
      <c r="B17" s="329" t="s">
        <v>2118</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Akin CCSD 91</v>
      </c>
    </row>
    <row r="65" spans="2:2" x14ac:dyDescent="0.2">
      <c r="B65" s="1071">
        <f>COVER!A13</f>
        <v>21028091004</v>
      </c>
    </row>
  </sheetData>
  <phoneticPr fontId="14"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4" sqref="A44:H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1" sqref="C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6" r:id="rId4">
          <objectPr defaultSize="0" r:id="rId5">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4198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4" sqref="A44:H4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2056</v>
      </c>
      <c r="B4" s="2379"/>
      <c r="C4" s="2379"/>
      <c r="D4" s="2379"/>
      <c r="E4" s="2379"/>
      <c r="F4" s="2380"/>
      <c r="G4" s="1075"/>
      <c r="H4" s="1075"/>
    </row>
    <row r="5" spans="1:8" ht="14.25" customHeight="1" x14ac:dyDescent="0.2">
      <c r="A5" s="2381" t="s">
        <v>2057</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1136583</v>
      </c>
      <c r="C8" s="1837">
        <f>'Acct Summary 7-8'!D8</f>
        <v>429681</v>
      </c>
      <c r="D8" s="1837">
        <f>'Acct Summary 7-8'!F8</f>
        <v>81957</v>
      </c>
      <c r="E8" s="1837">
        <f>'Acct Summary 7-8'!I8</f>
        <v>16319</v>
      </c>
      <c r="F8" s="1837">
        <f>SUM(B8:E8)</f>
        <v>1664540</v>
      </c>
    </row>
    <row r="9" spans="1:8" s="1080" customFormat="1" ht="14.25" customHeight="1" thickBot="1" x14ac:dyDescent="0.25">
      <c r="A9" s="1079" t="s">
        <v>1436</v>
      </c>
      <c r="B9" s="1838">
        <f>'Acct Summary 7-8'!C17</f>
        <v>1012746</v>
      </c>
      <c r="C9" s="1838">
        <f>'Acct Summary 7-8'!D17</f>
        <v>339193</v>
      </c>
      <c r="D9" s="1838">
        <f>'Acct Summary 7-8'!F17</f>
        <v>147733</v>
      </c>
      <c r="E9" s="1837"/>
      <c r="F9" s="1837">
        <f>SUM(B9:E9)</f>
        <v>1499672</v>
      </c>
    </row>
    <row r="10" spans="1:8" s="1080" customFormat="1" ht="14.25" thickTop="1" thickBot="1" x14ac:dyDescent="0.25">
      <c r="A10" s="1081" t="s">
        <v>1437</v>
      </c>
      <c r="B10" s="1839">
        <f>(B8-B9)</f>
        <v>123837</v>
      </c>
      <c r="C10" s="1839">
        <f>(C8-C9)</f>
        <v>90488</v>
      </c>
      <c r="D10" s="1839">
        <f>(D8-D9)</f>
        <v>-65776</v>
      </c>
      <c r="E10" s="1838">
        <f>(E8-E9)</f>
        <v>16319</v>
      </c>
      <c r="F10" s="1840">
        <f>SUM(F8-F9)</f>
        <v>164868</v>
      </c>
    </row>
    <row r="11" spans="1:8" s="1080" customFormat="1" ht="14.25" thickTop="1" thickBot="1" x14ac:dyDescent="0.25">
      <c r="A11" s="1082" t="s">
        <v>1785</v>
      </c>
      <c r="B11" s="1841">
        <f>'Acct Summary 7-8'!C81</f>
        <v>1211058</v>
      </c>
      <c r="C11" s="1841">
        <f>'Acct Summary 7-8'!D81</f>
        <v>348421</v>
      </c>
      <c r="D11" s="1841">
        <f>'Acct Summary 7-8'!F81</f>
        <v>285724</v>
      </c>
      <c r="E11" s="1841">
        <f>'Acct Summary 7-8'!I81</f>
        <v>83374</v>
      </c>
      <c r="F11" s="1842">
        <f>SUM(B11:E11)</f>
        <v>1928577</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A44" sqref="A44:H4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21028091004</v>
      </c>
    </row>
    <row r="3" spans="1:2" x14ac:dyDescent="0.2">
      <c r="A3" t="s">
        <v>1013</v>
      </c>
      <c r="B3" s="138" t="str">
        <f>COVER!A15</f>
        <v>FRANKLIN</v>
      </c>
    </row>
    <row r="4" spans="1:2" x14ac:dyDescent="0.2">
      <c r="A4" t="s">
        <v>1064</v>
      </c>
      <c r="B4" s="138" t="str">
        <f>COVER!A17</f>
        <v>Akin CCSD 91</v>
      </c>
    </row>
    <row r="5" spans="1:2" x14ac:dyDescent="0.2">
      <c r="A5" t="s">
        <v>728</v>
      </c>
      <c r="B5" s="138" t="str">
        <f>COVER!A38</f>
        <v>TAMMY McCOLLUM</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1211058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1206599</v>
      </c>
      <c r="D92" s="2" t="str">
        <f t="shared" si="0"/>
        <v>Error?</v>
      </c>
    </row>
    <row r="93" spans="1:4" x14ac:dyDescent="0.2">
      <c r="A93" s="5">
        <v>32</v>
      </c>
      <c r="B93" s="138">
        <f>'Assets-Liab 5-6'!C41</f>
        <v>1211058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348421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348421</v>
      </c>
      <c r="D123" s="2" t="str">
        <f t="shared" si="0"/>
        <v>Error?</v>
      </c>
    </row>
    <row r="124" spans="1:4" x14ac:dyDescent="0.2">
      <c r="A124" s="5">
        <v>63</v>
      </c>
      <c r="B124" s="138">
        <f>'Assets-Liab 5-6'!D41</f>
        <v>348421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19722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19722</v>
      </c>
      <c r="D140" s="2" t="str">
        <f t="shared" si="1"/>
        <v>Error?</v>
      </c>
    </row>
    <row r="141" spans="1:4" x14ac:dyDescent="0.2">
      <c r="A141" s="5">
        <v>80</v>
      </c>
      <c r="B141" s="138">
        <f>'Assets-Liab 5-6'!E41</f>
        <v>19722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285724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285724</v>
      </c>
      <c r="D170" s="2" t="str">
        <f t="shared" si="1"/>
        <v>Error?</v>
      </c>
    </row>
    <row r="171" spans="1:4" x14ac:dyDescent="0.2">
      <c r="A171" s="5">
        <v>110</v>
      </c>
      <c r="B171" s="138">
        <f>'Assets-Liab 5-6'!F41</f>
        <v>285724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144975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70390</v>
      </c>
      <c r="D189" s="2" t="str">
        <f t="shared" si="1"/>
        <v>Error?</v>
      </c>
    </row>
    <row r="190" spans="1:4" x14ac:dyDescent="0.2">
      <c r="A190" s="5">
        <v>129</v>
      </c>
      <c r="B190" s="138">
        <f>'Assets-Liab 5-6'!G41</f>
        <v>144975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25500</v>
      </c>
      <c r="D273" s="2" t="str">
        <f t="shared" si="3"/>
        <v>Error?</v>
      </c>
    </row>
    <row r="274" spans="1:4" x14ac:dyDescent="0.2">
      <c r="A274" s="5">
        <v>213</v>
      </c>
      <c r="B274" s="138">
        <f>'Assets-Liab 5-6'!M17</f>
        <v>1157559</v>
      </c>
      <c r="D274" s="2" t="str">
        <f t="shared" si="3"/>
        <v>Error?</v>
      </c>
    </row>
    <row r="275" spans="1:4" x14ac:dyDescent="0.2">
      <c r="A275" s="5">
        <v>214</v>
      </c>
      <c r="B275" s="138">
        <f>'Assets-Liab 5-6'!M18</f>
        <v>147476</v>
      </c>
      <c r="D275" s="2" t="str">
        <f t="shared" si="3"/>
        <v>Error?</v>
      </c>
    </row>
    <row r="276" spans="1:4" x14ac:dyDescent="0.2">
      <c r="A276" s="5">
        <v>215</v>
      </c>
      <c r="B276" s="138">
        <f>'Assets-Liab 5-6'!M19</f>
        <v>738255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2068790</v>
      </c>
      <c r="C279" s="2" t="s">
        <v>594</v>
      </c>
      <c r="D279" s="2" t="str">
        <f t="shared" si="3"/>
        <v>Error?</v>
      </c>
    </row>
    <row r="280" spans="1:4" x14ac:dyDescent="0.2">
      <c r="A280" s="5">
        <v>219</v>
      </c>
      <c r="B280" s="138">
        <f>'Assets-Liab 5-6'!M40</f>
        <v>2068790</v>
      </c>
      <c r="D280" s="2" t="str">
        <f t="shared" si="3"/>
        <v>Error?</v>
      </c>
    </row>
    <row r="281" spans="1:4" x14ac:dyDescent="0.2">
      <c r="A281" s="5">
        <v>220</v>
      </c>
      <c r="B281" s="138">
        <f>'Assets-Liab 5-6'!M41</f>
        <v>2068790</v>
      </c>
      <c r="C281" s="2" t="s">
        <v>594</v>
      </c>
      <c r="D281" s="2" t="str">
        <f t="shared" si="3"/>
        <v>Error?</v>
      </c>
    </row>
    <row r="282" spans="1:4" x14ac:dyDescent="0.2">
      <c r="A282" s="5">
        <v>221</v>
      </c>
      <c r="B282" s="138">
        <f>'Assets-Liab 5-6'!N21</f>
        <v>19722</v>
      </c>
      <c r="D282" s="2" t="str">
        <f t="shared" si="3"/>
        <v>Error?</v>
      </c>
    </row>
    <row r="283" spans="1:4" x14ac:dyDescent="0.2">
      <c r="A283" s="5">
        <v>222</v>
      </c>
      <c r="B283" s="138">
        <f>'Assets-Liab 5-6'!N22</f>
        <v>90278</v>
      </c>
      <c r="D283" s="2" t="str">
        <f t="shared" si="3"/>
        <v>Error?</v>
      </c>
    </row>
    <row r="284" spans="1:4" x14ac:dyDescent="0.2">
      <c r="A284" s="5">
        <v>223</v>
      </c>
      <c r="B284" s="138">
        <f>'Assets-Liab 5-6'!N23</f>
        <v>110000</v>
      </c>
      <c r="C284" s="2" t="s">
        <v>594</v>
      </c>
      <c r="D284" s="2" t="str">
        <f t="shared" si="3"/>
        <v>Error?</v>
      </c>
    </row>
    <row r="285" spans="1:4" x14ac:dyDescent="0.2">
      <c r="A285" s="5">
        <v>224</v>
      </c>
      <c r="B285" s="138">
        <f>'Assets-Liab 5-6'!N36</f>
        <v>110000</v>
      </c>
      <c r="D285" s="2" t="str">
        <f t="shared" si="3"/>
        <v>Error?</v>
      </c>
    </row>
    <row r="286" spans="1:4" x14ac:dyDescent="0.2">
      <c r="A286" s="10">
        <v>225</v>
      </c>
      <c r="D286" s="2" t="str">
        <f t="shared" si="3"/>
        <v>OK</v>
      </c>
    </row>
    <row r="287" spans="1:4" x14ac:dyDescent="0.2">
      <c r="A287" s="5">
        <v>226</v>
      </c>
      <c r="B287" s="138">
        <f>'Assets-Liab 5-6'!N37</f>
        <v>110000</v>
      </c>
      <c r="C287" s="2" t="s">
        <v>594</v>
      </c>
      <c r="D287" s="2" t="str">
        <f t="shared" si="3"/>
        <v>Error?</v>
      </c>
    </row>
    <row r="288" spans="1:4" x14ac:dyDescent="0.2">
      <c r="A288" s="5">
        <v>227</v>
      </c>
      <c r="B288" s="138">
        <f>'Assets-Liab 5-6'!N41</f>
        <v>110000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418962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508646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4907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4907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43100</v>
      </c>
      <c r="D733" s="2" t="str">
        <f t="shared" si="10"/>
        <v>Error?</v>
      </c>
    </row>
    <row r="734" spans="1:4" x14ac:dyDescent="0.2">
      <c r="A734" s="5">
        <v>673</v>
      </c>
      <c r="B734" s="138">
        <f>'Expenditures 15-22'!C53</f>
        <v>43100</v>
      </c>
      <c r="C734" s="2" t="s">
        <v>594</v>
      </c>
      <c r="D734" s="2" t="str">
        <f t="shared" si="10"/>
        <v>Error?</v>
      </c>
    </row>
    <row r="735" spans="1:4" x14ac:dyDescent="0.2">
      <c r="A735" s="5">
        <v>674</v>
      </c>
      <c r="B735" s="138">
        <f>'Expenditures 15-22'!C55</f>
        <v>54855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54855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60476</v>
      </c>
      <c r="D739" s="2" t="str">
        <f t="shared" si="10"/>
        <v>Error?</v>
      </c>
    </row>
    <row r="740" spans="1:4" x14ac:dyDescent="0.2">
      <c r="A740" s="5">
        <v>679</v>
      </c>
      <c r="B740" s="138">
        <f>'Expenditures 15-22'!C61</f>
        <v>425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20151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81052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183914</v>
      </c>
      <c r="C755" s="2" t="s">
        <v>594</v>
      </c>
      <c r="D755" s="2" t="str">
        <f t="shared" si="10"/>
        <v>Error?</v>
      </c>
    </row>
    <row r="756" spans="1:4" x14ac:dyDescent="0.2">
      <c r="A756" s="5">
        <v>695</v>
      </c>
      <c r="B756" s="138">
        <f>'Expenditures 15-22'!C75</f>
        <v>4280</v>
      </c>
      <c r="D756" s="2" t="str">
        <f t="shared" si="10"/>
        <v>Error?</v>
      </c>
    </row>
    <row r="757" spans="1:4" x14ac:dyDescent="0.2">
      <c r="A757" s="5">
        <v>696</v>
      </c>
      <c r="B757" s="138">
        <f>'Expenditures 15-22'!C114</f>
        <v>696840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108770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123001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439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7158</v>
      </c>
      <c r="D791" s="2" t="str">
        <f t="shared" si="11"/>
        <v>Error?</v>
      </c>
    </row>
    <row r="792" spans="1:4" x14ac:dyDescent="0.2">
      <c r="A792" s="5">
        <v>731</v>
      </c>
      <c r="B792" s="138">
        <f>'Expenditures 15-22'!D53</f>
        <v>7158</v>
      </c>
      <c r="C792" s="2" t="s">
        <v>594</v>
      </c>
      <c r="D792" s="2" t="str">
        <f t="shared" si="11"/>
        <v>Error?</v>
      </c>
    </row>
    <row r="793" spans="1:4" x14ac:dyDescent="0.2">
      <c r="A793" s="5">
        <v>732</v>
      </c>
      <c r="B793" s="138">
        <f>'Expenditures 15-22'!D55</f>
        <v>9111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9111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21754</v>
      </c>
      <c r="C813" s="2" t="s">
        <v>594</v>
      </c>
      <c r="D813" s="2" t="str">
        <f t="shared" si="11"/>
        <v>Error?</v>
      </c>
    </row>
    <row r="814" spans="1:4" x14ac:dyDescent="0.2">
      <c r="A814" s="5">
        <v>753</v>
      </c>
      <c r="B814" s="138">
        <f>'Expenditures 15-22'!D75</f>
        <v>341</v>
      </c>
      <c r="D814" s="2" t="str">
        <f t="shared" si="11"/>
        <v>Error?</v>
      </c>
    </row>
    <row r="815" spans="1:4" x14ac:dyDescent="0.2">
      <c r="A815" s="5">
        <v>754</v>
      </c>
      <c r="B815" s="138">
        <f>'Expenditures 15-22'!D114</f>
        <v>145096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20459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24443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9584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9584</v>
      </c>
      <c r="C843" s="2" t="s">
        <v>594</v>
      </c>
      <c r="D843" s="2" t="str">
        <f t="shared" si="12"/>
        <v>Error?</v>
      </c>
    </row>
    <row r="844" spans="1:4" x14ac:dyDescent="0.2">
      <c r="A844" s="5">
        <v>783</v>
      </c>
      <c r="B844" s="138">
        <f>'Expenditures 15-22'!E44</f>
        <v>7303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7303</v>
      </c>
      <c r="C847" s="2" t="s">
        <v>594</v>
      </c>
      <c r="D847" s="2" t="str">
        <f t="shared" si="12"/>
        <v>Error?</v>
      </c>
    </row>
    <row r="848" spans="1:4" x14ac:dyDescent="0.2">
      <c r="A848" s="5">
        <v>787</v>
      </c>
      <c r="B848" s="138">
        <f>'Expenditures 15-22'!E49</f>
        <v>8809</v>
      </c>
      <c r="D848" s="2" t="str">
        <f t="shared" si="12"/>
        <v>Error?</v>
      </c>
    </row>
    <row r="849" spans="1:4" x14ac:dyDescent="0.2">
      <c r="A849" s="5">
        <v>788</v>
      </c>
      <c r="B849" s="138">
        <f>'Expenditures 15-22'!E50</f>
        <v>4679</v>
      </c>
      <c r="D849" s="2" t="str">
        <f t="shared" si="12"/>
        <v>Error?</v>
      </c>
    </row>
    <row r="850" spans="1:4" x14ac:dyDescent="0.2">
      <c r="A850" s="5">
        <v>789</v>
      </c>
      <c r="B850" s="138">
        <f>'Expenditures 15-22'!E53</f>
        <v>13488</v>
      </c>
      <c r="C850" s="2" t="s">
        <v>594</v>
      </c>
      <c r="D850" s="2" t="str">
        <f t="shared" si="12"/>
        <v>Error?</v>
      </c>
    </row>
    <row r="851" spans="1:4" x14ac:dyDescent="0.2">
      <c r="A851" s="5">
        <v>790</v>
      </c>
      <c r="B851" s="138">
        <f>'Expenditures 15-22'!E55</f>
        <v>1656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10972</v>
      </c>
      <c r="D855" s="2" t="str">
        <f t="shared" si="12"/>
        <v>Error?</v>
      </c>
    </row>
    <row r="856" spans="1:4" x14ac:dyDescent="0.2">
      <c r="A856" s="5">
        <v>795</v>
      </c>
      <c r="B856" s="138">
        <f>'Expenditures 15-22'!E61</f>
        <v>38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12142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44173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73486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32408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37890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4271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4271</v>
      </c>
      <c r="C905" s="2" t="s">
        <v>594</v>
      </c>
      <c r="D905" s="2" t="str">
        <f t="shared" si="13"/>
        <v>Error?</v>
      </c>
    </row>
    <row r="906" spans="1:4" x14ac:dyDescent="0.2">
      <c r="A906" s="5">
        <v>845</v>
      </c>
      <c r="B906" s="138">
        <f>'Expenditures 15-22'!F49</f>
        <v>2610</v>
      </c>
      <c r="D906" s="2" t="str">
        <f t="shared" si="13"/>
        <v>Error?</v>
      </c>
    </row>
    <row r="907" spans="1:4" x14ac:dyDescent="0.2">
      <c r="A907" s="5">
        <v>846</v>
      </c>
      <c r="B907" s="138">
        <f>'Expenditures 15-22'!F50</f>
        <v>592</v>
      </c>
      <c r="D907" s="2" t="str">
        <f t="shared" si="13"/>
        <v>Error?</v>
      </c>
    </row>
    <row r="908" spans="1:4" x14ac:dyDescent="0.2">
      <c r="A908" s="5">
        <v>847</v>
      </c>
      <c r="B908" s="138">
        <f>'Expenditures 15-22'!F53</f>
        <v>3202</v>
      </c>
      <c r="C908" s="2" t="s">
        <v>594</v>
      </c>
      <c r="D908" s="2" t="str">
        <f t="shared" si="13"/>
        <v>Error?</v>
      </c>
    </row>
    <row r="909" spans="1:4" x14ac:dyDescent="0.2">
      <c r="A909" s="5">
        <v>848</v>
      </c>
      <c r="B909" s="138">
        <f>'Expenditures 15-22'!F55</f>
        <v>4311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4311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27825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31911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43695</v>
      </c>
      <c r="C929" s="2" t="s">
        <v>594</v>
      </c>
      <c r="D929" s="2" t="str">
        <f t="shared" si="13"/>
        <v>Error?</v>
      </c>
    </row>
    <row r="930" spans="1:4" x14ac:dyDescent="0.2">
      <c r="A930" s="5">
        <v>869</v>
      </c>
      <c r="B930" s="138">
        <f>'Expenditures 15-22'!F75</f>
        <v>27</v>
      </c>
      <c r="D930" s="2" t="str">
        <f t="shared" si="13"/>
        <v>Error?</v>
      </c>
    </row>
    <row r="931" spans="1:4" x14ac:dyDescent="0.2">
      <c r="A931" s="5">
        <v>870</v>
      </c>
      <c r="B931" s="138">
        <f>'Expenditures 15-22'!F114</f>
        <v>81612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13775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1904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1904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15679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583598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14694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707788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9584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9584</v>
      </c>
      <c r="C1115" s="2" t="s">
        <v>594</v>
      </c>
      <c r="D1115" s="2" t="str">
        <f t="shared" si="16"/>
        <v>Error?</v>
      </c>
    </row>
    <row r="1116" spans="1:4" x14ac:dyDescent="0.2">
      <c r="A1116" s="5">
        <v>1055</v>
      </c>
      <c r="B1116" s="138">
        <f>'Expenditures 15-22'!K44</f>
        <v>18824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18824</v>
      </c>
      <c r="C1119" s="2" t="s">
        <v>594</v>
      </c>
      <c r="D1119" s="2" t="str">
        <f t="shared" si="16"/>
        <v>Error?</v>
      </c>
    </row>
    <row r="1120" spans="1:4" x14ac:dyDescent="0.2">
      <c r="A1120" s="5">
        <v>1059</v>
      </c>
      <c r="B1120" s="138">
        <f>'Expenditures 15-22'!K49</f>
        <v>11419</v>
      </c>
      <c r="C1120" s="2" t="s">
        <v>594</v>
      </c>
      <c r="D1120" s="2" t="str">
        <f t="shared" si="16"/>
        <v>Error?</v>
      </c>
    </row>
    <row r="1121" spans="1:4" x14ac:dyDescent="0.2">
      <c r="A1121" s="5">
        <v>1060</v>
      </c>
      <c r="B1121" s="138">
        <f>'Expenditures 15-22'!K50</f>
        <v>55529</v>
      </c>
      <c r="C1121" s="2" t="s">
        <v>594</v>
      </c>
      <c r="D1121" s="2" t="str">
        <f t="shared" si="16"/>
        <v>Error?</v>
      </c>
    </row>
    <row r="1122" spans="1:4" x14ac:dyDescent="0.2">
      <c r="A1122" s="5">
        <v>1061</v>
      </c>
      <c r="B1122" s="138">
        <f>'Expenditures 15-22'!K53</f>
        <v>66948</v>
      </c>
      <c r="C1122" s="2" t="s">
        <v>594</v>
      </c>
      <c r="D1122" s="2" t="str">
        <f t="shared" si="16"/>
        <v>Error?</v>
      </c>
    </row>
    <row r="1123" spans="1:4" x14ac:dyDescent="0.2">
      <c r="A1123" s="5">
        <v>1062</v>
      </c>
      <c r="B1123" s="138">
        <f>'Expenditures 15-22'!K55</f>
        <v>69933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69933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78057</v>
      </c>
      <c r="C1127" s="2" t="s">
        <v>594</v>
      </c>
      <c r="D1127" s="2" t="str">
        <f t="shared" si="16"/>
        <v>Error?</v>
      </c>
    </row>
    <row r="1128" spans="1:4" x14ac:dyDescent="0.2">
      <c r="A1128" s="5">
        <v>1067</v>
      </c>
      <c r="B1128" s="138">
        <f>'Expenditures 15-22'!K61</f>
        <v>463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51631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130151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295440</v>
      </c>
      <c r="C1143" s="2" t="s">
        <v>594</v>
      </c>
      <c r="D1143" s="2" t="str">
        <f t="shared" si="16"/>
        <v>Error?</v>
      </c>
    </row>
    <row r="1144" spans="1:4" x14ac:dyDescent="0.2">
      <c r="A1144" s="5">
        <v>1083</v>
      </c>
      <c r="B1144" s="138">
        <f>'Expenditures 15-22'!K75</f>
        <v>4648</v>
      </c>
      <c r="C1144" s="2" t="s">
        <v>594</v>
      </c>
      <c r="D1144" s="2" t="str">
        <f t="shared" si="16"/>
        <v>Error?</v>
      </c>
    </row>
    <row r="1145" spans="1:4" x14ac:dyDescent="0.2">
      <c r="A1145" s="5">
        <v>1084</v>
      </c>
      <c r="B1145" s="138">
        <f>'Expenditures 15-22'!K102</f>
        <v>4870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1012746</v>
      </c>
      <c r="C1152" s="2" t="s">
        <v>594</v>
      </c>
      <c r="D1152" s="2" t="str">
        <f t="shared" si="17"/>
        <v>Error?</v>
      </c>
    </row>
    <row r="1153" spans="1:4" x14ac:dyDescent="0.2">
      <c r="A1153" s="5">
        <v>1092</v>
      </c>
      <c r="B1153" s="138">
        <f>'Expenditures 15-22'!K115</f>
        <v>123837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39640</v>
      </c>
      <c r="D1221" s="2" t="str">
        <f t="shared" si="18"/>
        <v>Error?</v>
      </c>
    </row>
    <row r="1222" spans="1:4" x14ac:dyDescent="0.2">
      <c r="A1222" s="10">
        <v>1161</v>
      </c>
      <c r="D1222" s="2" t="str">
        <f t="shared" si="18"/>
        <v>OK</v>
      </c>
    </row>
    <row r="1223" spans="1:4" x14ac:dyDescent="0.2">
      <c r="A1223" s="5">
        <v>1162</v>
      </c>
      <c r="B1223" s="138">
        <f>'Expenditures 15-22'!C127</f>
        <v>39640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39640</v>
      </c>
      <c r="C1225" s="2" t="s">
        <v>594</v>
      </c>
      <c r="D1225" s="2" t="str">
        <f t="shared" si="18"/>
        <v>Error?</v>
      </c>
    </row>
    <row r="1226" spans="1:4" x14ac:dyDescent="0.2">
      <c r="A1226" s="5">
        <v>1165</v>
      </c>
      <c r="B1226" s="138">
        <f>'Expenditures 15-22'!C151</f>
        <v>39640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v>
      </c>
      <c r="D1229" s="2" t="str">
        <f t="shared" si="18"/>
        <v>Error?</v>
      </c>
    </row>
    <row r="1230" spans="1:4" x14ac:dyDescent="0.2">
      <c r="A1230" s="10">
        <v>1169</v>
      </c>
      <c r="D1230" s="2" t="str">
        <f t="shared" si="18"/>
        <v>OK</v>
      </c>
    </row>
    <row r="1231" spans="1:4" x14ac:dyDescent="0.2">
      <c r="A1231" s="5">
        <v>1170</v>
      </c>
      <c r="B1231" s="138">
        <f>'Expenditures 15-22'!D127</f>
        <v>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v>
      </c>
      <c r="C1233" s="2" t="s">
        <v>594</v>
      </c>
      <c r="D1233" s="2" t="str">
        <f t="shared" si="18"/>
        <v>Error?</v>
      </c>
    </row>
    <row r="1234" spans="1:4" x14ac:dyDescent="0.2">
      <c r="A1234" s="5">
        <v>1173</v>
      </c>
      <c r="B1234" s="138">
        <f>'Expenditures 15-22'!D151</f>
        <v>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18475</v>
      </c>
      <c r="D1237" s="2" t="str">
        <f t="shared" si="18"/>
        <v>Error?</v>
      </c>
    </row>
    <row r="1238" spans="1:4" x14ac:dyDescent="0.2">
      <c r="A1238" s="10">
        <v>1177</v>
      </c>
      <c r="D1238" s="2" t="str">
        <f t="shared" si="18"/>
        <v>OK</v>
      </c>
    </row>
    <row r="1239" spans="1:4" x14ac:dyDescent="0.2">
      <c r="A1239" s="5">
        <v>1178</v>
      </c>
      <c r="B1239" s="138">
        <f>'Expenditures 15-22'!E127</f>
        <v>18475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18475</v>
      </c>
      <c r="C1241" s="2" t="s">
        <v>594</v>
      </c>
      <c r="D1241" s="2" t="str">
        <f t="shared" si="18"/>
        <v>Error?</v>
      </c>
    </row>
    <row r="1242" spans="1:4" x14ac:dyDescent="0.2">
      <c r="A1242" s="5">
        <v>1181</v>
      </c>
      <c r="B1242" s="138">
        <f>'Expenditures 15-22'!E151</f>
        <v>18475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49450</v>
      </c>
      <c r="D1245" s="2" t="str">
        <f t="shared" si="18"/>
        <v>Error?</v>
      </c>
    </row>
    <row r="1246" spans="1:4" x14ac:dyDescent="0.2">
      <c r="A1246" s="10">
        <v>1185</v>
      </c>
      <c r="D1246" s="2" t="str">
        <f t="shared" si="18"/>
        <v>OK</v>
      </c>
    </row>
    <row r="1247" spans="1:4" x14ac:dyDescent="0.2">
      <c r="A1247" s="5">
        <v>1186</v>
      </c>
      <c r="B1247" s="138">
        <f>'Expenditures 15-22'!F127</f>
        <v>49450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49450</v>
      </c>
      <c r="C1249" s="2" t="s">
        <v>594</v>
      </c>
      <c r="D1249" s="2" t="str">
        <f t="shared" si="18"/>
        <v>Error?</v>
      </c>
    </row>
    <row r="1250" spans="1:4" x14ac:dyDescent="0.2">
      <c r="A1250" s="5">
        <v>1189</v>
      </c>
      <c r="B1250" s="138">
        <f>'Expenditures 15-22'!F151</f>
        <v>49450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231575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231575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231575</v>
      </c>
      <c r="C1258" s="2" t="s">
        <v>594</v>
      </c>
      <c r="D1258" s="2" t="str">
        <f t="shared" si="18"/>
        <v>Error?</v>
      </c>
    </row>
    <row r="1259" spans="1:4" x14ac:dyDescent="0.2">
      <c r="A1259" s="5">
        <v>1198</v>
      </c>
      <c r="B1259" s="138">
        <f>'Expenditures 15-22'!G151</f>
        <v>231575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339193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339193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339193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339193</v>
      </c>
      <c r="C1288" s="2" t="s">
        <v>594</v>
      </c>
      <c r="D1288" s="2" t="str">
        <f t="shared" si="19"/>
        <v>Error?</v>
      </c>
    </row>
    <row r="1289" spans="1:4" x14ac:dyDescent="0.2">
      <c r="A1289" s="5">
        <v>1228</v>
      </c>
      <c r="B1289" s="138">
        <f>'Expenditures 15-22'!K152</f>
        <v>90488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28964</v>
      </c>
      <c r="C1317" s="2" t="s">
        <v>594</v>
      </c>
      <c r="D1317" s="2" t="str">
        <f t="shared" si="19"/>
        <v>Error?</v>
      </c>
    </row>
    <row r="1318" spans="1:4" x14ac:dyDescent="0.2">
      <c r="A1318" s="5">
        <v>1257</v>
      </c>
      <c r="B1318" s="138">
        <f>'Expenditures 15-22'!H174</f>
        <v>28964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2964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28964</v>
      </c>
      <c r="C1331" s="2" t="s">
        <v>594</v>
      </c>
      <c r="D1331" s="2" t="str">
        <f t="shared" si="19"/>
        <v>Error?</v>
      </c>
    </row>
    <row r="1332" spans="1:4" x14ac:dyDescent="0.2">
      <c r="A1332" s="5">
        <v>1271</v>
      </c>
      <c r="B1332" s="138">
        <f>'Expenditures 15-22'!K174</f>
        <v>28964</v>
      </c>
      <c r="C1332" s="2" t="s">
        <v>594</v>
      </c>
      <c r="D1332" s="2" t="str">
        <f t="shared" si="19"/>
        <v>Error?</v>
      </c>
    </row>
    <row r="1333" spans="1:4" x14ac:dyDescent="0.2">
      <c r="A1333" s="5">
        <v>1272</v>
      </c>
      <c r="B1333" s="138">
        <f>'Expenditures 15-22'!K175</f>
        <v>3495</v>
      </c>
      <c r="C1333" s="2" t="s">
        <v>594</v>
      </c>
      <c r="D1333" s="2" t="str">
        <f t="shared" si="19"/>
        <v>Error?</v>
      </c>
    </row>
    <row r="1334" spans="1:4" x14ac:dyDescent="0.2">
      <c r="A1334" s="10">
        <v>1273</v>
      </c>
      <c r="D1334" s="2" t="str">
        <f t="shared" si="19"/>
        <v>OK</v>
      </c>
    </row>
    <row r="1335" spans="1:4" x14ac:dyDescent="0.2">
      <c r="A1335" s="5">
        <v>1274</v>
      </c>
      <c r="B1335" s="138">
        <f>'Expenditures 15-22'!C182</f>
        <v>18475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18475</v>
      </c>
      <c r="C1339" s="2" t="s">
        <v>594</v>
      </c>
      <c r="D1339" s="2" t="str">
        <f t="shared" si="19"/>
        <v>Error?</v>
      </c>
    </row>
    <row r="1340" spans="1:4" x14ac:dyDescent="0.2">
      <c r="A1340" s="5">
        <v>1279</v>
      </c>
      <c r="B1340" s="138">
        <f>'Expenditures 15-22'!C210</f>
        <v>18475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158</v>
      </c>
      <c r="C1353" s="2" t="s">
        <v>594</v>
      </c>
      <c r="D1353" s="2" t="str">
        <f t="shared" si="20"/>
        <v>Error?</v>
      </c>
    </row>
    <row r="1354" spans="1:4" x14ac:dyDescent="0.2">
      <c r="A1354" s="5">
        <v>1293</v>
      </c>
      <c r="B1354" s="138">
        <f>'Expenditures 15-22'!F182</f>
        <v>7295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7295</v>
      </c>
      <c r="C1358" s="2" t="s">
        <v>594</v>
      </c>
      <c r="D1358" s="2" t="str">
        <f t="shared" si="20"/>
        <v>Error?</v>
      </c>
    </row>
    <row r="1359" spans="1:4" x14ac:dyDescent="0.2">
      <c r="A1359" s="5">
        <v>1298</v>
      </c>
      <c r="B1359" s="138">
        <f>'Expenditures 15-22'!F210</f>
        <v>7295</v>
      </c>
      <c r="C1359" s="2" t="s">
        <v>594</v>
      </c>
      <c r="D1359" s="2" t="str">
        <f t="shared" si="20"/>
        <v>Error?</v>
      </c>
    </row>
    <row r="1360" spans="1:4" x14ac:dyDescent="0.2">
      <c r="A1360" s="5">
        <v>1299</v>
      </c>
      <c r="B1360" s="138">
        <f>'Expenditures 15-22'!G182</f>
        <v>121805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121805</v>
      </c>
      <c r="C1364" s="2" t="s">
        <v>594</v>
      </c>
      <c r="D1364" s="2" t="str">
        <f t="shared" si="20"/>
        <v>Error?</v>
      </c>
    </row>
    <row r="1365" spans="1:4" x14ac:dyDescent="0.2">
      <c r="A1365" s="5">
        <v>1304</v>
      </c>
      <c r="B1365" s="138">
        <f>'Expenditures 15-22'!G210</f>
        <v>121805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147733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147733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147733</v>
      </c>
      <c r="C1388" s="2" t="s">
        <v>594</v>
      </c>
      <c r="D1388" s="2" t="str">
        <f t="shared" si="20"/>
        <v>Error?</v>
      </c>
    </row>
    <row r="1389" spans="1:4" x14ac:dyDescent="0.2">
      <c r="A1389" s="5">
        <v>1328</v>
      </c>
      <c r="B1389" s="138">
        <f>'Expenditures 15-22'!K211</f>
        <v>-65776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12773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157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622</v>
      </c>
      <c r="D1423" s="2" t="str">
        <f t="shared" si="21"/>
        <v>Error?</v>
      </c>
    </row>
    <row r="1424" spans="1:4" x14ac:dyDescent="0.2">
      <c r="A1424" s="5">
        <v>1363</v>
      </c>
      <c r="B1424" s="138">
        <f>'Expenditures 15-22'!D257</f>
        <v>622</v>
      </c>
      <c r="C1424" s="2" t="s">
        <v>594</v>
      </c>
      <c r="D1424" s="2" t="str">
        <f t="shared" si="21"/>
        <v>Error?</v>
      </c>
    </row>
    <row r="1425" spans="1:4" x14ac:dyDescent="0.2">
      <c r="A1425" s="5">
        <v>1364</v>
      </c>
      <c r="B1425" s="138">
        <f>'Expenditures 15-22'!D259</f>
        <v>792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792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6151</v>
      </c>
      <c r="D1431" s="2" t="str">
        <f t="shared" si="21"/>
        <v>Error?</v>
      </c>
    </row>
    <row r="1432" spans="1:4" x14ac:dyDescent="0.2">
      <c r="A1432" s="5">
        <v>1371</v>
      </c>
      <c r="B1432" s="138">
        <f>'Expenditures 15-22'!D267</f>
        <v>2548</v>
      </c>
      <c r="D1432" s="2" t="str">
        <f t="shared" si="21"/>
        <v>Error?</v>
      </c>
    </row>
    <row r="1433" spans="1:4" x14ac:dyDescent="0.2">
      <c r="A1433" s="5">
        <v>1372</v>
      </c>
      <c r="B1433" s="138">
        <f>'Expenditures 15-22'!D268</f>
        <v>3220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21748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23319</v>
      </c>
      <c r="C1446" s="2" t="s">
        <v>594</v>
      </c>
      <c r="D1446" s="2" t="str">
        <f t="shared" si="21"/>
        <v>Error?</v>
      </c>
    </row>
    <row r="1447" spans="1:4" x14ac:dyDescent="0.2">
      <c r="A1447" s="5">
        <v>1386</v>
      </c>
      <c r="B1447" s="138">
        <f>'Expenditures 15-22'!D280</f>
        <v>204</v>
      </c>
      <c r="D1447" s="2" t="str">
        <f t="shared" si="21"/>
        <v>Error?</v>
      </c>
    </row>
    <row r="1448" spans="1:4" x14ac:dyDescent="0.2">
      <c r="A1448" s="5">
        <v>1387</v>
      </c>
      <c r="B1448" s="138">
        <f>'Expenditures 15-22'!D295</f>
        <v>36296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614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12773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157</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157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622</v>
      </c>
      <c r="C1487" s="2" t="s">
        <v>594</v>
      </c>
      <c r="D1487" s="2" t="str">
        <f t="shared" si="22"/>
        <v>Error?</v>
      </c>
    </row>
    <row r="1488" spans="1:4" x14ac:dyDescent="0.2">
      <c r="A1488" s="5">
        <v>1427</v>
      </c>
      <c r="B1488" s="138">
        <f>'Expenditures 15-22'!K257</f>
        <v>622</v>
      </c>
      <c r="C1488" s="2" t="s">
        <v>594</v>
      </c>
      <c r="D1488" s="2" t="str">
        <f t="shared" si="22"/>
        <v>Error?</v>
      </c>
    </row>
    <row r="1489" spans="1:4" x14ac:dyDescent="0.2">
      <c r="A1489" s="5">
        <v>1428</v>
      </c>
      <c r="B1489" s="138">
        <f>'Expenditures 15-22'!K259</f>
        <v>792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792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9829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6151</v>
      </c>
      <c r="C1495" s="2" t="s">
        <v>594</v>
      </c>
      <c r="D1495" s="2" t="str">
        <f t="shared" si="22"/>
        <v>Error?</v>
      </c>
    </row>
    <row r="1496" spans="1:4" x14ac:dyDescent="0.2">
      <c r="A1496" s="5">
        <v>1435</v>
      </c>
      <c r="B1496" s="138">
        <f>'Expenditures 15-22'!K267</f>
        <v>2548</v>
      </c>
      <c r="C1496" s="2" t="s">
        <v>594</v>
      </c>
      <c r="D1496" s="2" t="str">
        <f t="shared" si="22"/>
        <v>Error?</v>
      </c>
    </row>
    <row r="1497" spans="1:4" x14ac:dyDescent="0.2">
      <c r="A1497" s="5">
        <v>1436</v>
      </c>
      <c r="B1497" s="138">
        <f>'Expenditures 15-22'!K268</f>
        <v>3220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21748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23319</v>
      </c>
      <c r="C1510" s="2" t="s">
        <v>594</v>
      </c>
      <c r="D1510" s="2" t="str">
        <f t="shared" si="22"/>
        <v>Error?</v>
      </c>
    </row>
    <row r="1511" spans="1:4" x14ac:dyDescent="0.2">
      <c r="A1511" s="5">
        <v>1450</v>
      </c>
      <c r="B1511" s="138">
        <f>'Expenditures 15-22'!K280</f>
        <v>204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36296</v>
      </c>
      <c r="C1517" s="2" t="s">
        <v>594</v>
      </c>
      <c r="D1517" s="2" t="str">
        <f t="shared" si="22"/>
        <v>Error?</v>
      </c>
    </row>
    <row r="1518" spans="1:4" x14ac:dyDescent="0.2">
      <c r="A1518" s="5">
        <v>1457</v>
      </c>
      <c r="B1518" s="138">
        <f>'Expenditures 15-22'!K296</f>
        <v>-10682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71</v>
      </c>
      <c r="C1535" s="2" t="s">
        <v>594</v>
      </c>
      <c r="D1535" s="2" t="str">
        <f t="shared" ref="D1535:D1598" si="23">IF(ISBLANK(B1535),"OK",IF(A1535-B1535=0,"OK","Error?"))</f>
        <v>Error?</v>
      </c>
    </row>
    <row r="1536" spans="1:4" x14ac:dyDescent="0.2">
      <c r="A1536" s="5">
        <v>1475</v>
      </c>
      <c r="B1536" s="138">
        <f>'Expenditures 15-22'!E312</f>
        <v>71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71</v>
      </c>
      <c r="C1559" s="2" t="s">
        <v>594</v>
      </c>
      <c r="D1559" s="2" t="str">
        <f t="shared" si="23"/>
        <v>Error?</v>
      </c>
    </row>
    <row r="1560" spans="1:4" x14ac:dyDescent="0.2">
      <c r="A1560" s="5">
        <v>1499</v>
      </c>
      <c r="B1560" s="138">
        <f>'Expenditures 15-22'!K312</f>
        <v>71</v>
      </c>
      <c r="C1560" s="2" t="s">
        <v>594</v>
      </c>
      <c r="D1560" s="2" t="str">
        <f t="shared" si="23"/>
        <v>Error?</v>
      </c>
    </row>
    <row r="1561" spans="1:4" x14ac:dyDescent="0.2">
      <c r="A1561" s="5">
        <v>1500</v>
      </c>
      <c r="B1561" s="138">
        <f>'Expenditures 15-22'!K313</f>
        <v>-71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1087221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1211058</v>
      </c>
      <c r="C1630" s="2" t="s">
        <v>594</v>
      </c>
      <c r="D1630" s="2" t="str">
        <f t="shared" si="24"/>
        <v>Error?</v>
      </c>
    </row>
    <row r="1631" spans="1:4" x14ac:dyDescent="0.2">
      <c r="A1631" s="5">
        <v>1570</v>
      </c>
      <c r="B1631" s="138">
        <f>'Acct Summary 7-8'!D79</f>
        <v>257933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348421</v>
      </c>
      <c r="C1644" s="2" t="s">
        <v>594</v>
      </c>
      <c r="D1644" s="2" t="str">
        <f t="shared" si="24"/>
        <v>Error?</v>
      </c>
    </row>
    <row r="1645" spans="1:4" x14ac:dyDescent="0.2">
      <c r="A1645" s="5">
        <v>1584</v>
      </c>
      <c r="B1645" s="138">
        <f>'Acct Summary 7-8'!E79</f>
        <v>16227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19722</v>
      </c>
      <c r="C1658" s="2" t="s">
        <v>594</v>
      </c>
      <c r="D1658" s="2" t="str">
        <f t="shared" si="24"/>
        <v>Error?</v>
      </c>
    </row>
    <row r="1659" spans="1:4" x14ac:dyDescent="0.2">
      <c r="A1659" s="5">
        <v>1598</v>
      </c>
      <c r="B1659" s="138">
        <f>'Acct Summary 7-8'!F79</f>
        <v>351500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285724</v>
      </c>
      <c r="C1672" s="2" t="s">
        <v>594</v>
      </c>
      <c r="D1672" s="2" t="str">
        <f t="shared" si="25"/>
        <v>Error?</v>
      </c>
    </row>
    <row r="1673" spans="1:4" x14ac:dyDescent="0.2">
      <c r="A1673" s="5">
        <v>1612</v>
      </c>
      <c r="B1673" s="138">
        <f>'Acct Summary 7-8'!G79</f>
        <v>155657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144975</v>
      </c>
      <c r="C1686" s="2" t="s">
        <v>594</v>
      </c>
      <c r="D1686" s="2" t="str">
        <f t="shared" si="25"/>
        <v>Error?</v>
      </c>
    </row>
    <row r="1687" spans="1:4" x14ac:dyDescent="0.2">
      <c r="A1687" s="5">
        <v>1626</v>
      </c>
      <c r="B1687" s="138">
        <f>'Acct Summary 7-8'!H79</f>
        <v>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901360</v>
      </c>
      <c r="C1744" s="2" t="s">
        <v>594</v>
      </c>
      <c r="D1744" s="2" t="str">
        <f t="shared" si="26"/>
        <v>Error?</v>
      </c>
    </row>
    <row r="1745" spans="1:5" x14ac:dyDescent="0.2">
      <c r="A1745" s="5">
        <v>1684</v>
      </c>
      <c r="B1745" s="138">
        <f>'Tax Sched 23'!B5</f>
        <v>268757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69858</v>
      </c>
      <c r="C1747" s="2" t="s">
        <v>594</v>
      </c>
      <c r="D1747" s="2" t="str">
        <f t="shared" si="26"/>
        <v>Error?</v>
      </c>
    </row>
    <row r="1748" spans="1:5" x14ac:dyDescent="0.2">
      <c r="A1748" s="5">
        <v>1687</v>
      </c>
      <c r="B1748" s="138">
        <f>'Tax Sched 23'!B8</f>
        <v>11972</v>
      </c>
      <c r="C1748" s="2" t="s">
        <v>594</v>
      </c>
      <c r="D1748" s="2" t="str">
        <f t="shared" si="26"/>
        <v>Error?</v>
      </c>
    </row>
    <row r="1749" spans="1:5" x14ac:dyDescent="0.2">
      <c r="A1749" s="5">
        <v>1688</v>
      </c>
      <c r="B1749" s="138">
        <f>'Tax Sched 23'!B10</f>
        <v>16319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87708</v>
      </c>
      <c r="C1752" s="2" t="s">
        <v>594</v>
      </c>
      <c r="D1752" s="2" t="str">
        <f t="shared" si="26"/>
        <v>Error?</v>
      </c>
    </row>
    <row r="1753" spans="1:5" x14ac:dyDescent="0.2">
      <c r="A1753" s="5">
        <v>1692</v>
      </c>
      <c r="B1753" s="138">
        <f>'Tax Sched 23'!B12</f>
        <v>16320</v>
      </c>
      <c r="C1753" s="2" t="s">
        <v>594</v>
      </c>
      <c r="D1753" s="2" t="str">
        <f t="shared" si="26"/>
        <v>Error?</v>
      </c>
    </row>
    <row r="1754" spans="1:5" x14ac:dyDescent="0.2">
      <c r="A1754" s="5">
        <v>1693</v>
      </c>
      <c r="B1754" s="138">
        <f>'Tax Sched 23'!B14</f>
        <v>7476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1391742</v>
      </c>
      <c r="C1759" s="2" t="s">
        <v>594</v>
      </c>
      <c r="D1759" s="2" t="str">
        <f t="shared" si="26"/>
        <v>Error?</v>
      </c>
    </row>
    <row r="1760" spans="1:5" x14ac:dyDescent="0.2">
      <c r="A1760" s="5">
        <v>1699</v>
      </c>
      <c r="B1760" s="138">
        <f>'Tax Sched 23'!D4</f>
        <v>901360</v>
      </c>
      <c r="C1760" s="2" t="s">
        <v>594</v>
      </c>
      <c r="D1760" s="2" t="str">
        <f t="shared" si="26"/>
        <v>Error?</v>
      </c>
    </row>
    <row r="1761" spans="1:5" x14ac:dyDescent="0.2">
      <c r="A1761" s="5">
        <v>1700</v>
      </c>
      <c r="B1761" s="138">
        <f>'Tax Sched 23'!D5</f>
        <v>268757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69858</v>
      </c>
      <c r="C1763" s="2" t="s">
        <v>594</v>
      </c>
      <c r="D1763" s="2" t="str">
        <f t="shared" si="26"/>
        <v>Error?</v>
      </c>
    </row>
    <row r="1764" spans="1:5" x14ac:dyDescent="0.2">
      <c r="A1764" s="5">
        <v>1703</v>
      </c>
      <c r="B1764" s="138">
        <f>'Tax Sched 23'!D8</f>
        <v>11972</v>
      </c>
      <c r="C1764" s="2" t="s">
        <v>594</v>
      </c>
      <c r="D1764" s="2" t="str">
        <f t="shared" si="26"/>
        <v>Error?</v>
      </c>
    </row>
    <row r="1765" spans="1:5" x14ac:dyDescent="0.2">
      <c r="A1765" s="5">
        <v>1704</v>
      </c>
      <c r="B1765" s="138">
        <f>'Tax Sched 23'!D10</f>
        <v>16319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87708</v>
      </c>
      <c r="C1768" s="2" t="s">
        <v>594</v>
      </c>
      <c r="D1768" s="2" t="str">
        <f t="shared" si="26"/>
        <v>Error?</v>
      </c>
    </row>
    <row r="1769" spans="1:5" x14ac:dyDescent="0.2">
      <c r="A1769" s="5">
        <v>1708</v>
      </c>
      <c r="B1769" s="138">
        <f>'Tax Sched 23'!D12</f>
        <v>16320</v>
      </c>
      <c r="C1769" s="2" t="s">
        <v>594</v>
      </c>
      <c r="D1769" s="2" t="str">
        <f t="shared" si="26"/>
        <v>Error?</v>
      </c>
    </row>
    <row r="1770" spans="1:5" x14ac:dyDescent="0.2">
      <c r="A1770" s="5">
        <v>1709</v>
      </c>
      <c r="B1770" s="138">
        <f>'Tax Sched 23'!D14</f>
        <v>7476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1391742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934482</v>
      </c>
      <c r="C1792" s="2" t="s">
        <v>594</v>
      </c>
      <c r="D1792" s="2" t="str">
        <f t="shared" si="27"/>
        <v>Error?</v>
      </c>
    </row>
    <row r="1793" spans="1:4" x14ac:dyDescent="0.2">
      <c r="A1793" s="5">
        <v>1732</v>
      </c>
      <c r="B1793" s="138">
        <f>'Tax Sched 23'!F5</f>
        <v>270296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68956</v>
      </c>
      <c r="C1795" s="2" t="s">
        <v>594</v>
      </c>
      <c r="D1795" s="2" t="str">
        <f t="shared" si="27"/>
        <v>Error?</v>
      </c>
    </row>
    <row r="1796" spans="1:4" x14ac:dyDescent="0.2">
      <c r="A1796" s="5">
        <v>1735</v>
      </c>
      <c r="B1796" s="138">
        <f>'Tax Sched 23'!F8</f>
        <v>11791</v>
      </c>
      <c r="C1796" s="2" t="s">
        <v>594</v>
      </c>
      <c r="D1796" s="2" t="str">
        <f t="shared" si="27"/>
        <v>Error?</v>
      </c>
    </row>
    <row r="1797" spans="1:4" x14ac:dyDescent="0.2">
      <c r="A1797" s="5">
        <v>1736</v>
      </c>
      <c r="B1797" s="138">
        <f>'Tax Sched 23'!F10</f>
        <v>16107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86589</v>
      </c>
      <c r="C1800" s="2" t="s">
        <v>594</v>
      </c>
      <c r="D1800" s="2" t="str">
        <f t="shared" si="27"/>
        <v>Error?</v>
      </c>
    </row>
    <row r="1801" spans="1:4" x14ac:dyDescent="0.2">
      <c r="A1801" s="5">
        <v>1740</v>
      </c>
      <c r="B1801" s="138">
        <f>'Tax Sched 23'!F12</f>
        <v>16107</v>
      </c>
      <c r="C1801" s="2" t="s">
        <v>594</v>
      </c>
      <c r="D1801" s="2" t="str">
        <f t="shared" si="27"/>
        <v>Error?</v>
      </c>
    </row>
    <row r="1802" spans="1:4" x14ac:dyDescent="0.2">
      <c r="A1802" s="5">
        <v>1741</v>
      </c>
      <c r="B1802" s="138">
        <f>'Tax Sched 23'!F14</f>
        <v>7369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1423489</v>
      </c>
      <c r="C1807" s="2" t="s">
        <v>594</v>
      </c>
      <c r="D1807" s="2" t="str">
        <f t="shared" si="27"/>
        <v>Error?</v>
      </c>
    </row>
    <row r="1808" spans="1:4" x14ac:dyDescent="0.2">
      <c r="A1808" s="5">
        <v>1747</v>
      </c>
      <c r="B1808" s="138">
        <f>'Tax Sched 23'!E4</f>
        <v>934482</v>
      </c>
      <c r="D1808" s="2" t="str">
        <f t="shared" si="27"/>
        <v>Error?</v>
      </c>
    </row>
    <row r="1809" spans="1:4" x14ac:dyDescent="0.2">
      <c r="A1809" s="5">
        <v>1748</v>
      </c>
      <c r="B1809" s="138">
        <f>'Tax Sched 23'!E5</f>
        <v>270296</v>
      </c>
      <c r="D1809" s="2" t="str">
        <f t="shared" si="27"/>
        <v>Error?</v>
      </c>
    </row>
    <row r="1810" spans="1:4" x14ac:dyDescent="0.2">
      <c r="A1810" s="5">
        <v>1749</v>
      </c>
      <c r="B1810" s="138">
        <f>'Tax Sched 23'!E6</f>
        <v>0</v>
      </c>
      <c r="D1810" s="2" t="str">
        <f t="shared" si="27"/>
        <v>Error?</v>
      </c>
    </row>
    <row r="1811" spans="1:4" x14ac:dyDescent="0.2">
      <c r="A1811" s="5">
        <v>1750</v>
      </c>
      <c r="B1811" s="138">
        <f>'Tax Sched 23'!E7</f>
        <v>68956</v>
      </c>
      <c r="D1811" s="2" t="str">
        <f t="shared" si="27"/>
        <v>Error?</v>
      </c>
    </row>
    <row r="1812" spans="1:4" x14ac:dyDescent="0.2">
      <c r="A1812" s="5">
        <v>1751</v>
      </c>
      <c r="B1812" s="138">
        <f>'Tax Sched 23'!E8</f>
        <v>11791</v>
      </c>
      <c r="D1812" s="2" t="str">
        <f t="shared" si="27"/>
        <v>Error?</v>
      </c>
    </row>
    <row r="1813" spans="1:4" x14ac:dyDescent="0.2">
      <c r="A1813" s="5">
        <v>1752</v>
      </c>
      <c r="B1813" s="138">
        <f>'Tax Sched 23'!E10</f>
        <v>16107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86589</v>
      </c>
      <c r="D1816" s="2" t="str">
        <f t="shared" si="27"/>
        <v>Error?</v>
      </c>
    </row>
    <row r="1817" spans="1:4" x14ac:dyDescent="0.2">
      <c r="A1817" s="5">
        <v>1756</v>
      </c>
      <c r="B1817" s="138">
        <f>'Tax Sched 23'!E12</f>
        <v>16107</v>
      </c>
      <c r="D1817" s="2" t="str">
        <f t="shared" si="27"/>
        <v>Error?</v>
      </c>
    </row>
    <row r="1818" spans="1:4" x14ac:dyDescent="0.2">
      <c r="A1818" s="5">
        <v>1757</v>
      </c>
      <c r="B1818" s="138">
        <f>'Tax Sched 23'!E14</f>
        <v>7369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1423489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7476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7476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25500</v>
      </c>
      <c r="D2008" s="2" t="str">
        <f t="shared" si="30"/>
        <v>Error?</v>
      </c>
    </row>
    <row r="2009" spans="1:4" x14ac:dyDescent="0.2">
      <c r="A2009" s="5">
        <v>1948</v>
      </c>
      <c r="B2009" s="138">
        <f>'Cap Outlay Deprec 26'!C8</f>
        <v>1009186</v>
      </c>
      <c r="D2009" s="2" t="str">
        <f t="shared" si="30"/>
        <v>Error?</v>
      </c>
    </row>
    <row r="2010" spans="1:4" x14ac:dyDescent="0.2">
      <c r="A2010" s="5">
        <v>1949</v>
      </c>
      <c r="B2010" s="138">
        <f>'Cap Outlay Deprec 26'!C10</f>
        <v>74153</v>
      </c>
      <c r="D2010" s="2" t="str">
        <f t="shared" si="30"/>
        <v>Error?</v>
      </c>
    </row>
    <row r="2011" spans="1:4" x14ac:dyDescent="0.2">
      <c r="A2011" s="5">
        <v>1950</v>
      </c>
      <c r="B2011" s="138">
        <f>'Cap Outlay Deprec 26'!C12</f>
        <v>580142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1688981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148373</v>
      </c>
      <c r="D2015" s="2" t="str">
        <f t="shared" si="30"/>
        <v>Error?</v>
      </c>
    </row>
    <row r="2016" spans="1:4" x14ac:dyDescent="0.2">
      <c r="A2016" s="5">
        <v>1955</v>
      </c>
      <c r="B2016" s="138">
        <f>'Cap Outlay Deprec 26'!D10</f>
        <v>73323</v>
      </c>
      <c r="D2016" s="2" t="str">
        <f t="shared" si="30"/>
        <v>Error?</v>
      </c>
    </row>
    <row r="2017" spans="1:4" x14ac:dyDescent="0.2">
      <c r="A2017" s="5">
        <v>1956</v>
      </c>
      <c r="B2017" s="138">
        <f>'Cap Outlay Deprec 26'!D12</f>
        <v>36308</v>
      </c>
      <c r="D2017" s="2" t="str">
        <f t="shared" si="30"/>
        <v>Error?</v>
      </c>
    </row>
    <row r="2018" spans="1:4" x14ac:dyDescent="0.2">
      <c r="A2018" s="5">
        <v>1957</v>
      </c>
      <c r="B2018" s="138">
        <f>'Cap Outlay Deprec 26'!D13</f>
        <v>121805</v>
      </c>
      <c r="D2018" s="2" t="str">
        <f t="shared" si="30"/>
        <v>Error?</v>
      </c>
    </row>
    <row r="2019" spans="1:4" x14ac:dyDescent="0.2">
      <c r="A2019" s="5">
        <v>1958</v>
      </c>
      <c r="B2019" s="138">
        <f>'Cap Outlay Deprec 26'!D16</f>
        <v>379809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25500</v>
      </c>
      <c r="C2026" s="2" t="s">
        <v>594</v>
      </c>
      <c r="D2026" s="2" t="str">
        <f t="shared" si="30"/>
        <v>Error?</v>
      </c>
    </row>
    <row r="2027" spans="1:4" x14ac:dyDescent="0.2">
      <c r="A2027" s="5">
        <v>1966</v>
      </c>
      <c r="B2027" s="138">
        <f>'Cap Outlay Deprec 26'!F8</f>
        <v>1157559</v>
      </c>
      <c r="C2027" s="2" t="s">
        <v>594</v>
      </c>
      <c r="D2027" s="2" t="str">
        <f t="shared" si="30"/>
        <v>Error?</v>
      </c>
    </row>
    <row r="2028" spans="1:4" x14ac:dyDescent="0.2">
      <c r="A2028" s="5">
        <v>1967</v>
      </c>
      <c r="B2028" s="138">
        <f>'Cap Outlay Deprec 26'!F10</f>
        <v>147476</v>
      </c>
      <c r="C2028" s="2" t="s">
        <v>594</v>
      </c>
      <c r="D2028" s="2" t="str">
        <f t="shared" si="30"/>
        <v>Error?</v>
      </c>
    </row>
    <row r="2029" spans="1:4" x14ac:dyDescent="0.2">
      <c r="A2029" s="5">
        <v>1968</v>
      </c>
      <c r="B2029" s="138">
        <f>'Cap Outlay Deprec 26'!F12</f>
        <v>616450</v>
      </c>
      <c r="C2029" s="2" t="s">
        <v>594</v>
      </c>
      <c r="D2029" s="2" t="str">
        <f t="shared" si="30"/>
        <v>Error?</v>
      </c>
    </row>
    <row r="2030" spans="1:4" x14ac:dyDescent="0.2">
      <c r="A2030" s="5">
        <v>1969</v>
      </c>
      <c r="B2030" s="138">
        <f>'Cap Outlay Deprec 26'!F13</f>
        <v>121805</v>
      </c>
      <c r="C2030" s="2" t="s">
        <v>594</v>
      </c>
      <c r="D2030" s="2" t="str">
        <f t="shared" si="30"/>
        <v>Error?</v>
      </c>
    </row>
    <row r="2031" spans="1:4" x14ac:dyDescent="0.2">
      <c r="A2031" s="5">
        <v>1970</v>
      </c>
      <c r="B2031" s="138">
        <f>'Cap Outlay Deprec 26'!F16</f>
        <v>2068790</v>
      </c>
      <c r="C2031" s="2" t="s">
        <v>594</v>
      </c>
      <c r="D2031" s="2" t="str">
        <f t="shared" si="30"/>
        <v>Error?</v>
      </c>
    </row>
    <row r="2032" spans="1:4" x14ac:dyDescent="0.2">
      <c r="A2032" s="10">
        <v>1971</v>
      </c>
      <c r="D2032" s="2" t="str">
        <f t="shared" si="30"/>
        <v>OK</v>
      </c>
    </row>
    <row r="2033" spans="1:4" x14ac:dyDescent="0.2">
      <c r="A2033" s="5">
        <v>1972</v>
      </c>
      <c r="B2033" s="138">
        <f>'Cap Outlay Deprec 26'!H8</f>
        <v>362755</v>
      </c>
      <c r="D2033" s="2" t="str">
        <f t="shared" si="30"/>
        <v>Error?</v>
      </c>
    </row>
    <row r="2034" spans="1:4" x14ac:dyDescent="0.2">
      <c r="A2034" s="5">
        <v>1973</v>
      </c>
      <c r="B2034" s="138">
        <f>'Cap Outlay Deprec 26'!H10</f>
        <v>52295</v>
      </c>
      <c r="D2034" s="2" t="str">
        <f t="shared" si="30"/>
        <v>Error?</v>
      </c>
    </row>
    <row r="2035" spans="1:4" x14ac:dyDescent="0.2">
      <c r="A2035" s="5">
        <v>1974</v>
      </c>
      <c r="B2035" s="138">
        <f>'Cap Outlay Deprec 26'!H12</f>
        <v>504027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919077</v>
      </c>
      <c r="C2037" s="2" t="s">
        <v>594</v>
      </c>
      <c r="D2037" s="2" t="str">
        <f t="shared" si="30"/>
        <v>Error?</v>
      </c>
    </row>
    <row r="2038" spans="1:4" x14ac:dyDescent="0.2">
      <c r="A2038" s="10">
        <v>1977</v>
      </c>
      <c r="D2038" s="2" t="str">
        <f t="shared" si="30"/>
        <v>OK</v>
      </c>
    </row>
    <row r="2039" spans="1:4" x14ac:dyDescent="0.2">
      <c r="A2039" s="5">
        <v>1978</v>
      </c>
      <c r="B2039" s="138">
        <f>'Cap Outlay Deprec 26'!I8</f>
        <v>25746</v>
      </c>
      <c r="D2039" s="2" t="str">
        <f t="shared" si="30"/>
        <v>Error?</v>
      </c>
    </row>
    <row r="2040" spans="1:4" x14ac:dyDescent="0.2">
      <c r="A2040" s="5">
        <v>1979</v>
      </c>
      <c r="B2040" s="138">
        <f>'Cap Outlay Deprec 26'!I10</f>
        <v>5439</v>
      </c>
      <c r="D2040" s="2" t="str">
        <f t="shared" si="30"/>
        <v>Error?</v>
      </c>
    </row>
    <row r="2041" spans="1:4" x14ac:dyDescent="0.2">
      <c r="A2041" s="5">
        <v>1980</v>
      </c>
      <c r="B2041" s="138">
        <f>'Cap Outlay Deprec 26'!I12</f>
        <v>21864</v>
      </c>
      <c r="D2041" s="2" t="str">
        <f t="shared" si="30"/>
        <v>Error?</v>
      </c>
    </row>
    <row r="2042" spans="1:4" x14ac:dyDescent="0.2">
      <c r="A2042" s="5">
        <v>1981</v>
      </c>
      <c r="B2042" s="138">
        <f>'Cap Outlay Deprec 26'!I13</f>
        <v>19964</v>
      </c>
      <c r="D2042" s="2" t="str">
        <f t="shared" si="30"/>
        <v>Error?</v>
      </c>
    </row>
    <row r="2043" spans="1:4" x14ac:dyDescent="0.2">
      <c r="A2043" s="5">
        <v>1982</v>
      </c>
      <c r="B2043" s="138">
        <f>'Cap Outlay Deprec 26'!I16</f>
        <v>73013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388501</v>
      </c>
      <c r="C2051" s="2" t="s">
        <v>594</v>
      </c>
      <c r="D2051" s="2" t="str">
        <f t="shared" si="31"/>
        <v>Error?</v>
      </c>
    </row>
    <row r="2052" spans="1:4" x14ac:dyDescent="0.2">
      <c r="A2052" s="5">
        <v>1991</v>
      </c>
      <c r="B2052" s="138">
        <f>'Cap Outlay Deprec 26'!K10</f>
        <v>57734</v>
      </c>
      <c r="C2052" s="2" t="s">
        <v>594</v>
      </c>
      <c r="D2052" s="2" t="str">
        <f t="shared" si="31"/>
        <v>Error?</v>
      </c>
    </row>
    <row r="2053" spans="1:4" x14ac:dyDescent="0.2">
      <c r="A2053" s="5">
        <v>1992</v>
      </c>
      <c r="B2053" s="138">
        <f>'Cap Outlay Deprec 26'!K12</f>
        <v>525891</v>
      </c>
      <c r="C2053" s="2" t="s">
        <v>594</v>
      </c>
      <c r="D2053" s="2" t="str">
        <f t="shared" si="31"/>
        <v>Error?</v>
      </c>
    </row>
    <row r="2054" spans="1:4" x14ac:dyDescent="0.2">
      <c r="A2054" s="5">
        <v>1993</v>
      </c>
      <c r="B2054" s="138">
        <f>'Cap Outlay Deprec 26'!K13</f>
        <v>19964</v>
      </c>
      <c r="C2054" s="2" t="s">
        <v>594</v>
      </c>
      <c r="D2054" s="2" t="str">
        <f t="shared" si="31"/>
        <v>Error?</v>
      </c>
    </row>
    <row r="2055" spans="1:4" x14ac:dyDescent="0.2">
      <c r="A2055" s="5">
        <v>1994</v>
      </c>
      <c r="B2055" s="138">
        <f>'Cap Outlay Deprec 26'!K16</f>
        <v>992090</v>
      </c>
      <c r="C2055" s="2" t="s">
        <v>594</v>
      </c>
      <c r="D2055" s="2" t="str">
        <f t="shared" si="31"/>
        <v>Error?</v>
      </c>
    </row>
    <row r="2056" spans="1:4" x14ac:dyDescent="0.2">
      <c r="A2056" s="5">
        <v>1995</v>
      </c>
      <c r="B2056" s="138">
        <f>'Cap Outlay Deprec 26'!L5</f>
        <v>25500</v>
      </c>
      <c r="C2056" s="2" t="s">
        <v>594</v>
      </c>
      <c r="D2056" s="2" t="str">
        <f t="shared" si="31"/>
        <v>Error?</v>
      </c>
    </row>
    <row r="2057" spans="1:4" x14ac:dyDescent="0.2">
      <c r="A2057" s="5">
        <v>1996</v>
      </c>
      <c r="B2057" s="138">
        <f>'Cap Outlay Deprec 26'!L8</f>
        <v>769058</v>
      </c>
      <c r="C2057" s="2" t="s">
        <v>594</v>
      </c>
      <c r="D2057" s="2" t="str">
        <f t="shared" si="31"/>
        <v>Error?</v>
      </c>
    </row>
    <row r="2058" spans="1:4" x14ac:dyDescent="0.2">
      <c r="A2058" s="5">
        <v>1997</v>
      </c>
      <c r="B2058" s="138">
        <f>'Cap Outlay Deprec 26'!L10</f>
        <v>89742</v>
      </c>
      <c r="C2058" s="2" t="s">
        <v>594</v>
      </c>
      <c r="D2058" s="2" t="str">
        <f t="shared" si="31"/>
        <v>Error?</v>
      </c>
    </row>
    <row r="2059" spans="1:4" x14ac:dyDescent="0.2">
      <c r="A2059" s="5">
        <v>1998</v>
      </c>
      <c r="B2059" s="138">
        <f>'Cap Outlay Deprec 26'!L12</f>
        <v>90559</v>
      </c>
      <c r="C2059" s="2" t="s">
        <v>594</v>
      </c>
      <c r="D2059" s="2" t="str">
        <f t="shared" si="31"/>
        <v>Error?</v>
      </c>
    </row>
    <row r="2060" spans="1:4" x14ac:dyDescent="0.2">
      <c r="A2060" s="5">
        <v>1999</v>
      </c>
      <c r="B2060" s="138">
        <f>'Cap Outlay Deprec 26'!L13</f>
        <v>101841</v>
      </c>
      <c r="C2060" s="2" t="s">
        <v>594</v>
      </c>
      <c r="D2060" s="2" t="str">
        <f t="shared" si="31"/>
        <v>Error?</v>
      </c>
    </row>
    <row r="2061" spans="1:4" x14ac:dyDescent="0.2">
      <c r="A2061" s="5">
        <v>2000</v>
      </c>
      <c r="B2061" s="138">
        <f>'Cap Outlay Deprec 26'!L16</f>
        <v>1076700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4870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4459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74585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941110</v>
      </c>
      <c r="C2551" s="2" t="s">
        <v>594</v>
      </c>
      <c r="D2551" s="2" t="str">
        <f t="shared" si="38"/>
        <v>Error?</v>
      </c>
    </row>
    <row r="2552" spans="1:4" x14ac:dyDescent="0.2">
      <c r="A2552" s="10">
        <v>2491</v>
      </c>
      <c r="D2552" s="2" t="str">
        <f t="shared" si="38"/>
        <v>OK</v>
      </c>
    </row>
    <row r="2553" spans="1:4" x14ac:dyDescent="0.2">
      <c r="A2553" s="5">
        <v>2492</v>
      </c>
      <c r="B2553" s="138">
        <f>'Acct Summary 7-8'!C6</f>
        <v>119450</v>
      </c>
      <c r="C2553" s="2" t="s">
        <v>594</v>
      </c>
      <c r="D2553" s="2" t="str">
        <f t="shared" si="38"/>
        <v>Error?</v>
      </c>
    </row>
    <row r="2554" spans="1:4" x14ac:dyDescent="0.2">
      <c r="A2554" s="5">
        <v>2493</v>
      </c>
      <c r="B2554" s="138">
        <f>'Acct Summary 7-8'!C7</f>
        <v>76023</v>
      </c>
      <c r="C2554" s="2" t="s">
        <v>594</v>
      </c>
      <c r="D2554" s="2" t="str">
        <f t="shared" si="38"/>
        <v>Error?</v>
      </c>
    </row>
    <row r="2555" spans="1:4" x14ac:dyDescent="0.2">
      <c r="A2555" s="5">
        <v>2494</v>
      </c>
      <c r="B2555" s="138">
        <f>'Acct Summary 7-8'!C8</f>
        <v>1136583</v>
      </c>
      <c r="C2555" s="2" t="s">
        <v>594</v>
      </c>
      <c r="D2555" s="2" t="str">
        <f t="shared" si="38"/>
        <v>Error?</v>
      </c>
    </row>
    <row r="2556" spans="1:4" x14ac:dyDescent="0.2">
      <c r="A2556" s="5">
        <v>2495</v>
      </c>
      <c r="B2556" s="138">
        <f>'Acct Summary 7-8'!C12</f>
        <v>707788</v>
      </c>
      <c r="C2556" s="2" t="s">
        <v>594</v>
      </c>
      <c r="D2556" s="2" t="str">
        <f t="shared" si="38"/>
        <v>Error?</v>
      </c>
    </row>
    <row r="2557" spans="1:4" x14ac:dyDescent="0.2">
      <c r="A2557" s="5">
        <v>2496</v>
      </c>
      <c r="B2557" s="138">
        <f>'Acct Summary 7-8'!C13</f>
        <v>295440</v>
      </c>
      <c r="C2557" s="2" t="s">
        <v>594</v>
      </c>
      <c r="D2557" s="2" t="str">
        <f t="shared" si="38"/>
        <v>Error?</v>
      </c>
    </row>
    <row r="2558" spans="1:4" x14ac:dyDescent="0.2">
      <c r="A2558" s="5">
        <v>2497</v>
      </c>
      <c r="B2558" s="138">
        <f>'Acct Summary 7-8'!C14</f>
        <v>4648</v>
      </c>
      <c r="C2558" s="2" t="s">
        <v>594</v>
      </c>
      <c r="D2558" s="2" t="str">
        <f t="shared" si="38"/>
        <v>Error?</v>
      </c>
    </row>
    <row r="2559" spans="1:4" x14ac:dyDescent="0.2">
      <c r="A2559" s="5">
        <v>2498</v>
      </c>
      <c r="B2559" s="138">
        <f>'Acct Summary 7-8'!C15</f>
        <v>4870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1012746</v>
      </c>
      <c r="C2561" s="2" t="s">
        <v>594</v>
      </c>
      <c r="D2561" s="2" t="str">
        <f t="shared" si="39"/>
        <v>Error?</v>
      </c>
    </row>
    <row r="2562" spans="1:4" x14ac:dyDescent="0.2">
      <c r="A2562" s="5">
        <v>2501</v>
      </c>
      <c r="B2562" s="138">
        <f>'Acct Summary 7-8'!C20</f>
        <v>123837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284260</v>
      </c>
      <c r="C2564" s="2" t="s">
        <v>594</v>
      </c>
      <c r="D2564" s="2" t="str">
        <f t="shared" si="39"/>
        <v>Error?</v>
      </c>
    </row>
    <row r="2565" spans="1:4" x14ac:dyDescent="0.2">
      <c r="A2565" s="10">
        <v>2504</v>
      </c>
      <c r="D2565" s="2" t="str">
        <f t="shared" si="39"/>
        <v>OK</v>
      </c>
    </row>
    <row r="2566" spans="1:4" x14ac:dyDescent="0.2">
      <c r="A2566" s="5">
        <v>2505</v>
      </c>
      <c r="B2566" s="138">
        <f>'Acct Summary 7-8'!D6</f>
        <v>145421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429681</v>
      </c>
      <c r="C2568" s="2" t="s">
        <v>594</v>
      </c>
      <c r="D2568" s="2" t="str">
        <f t="shared" si="39"/>
        <v>Error?</v>
      </c>
    </row>
    <row r="2569" spans="1:4" x14ac:dyDescent="0.2">
      <c r="A2569" s="5">
        <v>2508</v>
      </c>
      <c r="B2569" s="138">
        <f>'Acct Summary 7-8'!D13</f>
        <v>339193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339193</v>
      </c>
      <c r="C2573" s="2" t="s">
        <v>594</v>
      </c>
      <c r="D2573" s="2" t="str">
        <f t="shared" si="39"/>
        <v>Error?</v>
      </c>
    </row>
    <row r="2574" spans="1:4" x14ac:dyDescent="0.2">
      <c r="A2574" s="5">
        <v>2513</v>
      </c>
      <c r="B2574" s="138">
        <f>'Acct Summary 7-8'!D20</f>
        <v>90488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69858</v>
      </c>
      <c r="C2591" s="2" t="s">
        <v>594</v>
      </c>
      <c r="D2591" s="2" t="str">
        <f t="shared" si="39"/>
        <v>Error?</v>
      </c>
    </row>
    <row r="2592" spans="1:4" x14ac:dyDescent="0.2">
      <c r="A2592" s="10">
        <v>2531</v>
      </c>
      <c r="D2592" s="2" t="str">
        <f t="shared" si="39"/>
        <v>OK</v>
      </c>
    </row>
    <row r="2593" spans="1:4" x14ac:dyDescent="0.2">
      <c r="A2593" s="5">
        <v>2532</v>
      </c>
      <c r="B2593" s="138">
        <f>'Acct Summary 7-8'!F6</f>
        <v>12099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81957</v>
      </c>
      <c r="C2595" s="2" t="s">
        <v>594</v>
      </c>
      <c r="D2595" s="2" t="str">
        <f t="shared" si="39"/>
        <v>Error?</v>
      </c>
    </row>
    <row r="2596" spans="1:4" x14ac:dyDescent="0.2">
      <c r="A2596" s="5">
        <v>2535</v>
      </c>
      <c r="B2596" s="138">
        <f>'Acct Summary 7-8'!F13</f>
        <v>147733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147733</v>
      </c>
      <c r="C2600" s="2" t="s">
        <v>594</v>
      </c>
      <c r="D2600" s="2" t="str">
        <f t="shared" si="39"/>
        <v>Error?</v>
      </c>
    </row>
    <row r="2601" spans="1:4" x14ac:dyDescent="0.2">
      <c r="A2601" s="5">
        <v>2540</v>
      </c>
      <c r="B2601" s="138">
        <f>'Acct Summary 7-8'!F20</f>
        <v>-65776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25614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25614</v>
      </c>
      <c r="C2606" s="2" t="s">
        <v>594</v>
      </c>
      <c r="D2606" s="2" t="str">
        <f t="shared" si="39"/>
        <v>Error?</v>
      </c>
    </row>
    <row r="2607" spans="1:4" x14ac:dyDescent="0.2">
      <c r="A2607" s="5">
        <v>2546</v>
      </c>
      <c r="B2607" s="138">
        <f>'Acct Summary 7-8'!G12</f>
        <v>12773</v>
      </c>
      <c r="C2607" s="2" t="s">
        <v>594</v>
      </c>
      <c r="D2607" s="2" t="str">
        <f t="shared" si="39"/>
        <v>Error?</v>
      </c>
    </row>
    <row r="2608" spans="1:4" x14ac:dyDescent="0.2">
      <c r="A2608" s="5">
        <v>2547</v>
      </c>
      <c r="B2608" s="138">
        <f>'Acct Summary 7-8'!G13</f>
        <v>23319</v>
      </c>
      <c r="C2608" s="2" t="s">
        <v>594</v>
      </c>
      <c r="D2608" s="2" t="str">
        <f t="shared" si="39"/>
        <v>Error?</v>
      </c>
    </row>
    <row r="2609" spans="1:4" x14ac:dyDescent="0.2">
      <c r="A2609" s="5">
        <v>2548</v>
      </c>
      <c r="B2609" s="138">
        <f>'Acct Summary 7-8'!G14</f>
        <v>204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36296</v>
      </c>
      <c r="C2612" s="2" t="s">
        <v>594</v>
      </c>
      <c r="D2612" s="2" t="str">
        <f t="shared" si="39"/>
        <v>Error?</v>
      </c>
    </row>
    <row r="2613" spans="1:4" x14ac:dyDescent="0.2">
      <c r="A2613" s="5">
        <v>2552</v>
      </c>
      <c r="B2613" s="138">
        <f>'Acct Summary 7-8'!G20</f>
        <v>-10682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32459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32459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28964</v>
      </c>
      <c r="C2634" s="2" t="s">
        <v>594</v>
      </c>
      <c r="D2634" s="2" t="str">
        <f t="shared" si="40"/>
        <v>Error?</v>
      </c>
    </row>
    <row r="2635" spans="1:4" x14ac:dyDescent="0.2">
      <c r="A2635" s="5">
        <v>2574</v>
      </c>
      <c r="B2635" s="138">
        <f>'Acct Summary 7-8'!E17</f>
        <v>28964</v>
      </c>
      <c r="C2635" s="2" t="s">
        <v>594</v>
      </c>
      <c r="D2635" s="2" t="str">
        <f t="shared" si="40"/>
        <v>Error?</v>
      </c>
    </row>
    <row r="2636" spans="1:4" x14ac:dyDescent="0.2">
      <c r="A2636" s="5">
        <v>2575</v>
      </c>
      <c r="B2636" s="138">
        <f>'Acct Summary 7-8'!E20</f>
        <v>3495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71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71</v>
      </c>
      <c r="C2661" s="2" t="s">
        <v>594</v>
      </c>
      <c r="D2661" s="2" t="str">
        <f t="shared" si="40"/>
        <v>Error?</v>
      </c>
    </row>
    <row r="2662" spans="1:4" x14ac:dyDescent="0.2">
      <c r="A2662" s="5">
        <v>2601</v>
      </c>
      <c r="B2662" s="138">
        <f>'Acct Summary 7-8'!H20</f>
        <v>-71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4870</v>
      </c>
      <c r="C2789" s="2" t="s">
        <v>594</v>
      </c>
      <c r="D2789" s="2" t="str">
        <f t="shared" si="42"/>
        <v>Error?</v>
      </c>
    </row>
    <row r="2790" spans="1:4" x14ac:dyDescent="0.2">
      <c r="A2790" s="5">
        <v>2729</v>
      </c>
      <c r="B2790" s="138">
        <f>'Expenditures 15-22'!E102</f>
        <v>4870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83374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19348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83374</v>
      </c>
      <c r="D2912" s="2" t="str">
        <f t="shared" si="44"/>
        <v>Error?</v>
      </c>
    </row>
    <row r="2913" spans="1:4" x14ac:dyDescent="0.2">
      <c r="A2913" s="5">
        <v>2852</v>
      </c>
      <c r="B2913" s="138">
        <f>'Assets-Liab 5-6'!I41</f>
        <v>83374</v>
      </c>
      <c r="C2913" s="2" t="s">
        <v>594</v>
      </c>
      <c r="D2913" s="2" t="str">
        <f t="shared" si="44"/>
        <v>Error?</v>
      </c>
    </row>
    <row r="2914" spans="1:4" x14ac:dyDescent="0.2">
      <c r="A2914" s="5">
        <v>2853</v>
      </c>
      <c r="B2914" s="138">
        <f>'Assets-Liab 5-6'!L33</f>
        <v>19348</v>
      </c>
      <c r="D2914" s="2" t="str">
        <f t="shared" si="44"/>
        <v>Error?</v>
      </c>
    </row>
    <row r="2915" spans="1:4" x14ac:dyDescent="0.2">
      <c r="A2915" s="10">
        <v>2854</v>
      </c>
      <c r="D2915" s="2" t="str">
        <f t="shared" si="44"/>
        <v>OK</v>
      </c>
    </row>
    <row r="2916" spans="1:4" x14ac:dyDescent="0.2">
      <c r="A2916" s="5">
        <v>2855</v>
      </c>
      <c r="B2916" s="138">
        <f>'Assets-Liab 5-6'!L34</f>
        <v>19348</v>
      </c>
      <c r="C2916" s="2" t="s">
        <v>594</v>
      </c>
      <c r="D2916" s="2" t="str">
        <f t="shared" si="44"/>
        <v>Error?</v>
      </c>
    </row>
    <row r="2917" spans="1:4" x14ac:dyDescent="0.2">
      <c r="A2917" s="5">
        <v>2856</v>
      </c>
      <c r="B2917" s="138">
        <f>'Assets-Liab 5-6'!L41</f>
        <v>19348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4870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15000</v>
      </c>
      <c r="D3055" s="2" t="str">
        <f t="shared" si="46"/>
        <v>Error?</v>
      </c>
    </row>
    <row r="3056" spans="1:4" x14ac:dyDescent="0.2">
      <c r="A3056" s="5">
        <v>2995</v>
      </c>
      <c r="B3056" s="138">
        <f>'Expenditures 15-22'!D10</f>
        <v>1375</v>
      </c>
      <c r="D3056" s="2" t="str">
        <f t="shared" si="46"/>
        <v>Error?</v>
      </c>
    </row>
    <row r="3057" spans="1:4" x14ac:dyDescent="0.2">
      <c r="A3057" s="5">
        <v>2996</v>
      </c>
      <c r="B3057" s="138">
        <f>'Expenditures 15-22'!E10</f>
        <v>3762</v>
      </c>
      <c r="D3057" s="2" t="str">
        <f t="shared" si="46"/>
        <v>Error?</v>
      </c>
    </row>
    <row r="3058" spans="1:4" x14ac:dyDescent="0.2">
      <c r="A3058" s="5">
        <v>2997</v>
      </c>
      <c r="B3058" s="138">
        <f>'Expenditures 15-22'!F10</f>
        <v>2703</v>
      </c>
      <c r="D3058" s="2" t="str">
        <f t="shared" si="46"/>
        <v>Error?</v>
      </c>
    </row>
    <row r="3059" spans="1:4" x14ac:dyDescent="0.2">
      <c r="A3059" s="5">
        <v>2998</v>
      </c>
      <c r="B3059" s="138">
        <f>'Expenditures 15-22'!G10</f>
        <v>10776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33616</v>
      </c>
      <c r="C3062" s="2" t="s">
        <v>594</v>
      </c>
      <c r="D3062" s="2" t="str">
        <f t="shared" si="46"/>
        <v>Error?</v>
      </c>
    </row>
    <row r="3063" spans="1:4" x14ac:dyDescent="0.2">
      <c r="A3063" s="10">
        <v>3002</v>
      </c>
      <c r="D3063" s="2" t="str">
        <f t="shared" si="46"/>
        <v>OK</v>
      </c>
    </row>
    <row r="3064" spans="1:4" x14ac:dyDescent="0.2">
      <c r="A3064" s="5">
        <v>3003</v>
      </c>
      <c r="B3064" s="138">
        <f>'Expenditures 15-22'!D219</f>
        <v>1427</v>
      </c>
      <c r="D3064" s="2" t="str">
        <f t="shared" si="46"/>
        <v>Error?</v>
      </c>
    </row>
    <row r="3065" spans="1:4" x14ac:dyDescent="0.2">
      <c r="A3065" s="5">
        <v>3004</v>
      </c>
      <c r="B3065" s="138">
        <f>'Expenditures 15-22'!K219</f>
        <v>1427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16319</v>
      </c>
      <c r="C3225" s="2" t="s">
        <v>594</v>
      </c>
      <c r="D3225" s="2" t="str">
        <f t="shared" si="49"/>
        <v>Error?</v>
      </c>
    </row>
    <row r="3226" spans="1:4" x14ac:dyDescent="0.2">
      <c r="A3226" s="5">
        <v>3165</v>
      </c>
      <c r="B3226" s="138">
        <f>'Acct Summary 7-8'!I8</f>
        <v>16319</v>
      </c>
      <c r="C3226" s="2" t="s">
        <v>594</v>
      </c>
      <c r="D3226" s="2" t="str">
        <f t="shared" si="49"/>
        <v>Error?</v>
      </c>
    </row>
    <row r="3227" spans="1:4" x14ac:dyDescent="0.2">
      <c r="A3227" s="5">
        <v>3166</v>
      </c>
      <c r="B3227" s="138">
        <f>'Acct Summary 7-8'!I20</f>
        <v>16319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123837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90488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-65776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-10682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3495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16319</v>
      </c>
      <c r="C3320" s="2" t="s">
        <v>594</v>
      </c>
      <c r="D3320" s="2" t="str">
        <f t="shared" si="50"/>
        <v>Error?</v>
      </c>
    </row>
    <row r="3321" spans="1:4" x14ac:dyDescent="0.2">
      <c r="A3321" s="5">
        <v>3260</v>
      </c>
      <c r="B3321" s="138">
        <f>'Acct Summary 7-8'!I79</f>
        <v>67055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83374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61951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11624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75880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7218</v>
      </c>
      <c r="D3387" s="2" t="str">
        <f t="shared" si="51"/>
        <v>Error?</v>
      </c>
    </row>
    <row r="3388" spans="1:4" x14ac:dyDescent="0.2">
      <c r="A3388" s="5">
        <v>3327</v>
      </c>
      <c r="B3388" s="138">
        <f>'Expenditures 15-22'!D217</f>
        <v>3514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7218</v>
      </c>
      <c r="C3390" s="2" t="s">
        <v>594</v>
      </c>
      <c r="D3390" s="2" t="str">
        <f t="shared" si="51"/>
        <v>Error?</v>
      </c>
    </row>
    <row r="3391" spans="1:4" x14ac:dyDescent="0.2">
      <c r="A3391" s="5">
        <v>3330</v>
      </c>
      <c r="B3391" s="138">
        <f>'Expenditures 15-22'!K217</f>
        <v>3514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1204294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348421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19722</v>
      </c>
      <c r="D3417" s="2" t="str">
        <f t="shared" si="52"/>
        <v>Error?</v>
      </c>
    </row>
    <row r="3418" spans="1:4" x14ac:dyDescent="0.2">
      <c r="A3418" s="10">
        <v>3357</v>
      </c>
      <c r="D3418" s="2" t="str">
        <f t="shared" si="52"/>
        <v>OK</v>
      </c>
    </row>
    <row r="3419" spans="1:4" x14ac:dyDescent="0.2">
      <c r="A3419" s="5">
        <v>3358</v>
      </c>
      <c r="B3419" s="138">
        <f>'Assets-Liab 5-6'!F4</f>
        <v>285724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144975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83374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19348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11972</v>
      </c>
      <c r="C3446" s="2" t="s">
        <v>594</v>
      </c>
      <c r="D3446" s="2" t="str">
        <f t="shared" si="52"/>
        <v>Error?</v>
      </c>
    </row>
    <row r="3447" spans="1:4" x14ac:dyDescent="0.2">
      <c r="A3447" s="5">
        <v>3386</v>
      </c>
      <c r="B3447" s="138">
        <f>'Tax Sched 23'!D16</f>
        <v>11972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11792</v>
      </c>
      <c r="C3449" s="2" t="s">
        <v>594</v>
      </c>
      <c r="D3449" s="2" t="str">
        <f t="shared" si="52"/>
        <v>Error?</v>
      </c>
    </row>
    <row r="3450" spans="1:4" x14ac:dyDescent="0.2">
      <c r="A3450" s="5">
        <v>3389</v>
      </c>
      <c r="B3450" s="138">
        <f>'Tax Sched 23'!E16</f>
        <v>11792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39647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39647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39647</v>
      </c>
      <c r="D3567" s="2" t="str">
        <f t="shared" si="54"/>
        <v>Error?</v>
      </c>
    </row>
    <row r="3568" spans="1:4" x14ac:dyDescent="0.2">
      <c r="A3568" s="5">
        <v>3507</v>
      </c>
      <c r="B3568" s="138">
        <f>'Assets-Liab 5-6'!K41</f>
        <v>39647</v>
      </c>
      <c r="C3568" s="2" t="s">
        <v>594</v>
      </c>
      <c r="D3568" s="2" t="str">
        <f t="shared" si="54"/>
        <v>Error?</v>
      </c>
    </row>
    <row r="3569" spans="1:4" x14ac:dyDescent="0.2">
      <c r="A3569" s="5">
        <v>3508</v>
      </c>
      <c r="B3569" s="138">
        <f>'Acct Summary 7-8'!K4</f>
        <v>16483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16483</v>
      </c>
      <c r="C3571" s="2" t="s">
        <v>594</v>
      </c>
      <c r="D3571" s="2" t="str">
        <f t="shared" si="54"/>
        <v>Error?</v>
      </c>
    </row>
    <row r="3572" spans="1:4" x14ac:dyDescent="0.2">
      <c r="A3572" s="5">
        <v>3511</v>
      </c>
      <c r="B3572" s="138">
        <f>'Acct Summary 7-8'!K13</f>
        <v>14985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14985</v>
      </c>
      <c r="C3575" s="2" t="s">
        <v>594</v>
      </c>
      <c r="D3575" s="2" t="str">
        <f t="shared" si="54"/>
        <v>Error?</v>
      </c>
    </row>
    <row r="3576" spans="1:4" x14ac:dyDescent="0.2">
      <c r="A3576" s="5">
        <v>3515</v>
      </c>
      <c r="B3576" s="138">
        <f>'Acct Summary 7-8'!K20</f>
        <v>1498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1498</v>
      </c>
      <c r="C3588" s="2" t="s">
        <v>594</v>
      </c>
      <c r="D3588" s="2" t="str">
        <f t="shared" si="55"/>
        <v>Error?</v>
      </c>
    </row>
    <row r="3589" spans="1:4" x14ac:dyDescent="0.2">
      <c r="A3589" s="5">
        <v>3528</v>
      </c>
      <c r="B3589" s="138">
        <f>'Acct Summary 7-8'!K79</f>
        <v>38149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39647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4235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4235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4235</v>
      </c>
      <c r="C3635" s="2" t="s">
        <v>594</v>
      </c>
      <c r="D3635" s="2" t="str">
        <f t="shared" si="55"/>
        <v>Error?</v>
      </c>
    </row>
    <row r="3636" spans="1:4" x14ac:dyDescent="0.2">
      <c r="A3636" s="5">
        <v>3575</v>
      </c>
      <c r="B3636" s="138">
        <f>'Expenditures 15-22'!E367</f>
        <v>4235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10750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10750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10750</v>
      </c>
      <c r="C3649" s="2" t="s">
        <v>594</v>
      </c>
      <c r="D3649" s="2" t="str">
        <f t="shared" si="56"/>
        <v>Error?</v>
      </c>
    </row>
    <row r="3650" spans="1:4" x14ac:dyDescent="0.2">
      <c r="A3650" s="5">
        <v>3589</v>
      </c>
      <c r="B3650" s="138">
        <f>'Expenditures 15-22'!G367</f>
        <v>10750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14985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14985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14985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14985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27825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476029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1612612</v>
      </c>
      <c r="C4122" s="2" t="s">
        <v>594</v>
      </c>
      <c r="D4122" s="2" t="str">
        <f t="shared" si="63"/>
        <v>Error?</v>
      </c>
    </row>
    <row r="4123" spans="1:4" x14ac:dyDescent="0.2">
      <c r="A4123" s="5">
        <v>4062</v>
      </c>
      <c r="B4123" s="138">
        <f>'Acct Summary 7-8'!D10</f>
        <v>429681</v>
      </c>
      <c r="C4123" s="2" t="s">
        <v>594</v>
      </c>
      <c r="D4123" s="2" t="str">
        <f t="shared" si="63"/>
        <v>Error?</v>
      </c>
    </row>
    <row r="4124" spans="1:4" x14ac:dyDescent="0.2">
      <c r="A4124" s="5">
        <v>4063</v>
      </c>
      <c r="B4124" s="138">
        <f>'Acct Summary 7-8'!E10</f>
        <v>32459</v>
      </c>
      <c r="C4124" s="2" t="s">
        <v>594</v>
      </c>
      <c r="D4124" s="2" t="str">
        <f t="shared" si="63"/>
        <v>Error?</v>
      </c>
    </row>
    <row r="4125" spans="1:4" x14ac:dyDescent="0.2">
      <c r="A4125" s="5">
        <v>4064</v>
      </c>
      <c r="B4125" s="138">
        <f>'Acct Summary 7-8'!F10</f>
        <v>81957</v>
      </c>
      <c r="C4125" s="2" t="s">
        <v>594</v>
      </c>
      <c r="D4125" s="2" t="str">
        <f t="shared" si="63"/>
        <v>Error?</v>
      </c>
    </row>
    <row r="4126" spans="1:4" x14ac:dyDescent="0.2">
      <c r="A4126" s="5">
        <v>4065</v>
      </c>
      <c r="B4126" s="138">
        <f>'Acct Summary 7-8'!G10</f>
        <v>25614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16319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16483</v>
      </c>
      <c r="C4130" s="2" t="s">
        <v>594</v>
      </c>
      <c r="D4130" s="2" t="str">
        <f t="shared" si="63"/>
        <v>Error?</v>
      </c>
    </row>
    <row r="4131" spans="1:4" x14ac:dyDescent="0.2">
      <c r="A4131" s="5">
        <v>4070</v>
      </c>
      <c r="B4131" s="138">
        <f>'Acct Summary 7-8'!C18</f>
        <v>476029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1488775</v>
      </c>
      <c r="C4136" s="2" t="s">
        <v>594</v>
      </c>
      <c r="D4136" s="2" t="str">
        <f t="shared" si="63"/>
        <v>Error?</v>
      </c>
    </row>
    <row r="4137" spans="1:4" x14ac:dyDescent="0.2">
      <c r="A4137" s="5">
        <v>4076</v>
      </c>
      <c r="B4137" s="138">
        <f>'Acct Summary 7-8'!D19</f>
        <v>339193</v>
      </c>
      <c r="C4137" s="2" t="s">
        <v>594</v>
      </c>
      <c r="D4137" s="2" t="str">
        <f t="shared" si="63"/>
        <v>Error?</v>
      </c>
    </row>
    <row r="4138" spans="1:4" x14ac:dyDescent="0.2">
      <c r="A4138" s="5">
        <v>4077</v>
      </c>
      <c r="B4138" s="138">
        <f>'Acct Summary 7-8'!E19</f>
        <v>28964</v>
      </c>
      <c r="C4138" s="2" t="s">
        <v>594</v>
      </c>
      <c r="D4138" s="2" t="str">
        <f t="shared" si="63"/>
        <v>Error?</v>
      </c>
    </row>
    <row r="4139" spans="1:4" x14ac:dyDescent="0.2">
      <c r="A4139" s="5">
        <v>4078</v>
      </c>
      <c r="B4139" s="138">
        <f>'Acct Summary 7-8'!F19</f>
        <v>147733</v>
      </c>
      <c r="C4139" s="2" t="s">
        <v>594</v>
      </c>
      <c r="D4139" s="2" t="str">
        <f t="shared" si="63"/>
        <v>Error?</v>
      </c>
    </row>
    <row r="4140" spans="1:4" x14ac:dyDescent="0.2">
      <c r="A4140" s="5">
        <v>4079</v>
      </c>
      <c r="B4140" s="138">
        <f>'Acct Summary 7-8'!G19</f>
        <v>36296</v>
      </c>
      <c r="C4140" s="2" t="s">
        <v>594</v>
      </c>
      <c r="D4140" s="2" t="str">
        <f t="shared" si="63"/>
        <v>Error?</v>
      </c>
    </row>
    <row r="4141" spans="1:4" x14ac:dyDescent="0.2">
      <c r="A4141" s="5">
        <v>4080</v>
      </c>
      <c r="B4141" s="138">
        <f>'Acct Summary 7-8'!H19</f>
        <v>71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14985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110000</v>
      </c>
      <c r="C4171" s="2" t="s">
        <v>594</v>
      </c>
      <c r="D4171" s="2" t="str">
        <f t="shared" si="64"/>
        <v>Error?</v>
      </c>
    </row>
    <row r="4172" spans="1:4" x14ac:dyDescent="0.2">
      <c r="A4172" s="5">
        <v>4111</v>
      </c>
      <c r="B4172" s="138">
        <f>'Short-Term Long-Term Debt 24'!J49</f>
        <v>90278</v>
      </c>
      <c r="C4172" s="2" t="s">
        <v>594</v>
      </c>
      <c r="D4172" s="2" t="str">
        <f t="shared" si="64"/>
        <v>Error?</v>
      </c>
    </row>
    <row r="4173" spans="1:4" x14ac:dyDescent="0.2">
      <c r="A4173" s="5">
        <v>4112</v>
      </c>
      <c r="B4173" s="138">
        <f>'Short-Term Long-Term Debt 24'!H49</f>
        <v>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1775.3000000000002</v>
      </c>
      <c r="C4265" s="2" t="s">
        <v>594</v>
      </c>
      <c r="D4265" s="2" t="str">
        <f t="shared" si="65"/>
        <v>Error?</v>
      </c>
      <c r="E4265" s="128"/>
    </row>
    <row r="4266" spans="1:5" x14ac:dyDescent="0.2">
      <c r="A4266" s="12">
        <v>4205</v>
      </c>
      <c r="B4266" s="138">
        <f>('FP Info 3'!F10)*100000</f>
        <v>513.5</v>
      </c>
      <c r="C4266" s="2" t="s">
        <v>594</v>
      </c>
      <c r="D4266" s="2" t="str">
        <f t="shared" si="65"/>
        <v>Error?</v>
      </c>
      <c r="E4266" s="128"/>
    </row>
    <row r="4267" spans="1:5" x14ac:dyDescent="0.2">
      <c r="A4267" s="12">
        <v>4206</v>
      </c>
      <c r="B4267" s="138">
        <f>('FP Info 3'!H10)*100000</f>
        <v>131</v>
      </c>
      <c r="C4267" s="2" t="s">
        <v>594</v>
      </c>
      <c r="D4267" s="2" t="str">
        <f t="shared" si="65"/>
        <v>Error?</v>
      </c>
      <c r="E4267" s="128"/>
    </row>
    <row r="4268" spans="1:5" x14ac:dyDescent="0.2">
      <c r="A4268" s="12">
        <v>4207</v>
      </c>
      <c r="B4268" s="138">
        <f>('FP Info 3'!J10)*100000</f>
        <v>2420</v>
      </c>
      <c r="C4268" s="2" t="s">
        <v>594</v>
      </c>
      <c r="D4268" s="2" t="str">
        <f t="shared" si="65"/>
        <v>Error?</v>
      </c>
    </row>
    <row r="4269" spans="1:5" x14ac:dyDescent="0.2">
      <c r="A4269" s="12">
        <v>4208</v>
      </c>
      <c r="B4269" s="138">
        <f>'FP Info 3'!J16</f>
        <v>1928577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7494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594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39609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12569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52643978</v>
      </c>
      <c r="D4995" s="2" t="str">
        <f t="shared" si="77"/>
        <v>Error?</v>
      </c>
    </row>
    <row r="4996" spans="1:4" x14ac:dyDescent="0.2">
      <c r="A4996" s="12">
        <v>4935</v>
      </c>
      <c r="B4996" s="138">
        <f>'FP Info 3'!H31</f>
        <v>3632434.4820000003</v>
      </c>
      <c r="D4996" s="2" t="str">
        <f t="shared" si="77"/>
        <v>Error?</v>
      </c>
    </row>
    <row r="4997" spans="1:4" x14ac:dyDescent="0.2">
      <c r="A4997" s="12">
        <v>4936</v>
      </c>
      <c r="B4997" s="138">
        <f>'FP Info 3'!H37</f>
        <v>110000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901360</v>
      </c>
      <c r="D5061" s="2" t="str">
        <f t="shared" si="78"/>
        <v>Error?</v>
      </c>
    </row>
    <row r="5062" spans="1:4" x14ac:dyDescent="0.2">
      <c r="A5062" s="10">
        <v>5001</v>
      </c>
      <c r="D5062" s="2" t="str">
        <f t="shared" si="78"/>
        <v>OK</v>
      </c>
    </row>
    <row r="5063" spans="1:4" x14ac:dyDescent="0.2">
      <c r="A5063" s="5">
        <v>5002</v>
      </c>
      <c r="B5063" s="138">
        <f>'Revenues 9-14'!C7</f>
        <v>7476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908836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5419</v>
      </c>
      <c r="D5069" s="2" t="str">
        <f t="shared" si="78"/>
        <v>Error?</v>
      </c>
    </row>
    <row r="5070" spans="1:4" x14ac:dyDescent="0.2">
      <c r="A5070" s="5">
        <v>5009</v>
      </c>
      <c r="B5070" s="138">
        <f>'Revenues 9-14'!C17</f>
        <v>148</v>
      </c>
      <c r="D5070" s="2" t="str">
        <f t="shared" si="78"/>
        <v>Error?</v>
      </c>
    </row>
    <row r="5071" spans="1:4" x14ac:dyDescent="0.2">
      <c r="A5071" s="5">
        <v>5010</v>
      </c>
      <c r="B5071" s="138">
        <f>'Revenues 9-14'!C18</f>
        <v>5567</v>
      </c>
      <c r="C5071" s="2" t="s">
        <v>594</v>
      </c>
      <c r="D5071" s="2" t="str">
        <f t="shared" si="78"/>
        <v>Error?</v>
      </c>
    </row>
    <row r="5072" spans="1:4" x14ac:dyDescent="0.2">
      <c r="A5072" s="5">
        <v>5011</v>
      </c>
      <c r="B5072" s="138">
        <f>'Revenues 9-14'!C20</f>
        <v>5130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5130</v>
      </c>
      <c r="C5087" s="2" t="s">
        <v>594</v>
      </c>
      <c r="D5087" s="2" t="str">
        <f t="shared" si="78"/>
        <v>Error?</v>
      </c>
    </row>
    <row r="5088" spans="1:4" x14ac:dyDescent="0.2">
      <c r="A5088" s="5">
        <v>5027</v>
      </c>
      <c r="B5088" s="138">
        <f>'Revenues 9-14'!C65</f>
        <v>5012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5012</v>
      </c>
      <c r="C5090" s="2" t="s">
        <v>594</v>
      </c>
      <c r="D5090" s="2" t="str">
        <f t="shared" si="78"/>
        <v>Error?</v>
      </c>
    </row>
    <row r="5091" spans="1:4" x14ac:dyDescent="0.2">
      <c r="A5091" s="5">
        <v>5030</v>
      </c>
      <c r="B5091" s="138">
        <f>'Revenues 9-14'!C70</f>
        <v>415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4607</v>
      </c>
      <c r="D5093" s="2" t="str">
        <f t="shared" si="78"/>
        <v>Error?</v>
      </c>
    </row>
    <row r="5094" spans="1:4" x14ac:dyDescent="0.2">
      <c r="A5094" s="5">
        <v>5033</v>
      </c>
      <c r="B5094" s="138">
        <f>'Revenues 9-14'!C73</f>
        <v>132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5583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510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510</v>
      </c>
      <c r="C5112" s="2" t="s">
        <v>594</v>
      </c>
      <c r="D5112" s="2" t="str">
        <f t="shared" si="78"/>
        <v>Error?</v>
      </c>
    </row>
    <row r="5113" spans="1:4" x14ac:dyDescent="0.2">
      <c r="A5113" s="5">
        <v>5052</v>
      </c>
      <c r="B5113" s="138">
        <f>'Revenues 9-14'!C95</f>
        <v>370</v>
      </c>
      <c r="D5113" s="2" t="str">
        <f t="shared" si="78"/>
        <v>Error?</v>
      </c>
    </row>
    <row r="5114" spans="1:4" x14ac:dyDescent="0.2">
      <c r="A5114" s="5">
        <v>5053</v>
      </c>
      <c r="B5114" s="138">
        <f>'Revenues 9-14'!C96</f>
        <v>450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8783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275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10472</v>
      </c>
      <c r="C5120" s="2" t="s">
        <v>594</v>
      </c>
      <c r="D5120" s="2" t="str">
        <f t="shared" si="79"/>
        <v>Error?</v>
      </c>
    </row>
    <row r="5121" spans="1:4" x14ac:dyDescent="0.2">
      <c r="A5121" s="5">
        <v>5060</v>
      </c>
      <c r="B5121" s="138">
        <f>'Revenues 9-14'!C109</f>
        <v>941110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67838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67838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6213</v>
      </c>
      <c r="D5134" s="2" t="str">
        <f t="shared" si="79"/>
        <v>Error?</v>
      </c>
    </row>
    <row r="5135" spans="1:4" x14ac:dyDescent="0.2">
      <c r="A5135" s="5">
        <v>5074</v>
      </c>
      <c r="B5135" s="138">
        <f>'Revenues 9-14'!C126</f>
        <v>5375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11588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415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51612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119450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12569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14453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6931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21384</v>
      </c>
      <c r="C5246" s="2" t="s">
        <v>594</v>
      </c>
      <c r="D5246" s="2" t="str">
        <f t="shared" si="80"/>
        <v>Error?</v>
      </c>
    </row>
    <row r="5247" spans="1:4" x14ac:dyDescent="0.2">
      <c r="A5247" s="5">
        <v>5186</v>
      </c>
      <c r="B5247" s="138">
        <f>'Revenues 9-14'!C203</f>
        <v>24243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24243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1333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63454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76023</v>
      </c>
      <c r="C5326" s="2" t="s">
        <v>594</v>
      </c>
      <c r="D5326" s="2" t="str">
        <f t="shared" si="82"/>
        <v>Error?</v>
      </c>
    </row>
    <row r="5327" spans="1:4" x14ac:dyDescent="0.2">
      <c r="A5327" s="5">
        <v>5266</v>
      </c>
      <c r="B5327" s="138">
        <f>'Revenues 9-14'!C275</f>
        <v>1136583</v>
      </c>
      <c r="C5327" s="2" t="s">
        <v>594</v>
      </c>
      <c r="D5327" s="2" t="str">
        <f t="shared" si="82"/>
        <v>Error?</v>
      </c>
    </row>
    <row r="5328" spans="1:4" x14ac:dyDescent="0.2">
      <c r="A5328" s="5">
        <v>5267</v>
      </c>
      <c r="B5328" s="138">
        <f>'Revenues 9-14'!D5</f>
        <v>268757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268757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4879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4879</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10624</v>
      </c>
      <c r="D5354" s="2" t="str">
        <f t="shared" si="82"/>
        <v>Error?</v>
      </c>
    </row>
    <row r="5355" spans="1:4" x14ac:dyDescent="0.2">
      <c r="A5355" s="5">
        <v>5294</v>
      </c>
      <c r="B5355" s="138">
        <f>'Revenues 9-14'!D108</f>
        <v>10624</v>
      </c>
      <c r="C5355" s="2" t="s">
        <v>594</v>
      </c>
      <c r="D5355" s="2" t="str">
        <f t="shared" si="82"/>
        <v>Error?</v>
      </c>
    </row>
    <row r="5356" spans="1:4" x14ac:dyDescent="0.2">
      <c r="A5356" s="5">
        <v>5295</v>
      </c>
      <c r="B5356" s="138">
        <f>'Revenues 9-14'!D109</f>
        <v>284260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145421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145421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145421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429681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32459</v>
      </c>
      <c r="C5526" s="2" t="s">
        <v>594</v>
      </c>
      <c r="D5526" s="2" t="str">
        <f t="shared" si="85"/>
        <v>Error?</v>
      </c>
    </row>
    <row r="5527" spans="1:4" x14ac:dyDescent="0.2">
      <c r="A5527" s="5">
        <v>5466</v>
      </c>
      <c r="B5527" s="138">
        <f>'Revenues 9-14'!E109</f>
        <v>32459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32459</v>
      </c>
      <c r="C5552" s="2" t="s">
        <v>594</v>
      </c>
      <c r="D5552" s="2" t="str">
        <f t="shared" si="85"/>
        <v>Error?</v>
      </c>
    </row>
    <row r="5553" spans="1:4" x14ac:dyDescent="0.2">
      <c r="A5553" s="5">
        <v>5492</v>
      </c>
      <c r="B5553" s="138">
        <f>'Revenues 9-14'!F5</f>
        <v>69858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69858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69858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10921</v>
      </c>
      <c r="D5615" s="2" t="str">
        <f t="shared" si="86"/>
        <v>Error?</v>
      </c>
    </row>
    <row r="5616" spans="1:4" x14ac:dyDescent="0.2">
      <c r="A5616" s="10">
        <v>5555</v>
      </c>
      <c r="D5616" s="2" t="str">
        <f t="shared" si="86"/>
        <v>OK</v>
      </c>
    </row>
    <row r="5617" spans="1:4" x14ac:dyDescent="0.2">
      <c r="A5617" s="5">
        <v>5556</v>
      </c>
      <c r="B5617" s="138">
        <f>'Revenues 9-14'!F152</f>
        <v>1178</v>
      </c>
      <c r="D5617" s="2" t="str">
        <f t="shared" si="86"/>
        <v>Error?</v>
      </c>
    </row>
    <row r="5618" spans="1:4" x14ac:dyDescent="0.2">
      <c r="A5618" s="5">
        <v>5557</v>
      </c>
      <c r="B5618" s="138">
        <f>'Revenues 9-14'!F154</f>
        <v>12099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12099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12099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81957</v>
      </c>
      <c r="C5720" s="2" t="s">
        <v>594</v>
      </c>
      <c r="D5720" s="2" t="str">
        <f t="shared" si="88"/>
        <v>Error?</v>
      </c>
    </row>
    <row r="5721" spans="1:4" x14ac:dyDescent="0.2">
      <c r="A5721" s="5">
        <v>5660</v>
      </c>
      <c r="B5721" s="138">
        <f>'Revenues 9-14'!G5</f>
        <v>11972</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23944</v>
      </c>
      <c r="C5725" s="2" t="s">
        <v>594</v>
      </c>
      <c r="D5725" s="2" t="str">
        <f t="shared" si="88"/>
        <v>Error?</v>
      </c>
    </row>
    <row r="5726" spans="1:4" x14ac:dyDescent="0.2">
      <c r="A5726" s="5">
        <v>5665</v>
      </c>
      <c r="B5726" s="138">
        <f>'Revenues 9-14'!G14</f>
        <v>1670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1670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25614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16319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16319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16319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16320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16320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16483</v>
      </c>
      <c r="C6023" s="2" t="s">
        <v>594</v>
      </c>
      <c r="D6023" s="2" t="str">
        <f t="shared" si="93"/>
        <v>Error?</v>
      </c>
    </row>
    <row r="6024" spans="1:5" x14ac:dyDescent="0.2">
      <c r="A6024" s="5">
        <v>5963</v>
      </c>
      <c r="B6024" s="138">
        <f>'Revenues 9-14'!G109</f>
        <v>25614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16319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16483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6318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6764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178772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178772</v>
      </c>
      <c r="D6215" s="2" t="str">
        <f t="shared" si="96"/>
        <v>Error?</v>
      </c>
      <c r="E6215" s="2" t="s">
        <v>199</v>
      </c>
    </row>
    <row r="6216" spans="1:5" x14ac:dyDescent="0.2">
      <c r="A6216">
        <v>6155</v>
      </c>
      <c r="B6216" s="138">
        <f>'Assets-Liab 5-6'!J41</f>
        <v>178772</v>
      </c>
      <c r="D6216" s="2" t="str">
        <f t="shared" si="96"/>
        <v>Error?</v>
      </c>
      <c r="E6216" s="2" t="s">
        <v>199</v>
      </c>
    </row>
    <row r="6217" spans="1:5" x14ac:dyDescent="0.2">
      <c r="A6217">
        <v>6156</v>
      </c>
      <c r="B6217" s="138">
        <f>'Assets-Liab 5-6'!J4</f>
        <v>178772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87708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87708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87708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40685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40685</v>
      </c>
      <c r="D6229" s="2" t="str">
        <f t="shared" si="96"/>
        <v>Error?</v>
      </c>
      <c r="E6229" s="2" t="s">
        <v>199</v>
      </c>
    </row>
    <row r="6230" spans="1:5" x14ac:dyDescent="0.2">
      <c r="A6230">
        <v>6169</v>
      </c>
      <c r="B6230" s="138">
        <f>'Acct Summary 7-8'!J20</f>
        <v>47023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47023</v>
      </c>
      <c r="D6263" s="2" t="str">
        <f t="shared" si="96"/>
        <v>Error?</v>
      </c>
      <c r="E6263" s="2" t="s">
        <v>199</v>
      </c>
    </row>
    <row r="6264" spans="1:5" x14ac:dyDescent="0.2">
      <c r="A6264">
        <v>6203</v>
      </c>
      <c r="B6264" s="138">
        <f>'Acct Summary 7-8'!J79</f>
        <v>131749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178772</v>
      </c>
      <c r="D6266" s="2" t="str">
        <f t="shared" si="96"/>
        <v>Error?</v>
      </c>
      <c r="E6266" s="2" t="s">
        <v>199</v>
      </c>
    </row>
    <row r="6267" spans="1:5" x14ac:dyDescent="0.2">
      <c r="A6267">
        <v>6206</v>
      </c>
      <c r="B6267" s="138">
        <f>'Acct Summary 7-8'!C82</f>
        <v>123837</v>
      </c>
      <c r="D6267" s="2" t="str">
        <f t="shared" si="96"/>
        <v>Error?</v>
      </c>
      <c r="E6267" s="2" t="s">
        <v>199</v>
      </c>
    </row>
    <row r="6268" spans="1:5" x14ac:dyDescent="0.2">
      <c r="A6268">
        <v>6207</v>
      </c>
      <c r="B6268" s="138">
        <f>'Acct Summary 7-8'!D82</f>
        <v>90488</v>
      </c>
      <c r="D6268" s="2" t="str">
        <f t="shared" si="96"/>
        <v>Error?</v>
      </c>
      <c r="E6268" s="2" t="s">
        <v>199</v>
      </c>
    </row>
    <row r="6269" spans="1:5" x14ac:dyDescent="0.2">
      <c r="A6269">
        <v>6208</v>
      </c>
      <c r="B6269" s="138">
        <f>'Acct Summary 7-8'!E82</f>
        <v>3495</v>
      </c>
      <c r="D6269" s="2" t="str">
        <f t="shared" si="96"/>
        <v>Error?</v>
      </c>
      <c r="E6269" s="2" t="s">
        <v>199</v>
      </c>
    </row>
    <row r="6270" spans="1:5" x14ac:dyDescent="0.2">
      <c r="A6270">
        <v>6209</v>
      </c>
      <c r="B6270" s="138">
        <f>'Acct Summary 7-8'!F82</f>
        <v>-65776</v>
      </c>
      <c r="D6270" s="2" t="str">
        <f t="shared" si="96"/>
        <v>Error?</v>
      </c>
      <c r="E6270" s="2" t="s">
        <v>199</v>
      </c>
    </row>
    <row r="6271" spans="1:5" x14ac:dyDescent="0.2">
      <c r="A6271">
        <v>6210</v>
      </c>
      <c r="B6271" s="138">
        <f>'Acct Summary 7-8'!G82</f>
        <v>-10682</v>
      </c>
      <c r="D6271" s="2" t="str">
        <f t="shared" ref="D6271:D6334" si="97">IF(ISBLANK(B6271),"OK",IF(A6271-B6271=0,"OK","Error?"))</f>
        <v>Error?</v>
      </c>
      <c r="E6271" s="2" t="s">
        <v>199</v>
      </c>
    </row>
    <row r="6272" spans="1:5" x14ac:dyDescent="0.2">
      <c r="A6272">
        <v>6211</v>
      </c>
      <c r="B6272" s="138">
        <f>'Acct Summary 7-8'!H82</f>
        <v>-71</v>
      </c>
      <c r="D6272" s="2" t="str">
        <f t="shared" si="97"/>
        <v>Error?</v>
      </c>
      <c r="E6272" s="2" t="s">
        <v>199</v>
      </c>
    </row>
    <row r="6273" spans="1:5" x14ac:dyDescent="0.2">
      <c r="A6273">
        <v>6212</v>
      </c>
      <c r="B6273" s="138">
        <f>'Acct Summary 7-8'!I82</f>
        <v>16319</v>
      </c>
      <c r="D6273" s="2" t="str">
        <f t="shared" si="97"/>
        <v>Error?</v>
      </c>
      <c r="E6273" s="2" t="s">
        <v>199</v>
      </c>
    </row>
    <row r="6274" spans="1:5" x14ac:dyDescent="0.2">
      <c r="A6274">
        <v>6213</v>
      </c>
      <c r="B6274" s="138">
        <f>'Acct Summary 7-8'!J82</f>
        <v>47023</v>
      </c>
      <c r="D6274" s="2" t="str">
        <f t="shared" si="97"/>
        <v>Error?</v>
      </c>
      <c r="E6274" s="2" t="s">
        <v>199</v>
      </c>
    </row>
    <row r="6275" spans="1:5" x14ac:dyDescent="0.2">
      <c r="A6275">
        <v>6214</v>
      </c>
      <c r="B6275" s="138">
        <f>'Acct Summary 7-8'!K82</f>
        <v>1498</v>
      </c>
      <c r="D6275" s="2" t="str">
        <f t="shared" si="97"/>
        <v>Error?</v>
      </c>
      <c r="E6275" s="2" t="s">
        <v>199</v>
      </c>
    </row>
    <row r="6276" spans="1:5" x14ac:dyDescent="0.2">
      <c r="A6276">
        <v>6215</v>
      </c>
      <c r="B6276" s="138">
        <f>'Acct Summary 7-8'!C83</f>
        <v>0.1022552181646131</v>
      </c>
      <c r="D6276" s="2" t="str">
        <f t="shared" si="97"/>
        <v>Error?</v>
      </c>
      <c r="E6276" s="2" t="s">
        <v>199</v>
      </c>
    </row>
    <row r="6277" spans="1:5" x14ac:dyDescent="0.2">
      <c r="A6277">
        <v>6216</v>
      </c>
      <c r="B6277" s="138">
        <f>'Acct Summary 7-8'!D83</f>
        <v>0.25970880056024176</v>
      </c>
      <c r="D6277" s="2" t="str">
        <f t="shared" si="97"/>
        <v>Error?</v>
      </c>
      <c r="E6277" s="2" t="s">
        <v>199</v>
      </c>
    </row>
    <row r="6278" spans="1:5" x14ac:dyDescent="0.2">
      <c r="A6278">
        <v>6217</v>
      </c>
      <c r="B6278" s="138">
        <f>'Acct Summary 7-8'!E83</f>
        <v>0.17721326437480986</v>
      </c>
      <c r="D6278" s="2" t="str">
        <f t="shared" si="97"/>
        <v>Error?</v>
      </c>
      <c r="E6278" s="2" t="s">
        <v>199</v>
      </c>
    </row>
    <row r="6279" spans="1:5" x14ac:dyDescent="0.2">
      <c r="A6279">
        <v>6218</v>
      </c>
      <c r="B6279" s="138">
        <f>'Acct Summary 7-8'!F83</f>
        <v>-0.23020817292212065</v>
      </c>
      <c r="D6279" s="2" t="str">
        <f t="shared" si="97"/>
        <v>Error?</v>
      </c>
      <c r="E6279" s="2" t="s">
        <v>199</v>
      </c>
    </row>
    <row r="6280" spans="1:5" x14ac:dyDescent="0.2">
      <c r="A6280">
        <v>6219</v>
      </c>
      <c r="B6280" s="138">
        <f>'Acct Summary 7-8'!G83</f>
        <v>-7.3681669253319537E-2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0.19573248254851633</v>
      </c>
      <c r="D6282" s="2" t="str">
        <f t="shared" si="97"/>
        <v>Error?</v>
      </c>
      <c r="E6282" s="2" t="s">
        <v>199</v>
      </c>
    </row>
    <row r="6283" spans="1:5" x14ac:dyDescent="0.2">
      <c r="A6283">
        <v>6222</v>
      </c>
      <c r="B6283" s="138">
        <f>'Acct Summary 7-8'!J83</f>
        <v>0.26303336092900453</v>
      </c>
      <c r="D6283" s="2" t="str">
        <f t="shared" si="97"/>
        <v>Error?</v>
      </c>
      <c r="E6283" s="2" t="s">
        <v>199</v>
      </c>
    </row>
    <row r="6284" spans="1:5" x14ac:dyDescent="0.2">
      <c r="A6284">
        <v>6223</v>
      </c>
      <c r="B6284" s="138">
        <f>'Acct Summary 7-8'!K83</f>
        <v>3.778343884783212E-2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87708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87708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87708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40685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87708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5657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5657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16523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16523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18158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18158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40685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40685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40685</v>
      </c>
      <c r="D7224" s="2" t="str">
        <f t="shared" si="111"/>
        <v>Error?</v>
      </c>
    </row>
    <row r="7225" spans="1:4" x14ac:dyDescent="0.2">
      <c r="A7225">
        <v>7164</v>
      </c>
      <c r="B7225" s="138">
        <f>'Expenditures 15-22'!K343</f>
        <v>47023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73013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16298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32459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32459</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7476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71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2964</v>
      </c>
      <c r="D7724" s="2" t="str">
        <f t="shared" si="126"/>
        <v>Error?</v>
      </c>
      <c r="E7724" s="2" t="s">
        <v>881</v>
      </c>
      <c r="F7724" s="2"/>
    </row>
    <row r="7725" spans="1:6" x14ac:dyDescent="0.2">
      <c r="A7725">
        <v>7664</v>
      </c>
      <c r="B7725" s="138">
        <f>'Rest Tax Levies-Tort Im 25'!J19</f>
        <v>25000</v>
      </c>
      <c r="D7725" s="2" t="str">
        <f t="shared" si="126"/>
        <v>Error?</v>
      </c>
      <c r="E7725" s="2" t="s">
        <v>881</v>
      </c>
    </row>
    <row r="7726" spans="1:6" x14ac:dyDescent="0.2">
      <c r="A7726">
        <v>7665</v>
      </c>
      <c r="B7726" s="138">
        <f>'Rest Tax Levies-Tort Im 25'!J20</f>
        <v>1000</v>
      </c>
      <c r="D7726" s="2" t="str">
        <f t="shared" si="126"/>
        <v>Error?</v>
      </c>
      <c r="E7726" s="2" t="s">
        <v>881</v>
      </c>
    </row>
    <row r="7727" spans="1:6" x14ac:dyDescent="0.2">
      <c r="A7727">
        <v>7666</v>
      </c>
      <c r="B7727" s="138">
        <f>'Rest Tax Levies-Tort Im 25'!J21</f>
        <v>28964</v>
      </c>
      <c r="D7727" s="2" t="str">
        <f t="shared" si="126"/>
        <v>Error?</v>
      </c>
      <c r="E7727" s="2" t="s">
        <v>881</v>
      </c>
    </row>
    <row r="7728" spans="1:6" x14ac:dyDescent="0.2">
      <c r="A7728">
        <v>7667</v>
      </c>
      <c r="B7728" s="138">
        <f>'Revenues 9-14'!E103</f>
        <v>32459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29035</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19722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19722</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20742</v>
      </c>
      <c r="D7797" s="2" t="str">
        <f t="shared" si="127"/>
        <v>Error?</v>
      </c>
      <c r="E7797" s="4" t="s">
        <v>2020</v>
      </c>
    </row>
    <row r="7798" spans="1:5" x14ac:dyDescent="0.2">
      <c r="A7798">
        <v>7737</v>
      </c>
      <c r="B7798" s="138">
        <f>'Contracts Paid in CY 29'!F30</f>
        <v>20742</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6" t="str">
        <f>COVER!A17</f>
        <v>Akin CCSD 91</v>
      </c>
      <c r="B7" s="2407"/>
      <c r="C7" s="2407"/>
      <c r="D7" s="2444"/>
      <c r="E7" s="2445">
        <f>COVER!A13</f>
        <v>21028091004</v>
      </c>
      <c r="F7" s="2446"/>
      <c r="G7" s="2413" t="str">
        <f>COVER!T23</f>
        <v>060-006876</v>
      </c>
      <c r="H7" s="2414"/>
      <c r="I7" s="2414"/>
      <c r="J7" s="2414"/>
      <c r="K7" s="2414"/>
      <c r="L7" s="241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6"/>
      <c r="B9" s="2417"/>
      <c r="C9" s="2417"/>
      <c r="D9" s="2417"/>
      <c r="E9" s="2417"/>
      <c r="F9" s="2418"/>
      <c r="G9" s="2419" t="str">
        <f>COVER!T13</f>
        <v>SUSAN J. LYONS, CPA, P.C.</v>
      </c>
      <c r="H9" s="2420"/>
      <c r="I9" s="2420"/>
      <c r="J9" s="2420"/>
      <c r="K9" s="2420"/>
      <c r="L9" s="2421"/>
    </row>
    <row r="10" spans="1:29" ht="13.5" customHeight="1" x14ac:dyDescent="0.2">
      <c r="A10" s="2403" t="str">
        <f>COVER!A38</f>
        <v>TAMMY McCOLLUM</v>
      </c>
      <c r="B10" s="2404"/>
      <c r="C10" s="2404"/>
      <c r="D10" s="2404"/>
      <c r="E10" s="2404"/>
      <c r="F10" s="2405"/>
      <c r="G10" s="2419" t="str">
        <f>COVER!T17</f>
        <v>5859 U.S. HIGHWAY 51</v>
      </c>
      <c r="H10" s="2432"/>
      <c r="I10" s="2432"/>
      <c r="J10" s="2432"/>
      <c r="K10" s="2432"/>
      <c r="L10" s="2433"/>
    </row>
    <row r="11" spans="1:29" ht="13.5" customHeight="1" x14ac:dyDescent="0.2">
      <c r="A11" s="1185" t="s">
        <v>1599</v>
      </c>
      <c r="B11" s="1186"/>
      <c r="C11" s="1187"/>
      <c r="D11" s="1192"/>
      <c r="E11" s="1187"/>
      <c r="F11" s="1191"/>
      <c r="G11" s="2419" t="str">
        <f>COVER!T19</f>
        <v>ODIN</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slyons1007@gmail.com</v>
      </c>
      <c r="J13" s="2441"/>
      <c r="K13" s="2441"/>
      <c r="L13" s="2442"/>
    </row>
    <row r="14" spans="1:29" ht="13.5" customHeight="1" x14ac:dyDescent="0.2">
      <c r="A14" s="2419" t="str">
        <f>COVER!A19</f>
        <v>21962 AKIN BLACKTOP</v>
      </c>
      <c r="B14" s="2432"/>
      <c r="C14" s="2432"/>
      <c r="D14" s="2432"/>
      <c r="E14" s="2432"/>
      <c r="F14" s="2433"/>
      <c r="G14" s="1196" t="s">
        <v>1247</v>
      </c>
      <c r="H14" s="1194"/>
      <c r="I14" s="1194"/>
      <c r="J14" s="1194"/>
      <c r="K14" s="1194"/>
      <c r="L14" s="1195"/>
    </row>
    <row r="15" spans="1:29" ht="13.5" customHeight="1" x14ac:dyDescent="0.2">
      <c r="A15" s="2419" t="str">
        <f>COVER!A21</f>
        <v>AKIN</v>
      </c>
      <c r="B15" s="2432"/>
      <c r="C15" s="2432"/>
      <c r="D15" s="2432"/>
      <c r="E15" s="2432"/>
      <c r="F15" s="2433"/>
      <c r="G15" s="2429" t="str">
        <f>COVER!T15</f>
        <v>SUSAN J. LYONS</v>
      </c>
      <c r="H15" s="2430"/>
      <c r="I15" s="2430"/>
      <c r="J15" s="2430"/>
      <c r="K15" s="2430"/>
      <c r="L15" s="2431"/>
    </row>
    <row r="16" spans="1:29" ht="12.2" customHeight="1" x14ac:dyDescent="0.2">
      <c r="A16" s="2409">
        <f>COVER!A25</f>
        <v>62890</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1246</v>
      </c>
      <c r="H17" s="1194"/>
      <c r="I17" s="1194"/>
      <c r="J17" s="1194"/>
      <c r="K17" s="1198" t="s">
        <v>1245</v>
      </c>
      <c r="L17" s="1191"/>
      <c r="M17" s="1184"/>
    </row>
    <row r="18" spans="1:13" ht="12.2" customHeight="1" x14ac:dyDescent="0.2">
      <c r="A18" s="2403"/>
      <c r="B18" s="2404"/>
      <c r="C18" s="2404"/>
      <c r="D18" s="2404"/>
      <c r="E18" s="2404"/>
      <c r="F18" s="2405"/>
      <c r="G18" s="2406" t="str">
        <f>COVER!T21</f>
        <v>618-267-3213</v>
      </c>
      <c r="H18" s="2407"/>
      <c r="I18" s="2407"/>
      <c r="J18" s="2407"/>
      <c r="K18" s="2406" t="str">
        <f>COVER!X21</f>
        <v>618-247-3208</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Akin CCSD 91</v>
      </c>
      <c r="B1" s="2443"/>
      <c r="C1" s="2443"/>
      <c r="D1" s="2443"/>
    </row>
    <row r="2" spans="1:11" s="1215" customFormat="1" ht="12.75" x14ac:dyDescent="0.2">
      <c r="A2" s="2448">
        <f>'Single Audit Cover'!E7</f>
        <v>21028091004</v>
      </c>
      <c r="B2" s="2449"/>
      <c r="C2" s="2449"/>
      <c r="D2" s="2449"/>
    </row>
    <row r="3" spans="1:11" s="1215" customFormat="1" ht="12.75" x14ac:dyDescent="0.2">
      <c r="A3" s="2447" t="s">
        <v>1593</v>
      </c>
      <c r="B3" s="2443"/>
      <c r="C3" s="2443"/>
      <c r="D3" s="244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Akin CCSD 91</v>
      </c>
      <c r="B1" s="2451"/>
      <c r="C1" s="2451"/>
      <c r="D1" s="2451"/>
      <c r="E1" s="2451"/>
    </row>
    <row r="2" spans="1:5" x14ac:dyDescent="0.2">
      <c r="A2" s="2452">
        <f>'Single Audit Cover'!E7</f>
        <v>21028091004</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76023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6318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82341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82341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0</v>
      </c>
    </row>
    <row r="49" spans="2:4" x14ac:dyDescent="0.2">
      <c r="B49" s="1272" t="s">
        <v>1288</v>
      </c>
      <c r="C49" s="1272"/>
      <c r="D49" s="1273">
        <f>D32-D47</f>
        <v>82341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Akin CCSD 91</v>
      </c>
      <c r="B1" s="2456"/>
      <c r="C1" s="2456"/>
      <c r="D1" s="2456"/>
      <c r="E1" s="2456"/>
      <c r="F1" s="2456"/>
    </row>
    <row r="2" spans="1:7" ht="13.5" customHeight="1" x14ac:dyDescent="0.2">
      <c r="A2" s="2457">
        <f>'Single Audit Cover'!E7</f>
        <v>21028091004</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1832</v>
      </c>
      <c r="B7" s="2455"/>
      <c r="C7" s="2455"/>
      <c r="D7" s="2455"/>
      <c r="E7" s="2455"/>
      <c r="F7" s="245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5" t="s">
        <v>1834</v>
      </c>
      <c r="B13" s="2455"/>
      <c r="C13" s="2455"/>
      <c r="D13" s="2455"/>
      <c r="E13" s="2455"/>
      <c r="F13" s="2455"/>
    </row>
    <row r="14" spans="1:7" ht="9.75" customHeight="1" x14ac:dyDescent="0.2">
      <c r="C14" s="1260"/>
      <c r="D14" s="1260"/>
    </row>
    <row r="15" spans="1:7" ht="13.5" customHeight="1" x14ac:dyDescent="0.2">
      <c r="C15" s="1869" t="s">
        <v>1332</v>
      </c>
      <c r="D15" s="2461" t="s">
        <v>1331</v>
      </c>
      <c r="E15" s="2461"/>
      <c r="F15" s="2461"/>
    </row>
    <row r="16" spans="1:7" ht="13.5" customHeight="1" x14ac:dyDescent="0.2">
      <c r="A16" s="1282"/>
      <c r="B16" s="1276" t="s">
        <v>1330</v>
      </c>
      <c r="C16" s="1869" t="s">
        <v>1329</v>
      </c>
      <c r="D16" s="2462" t="s">
        <v>1670</v>
      </c>
      <c r="E16" s="2462"/>
      <c r="F16" s="2462"/>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5">
        <f>+C33+C34</f>
        <v>0</v>
      </c>
      <c r="F34" s="2466"/>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68"/>
      <c r="C50" s="1868"/>
      <c r="D50" s="1868"/>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Akin CCSD 91</v>
      </c>
      <c r="C1" s="2468"/>
      <c r="D1" s="2468"/>
      <c r="E1" s="2468"/>
      <c r="F1" s="2468"/>
      <c r="G1" s="2468"/>
      <c r="H1" s="2468"/>
      <c r="I1" s="2468"/>
      <c r="J1" s="2468"/>
      <c r="K1" s="2468"/>
      <c r="L1" s="2468"/>
      <c r="M1" s="2468"/>
    </row>
    <row r="2" spans="2:14" ht="15" x14ac:dyDescent="0.2">
      <c r="B2" s="2457">
        <f>'Single Audit Cover'!E7</f>
        <v>21028091004</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A44" sqref="A44:H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2077</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2078</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Akin CCSD 91</v>
      </c>
      <c r="C1" s="2476"/>
      <c r="D1" s="2476"/>
      <c r="E1" s="2476"/>
      <c r="F1" s="2476"/>
      <c r="G1" s="2476"/>
      <c r="H1" s="2476"/>
      <c r="I1" s="2476"/>
      <c r="J1" s="1422"/>
    </row>
    <row r="2" spans="2:10" s="317" customFormat="1" ht="12.75" customHeight="1" x14ac:dyDescent="0.2">
      <c r="B2" s="2477">
        <f>'Single Audit Cover'!E7</f>
        <v>21028091004</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1675</v>
      </c>
      <c r="D43" s="2490"/>
      <c r="E43" s="2490"/>
      <c r="F43" s="2491"/>
      <c r="G43" s="2492">
        <f>SUM(G38:I42)</f>
        <v>0</v>
      </c>
      <c r="H43" s="2492"/>
      <c r="I43" s="2492"/>
    </row>
    <row r="44" spans="2:9" ht="12.75" customHeight="1" x14ac:dyDescent="0.2"/>
    <row r="45" spans="2:9" ht="12.75" customHeight="1" x14ac:dyDescent="0.2">
      <c r="B45" s="1435" t="s">
        <v>1952</v>
      </c>
      <c r="D45" s="2493">
        <v>0</v>
      </c>
      <c r="E45" s="249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5"/>
      <c r="F49" s="2495"/>
      <c r="G49" s="249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2088</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7" t="s">
        <v>2089</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2090</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2091</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2092</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6" t="s">
        <v>2093</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6" t="s">
        <v>2094</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4"/>
      <c r="M3" s="1954"/>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2119</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2120</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2121</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2122</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2123</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2124</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2125</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8"/>
      <c r="M3" s="1958"/>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2126</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2127</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2121</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2149</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2128</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2129</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2130</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8"/>
      <c r="M3" s="1958"/>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4</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34.5" customHeight="1" x14ac:dyDescent="0.2">
      <c r="B14" s="2497" t="s">
        <v>2131</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56.25" customHeight="1" x14ac:dyDescent="0.2">
      <c r="B17" s="2497" t="s">
        <v>2132</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2121</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2133</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2134</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2148</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2135</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9"/>
      <c r="M3" s="1959"/>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5</v>
      </c>
      <c r="E10" s="322"/>
      <c r="F10" s="1387" t="s">
        <v>1362</v>
      </c>
      <c r="G10" s="1388" t="s">
        <v>2087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2136</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2137</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2138</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2139</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2140</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2147</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2141</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9"/>
      <c r="M3" s="1959"/>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6</v>
      </c>
      <c r="E10" s="322"/>
      <c r="F10" s="1387" t="s">
        <v>1362</v>
      </c>
      <c r="G10" s="1388" t="s">
        <v>2087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36.75" customHeight="1" x14ac:dyDescent="0.2">
      <c r="B14" s="2497" t="s">
        <v>2142</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57" customHeight="1" x14ac:dyDescent="0.2">
      <c r="B17" s="2497" t="s">
        <v>2145</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2138</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2143</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2144</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2146</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2130</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Akin CCSD 91</v>
      </c>
      <c r="C1" s="2475"/>
      <c r="D1" s="2475"/>
      <c r="E1" s="2475"/>
      <c r="F1" s="2475"/>
      <c r="G1" s="2475"/>
      <c r="H1" s="2475"/>
      <c r="I1" s="2475"/>
      <c r="J1" s="2475"/>
      <c r="K1" s="2475"/>
      <c r="L1" s="1374"/>
      <c r="M1" s="1374"/>
    </row>
    <row r="2" spans="1:13" ht="12" customHeight="1" x14ac:dyDescent="0.2">
      <c r="B2" s="2477">
        <f>'Single Audit Cover'!E7</f>
        <v>21028091004</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9"/>
      <c r="M3" s="1959"/>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Akin CCSD 91</v>
      </c>
      <c r="C1" s="2502"/>
      <c r="D1" s="2502"/>
      <c r="E1" s="2502"/>
      <c r="F1" s="2502"/>
      <c r="G1" s="2502"/>
      <c r="H1" s="2502"/>
      <c r="I1" s="2502"/>
      <c r="J1" s="2502"/>
      <c r="K1" s="2502"/>
      <c r="L1" s="1465"/>
    </row>
    <row r="2" spans="1:12" ht="12.75" customHeight="1" x14ac:dyDescent="0.2">
      <c r="B2" s="2503">
        <f>'Single Audit Cover'!E7</f>
        <v>21028091004</v>
      </c>
      <c r="C2" s="2503"/>
      <c r="D2" s="2503"/>
      <c r="E2" s="2503"/>
      <c r="F2" s="2503"/>
      <c r="G2" s="2503"/>
      <c r="H2" s="2503"/>
      <c r="I2" s="2503"/>
      <c r="J2" s="2503"/>
      <c r="K2" s="2503"/>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Akin CCSD 91</v>
      </c>
      <c r="C1" s="2475"/>
      <c r="D1" s="2475"/>
      <c r="E1" s="1491"/>
    </row>
    <row r="2" spans="2:5" s="1282" customFormat="1" ht="12.75" customHeight="1" x14ac:dyDescent="0.2">
      <c r="B2" s="2477">
        <f>'Single Audit Cover'!E7</f>
        <v>21028091004</v>
      </c>
      <c r="C2" s="2477"/>
      <c r="D2" s="2477"/>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A44" sqref="A44:H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52643978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1.7753000000000001E-2</v>
      </c>
      <c r="E10" s="356" t="s">
        <v>1062</v>
      </c>
      <c r="F10" s="355">
        <v>5.1349999999999998E-3</v>
      </c>
      <c r="G10" s="356" t="s">
        <v>1062</v>
      </c>
      <c r="H10" s="355">
        <v>1.31E-3</v>
      </c>
      <c r="I10" s="356" t="s">
        <v>1063</v>
      </c>
      <c r="J10" s="1753">
        <f>ROUND(D10+F10+H10,5)</f>
        <v>2.4199999999999999E-2</v>
      </c>
      <c r="K10" s="222"/>
      <c r="L10" s="355">
        <v>3.0600000000000001E-4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1664540</v>
      </c>
      <c r="E16" s="356"/>
      <c r="F16" s="1754">
        <f>SUM('Acct Summary 7-8'!C17,'Acct Summary 7-8'!D17,'Acct Summary 7-8'!F17)</f>
        <v>1499672</v>
      </c>
      <c r="G16" s="356"/>
      <c r="H16" s="1754">
        <f>SUM(D16-F16)</f>
        <v>164868</v>
      </c>
      <c r="I16" s="222"/>
      <c r="J16" s="1754">
        <f>SUM('Acct Summary 7-8'!C81,'Acct Summary 7-8'!D81,'Acct Summary 7-8'!F81,'Acct Summary 7-8'!I81)</f>
        <v>1928577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3632434.4820000003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44" sqref="A44: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Akin CCSD 91</v>
      </c>
      <c r="E7" s="391"/>
      <c r="G7" s="252"/>
      <c r="H7" s="387"/>
      <c r="I7" s="387"/>
      <c r="J7" s="387"/>
      <c r="K7" s="387"/>
      <c r="L7" s="329"/>
      <c r="M7" s="329"/>
      <c r="N7" s="329"/>
      <c r="O7" s="329"/>
      <c r="P7" s="329"/>
    </row>
    <row r="8" spans="1:18" ht="12.75" x14ac:dyDescent="0.2">
      <c r="A8" s="329"/>
      <c r="B8" s="329"/>
      <c r="C8" s="389" t="s">
        <v>1187</v>
      </c>
      <c r="D8" s="392">
        <f>COVER!A13</f>
        <v>21028091004</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1928577</v>
      </c>
      <c r="I12" s="404"/>
      <c r="J12" s="404"/>
      <c r="K12" s="405">
        <f>TRUNC((H12/H13*100000),5)/100000</f>
        <v>1.1586246049</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1664540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1499672</v>
      </c>
      <c r="I17" s="404"/>
      <c r="J17" s="416"/>
      <c r="K17" s="405">
        <f>TRUNC((H17/H18*100000),5)/100000</f>
        <v>0.90095281570000008</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1664540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1921813</v>
      </c>
      <c r="I24" s="422"/>
      <c r="J24" s="422"/>
      <c r="K24" s="423">
        <f>TRUNC(((H24/H25*100000)/100000),2)</f>
        <v>461.33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4165.7555599999996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1082886.6274600001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110000</v>
      </c>
      <c r="I32" s="420"/>
      <c r="J32" s="420"/>
      <c r="K32" s="423">
        <f>TRUNC(100-((((H32/H33*100))*100)/100),2)</f>
        <v>96.97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3632434.4820000003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4" sqref="A44:H44"/>
      <selection pane="bottomLeft" activeCell="A44" sqref="A44: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1204294</v>
      </c>
      <c r="D4" s="466">
        <v>348421</v>
      </c>
      <c r="E4" s="466">
        <v>19722</v>
      </c>
      <c r="F4" s="466">
        <v>285724</v>
      </c>
      <c r="G4" s="466">
        <v>144975</v>
      </c>
      <c r="H4" s="466"/>
      <c r="I4" s="466">
        <v>83374</v>
      </c>
      <c r="J4" s="467">
        <v>178772</v>
      </c>
      <c r="K4" s="466">
        <v>39647</v>
      </c>
      <c r="L4" s="466">
        <v>19348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6764</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1211058</v>
      </c>
      <c r="D13" s="1758">
        <f t="shared" ref="D13:L13" si="0">SUM(D4:D12)</f>
        <v>348421</v>
      </c>
      <c r="E13" s="1758">
        <f t="shared" si="0"/>
        <v>19722</v>
      </c>
      <c r="F13" s="1758">
        <f t="shared" si="0"/>
        <v>285724</v>
      </c>
      <c r="G13" s="1758">
        <f t="shared" si="0"/>
        <v>144975</v>
      </c>
      <c r="H13" s="1758">
        <f t="shared" si="0"/>
        <v>0</v>
      </c>
      <c r="I13" s="1758">
        <f t="shared" si="0"/>
        <v>83374</v>
      </c>
      <c r="J13" s="1758">
        <f t="shared" si="0"/>
        <v>178772</v>
      </c>
      <c r="K13" s="1758">
        <f t="shared" si="0"/>
        <v>39647</v>
      </c>
      <c r="L13" s="1758">
        <f t="shared" si="0"/>
        <v>19348</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25500</v>
      </c>
      <c r="N16" s="484"/>
    </row>
    <row r="17" spans="1:14" s="485" customFormat="1" ht="12.75" customHeight="1" x14ac:dyDescent="0.2">
      <c r="A17" s="482" t="s">
        <v>1470</v>
      </c>
      <c r="B17" s="483">
        <v>230</v>
      </c>
      <c r="C17" s="477"/>
      <c r="D17" s="477"/>
      <c r="E17" s="477"/>
      <c r="F17" s="477"/>
      <c r="G17" s="477"/>
      <c r="H17" s="477"/>
      <c r="I17" s="477"/>
      <c r="J17" s="477"/>
      <c r="K17" s="477"/>
      <c r="L17" s="477"/>
      <c r="M17" s="467">
        <v>1157559</v>
      </c>
      <c r="N17" s="484"/>
    </row>
    <row r="18" spans="1:14" s="485" customFormat="1" ht="12.75" customHeight="1" x14ac:dyDescent="0.2">
      <c r="A18" s="482" t="s">
        <v>1471</v>
      </c>
      <c r="B18" s="483">
        <v>240</v>
      </c>
      <c r="C18" s="477"/>
      <c r="D18" s="477"/>
      <c r="E18" s="477"/>
      <c r="F18" s="477"/>
      <c r="G18" s="477"/>
      <c r="H18" s="477"/>
      <c r="I18" s="477"/>
      <c r="J18" s="477"/>
      <c r="K18" s="477"/>
      <c r="L18" s="477"/>
      <c r="M18" s="467">
        <v>147476</v>
      </c>
      <c r="N18" s="484"/>
    </row>
    <row r="19" spans="1:14" s="485" customFormat="1" ht="12.75" customHeight="1" x14ac:dyDescent="0.2">
      <c r="A19" s="482" t="s">
        <v>1472</v>
      </c>
      <c r="B19" s="483">
        <v>250</v>
      </c>
      <c r="C19" s="477"/>
      <c r="D19" s="477"/>
      <c r="E19" s="477"/>
      <c r="F19" s="477"/>
      <c r="G19" s="477"/>
      <c r="H19" s="477"/>
      <c r="I19" s="477"/>
      <c r="J19" s="477"/>
      <c r="K19" s="477"/>
      <c r="L19" s="477"/>
      <c r="M19" s="467">
        <v>738255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19722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90278</v>
      </c>
    </row>
    <row r="23" spans="1:14" ht="13.5" customHeight="1" thickBot="1" x14ac:dyDescent="0.25">
      <c r="A23" s="1757" t="s">
        <v>664</v>
      </c>
      <c r="B23" s="1762"/>
      <c r="C23" s="468"/>
      <c r="D23" s="468"/>
      <c r="E23" s="468"/>
      <c r="F23" s="468"/>
      <c r="G23" s="468"/>
      <c r="H23" s="468"/>
      <c r="I23" s="468"/>
      <c r="J23" s="468"/>
      <c r="K23" s="468"/>
      <c r="L23" s="468"/>
      <c r="M23" s="1709">
        <f>SUM(M15:M22)</f>
        <v>2068790</v>
      </c>
      <c r="N23" s="1709">
        <f>SUM(N21:N22)</f>
        <v>110000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19348</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19348</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110000</v>
      </c>
    </row>
    <row r="37" spans="1:14" ht="13.5" thickBot="1" x14ac:dyDescent="0.25">
      <c r="A37" s="1757" t="s">
        <v>674</v>
      </c>
      <c r="B37" s="1762"/>
      <c r="C37" s="477"/>
      <c r="D37" s="477"/>
      <c r="E37" s="477"/>
      <c r="F37" s="477"/>
      <c r="G37" s="477"/>
      <c r="H37" s="477"/>
      <c r="I37" s="477"/>
      <c r="J37" s="477"/>
      <c r="K37" s="477"/>
      <c r="L37" s="480"/>
      <c r="M37" s="468"/>
      <c r="N37" s="1709">
        <f>SUM(N36:N36)</f>
        <v>110000</v>
      </c>
    </row>
    <row r="38" spans="1:14" s="329" customFormat="1" ht="13.5" customHeight="1" thickTop="1" x14ac:dyDescent="0.2">
      <c r="A38" s="496" t="s">
        <v>440</v>
      </c>
      <c r="B38" s="483">
        <v>714</v>
      </c>
      <c r="C38" s="466">
        <v>4459</v>
      </c>
      <c r="D38" s="466"/>
      <c r="E38" s="466"/>
      <c r="F38" s="466"/>
      <c r="G38" s="466">
        <v>74585</v>
      </c>
      <c r="H38" s="466"/>
      <c r="I38" s="466"/>
      <c r="J38" s="467"/>
      <c r="K38" s="466"/>
      <c r="L38" s="481"/>
      <c r="M38" s="497"/>
      <c r="N38" s="497"/>
    </row>
    <row r="39" spans="1:14" s="329" customFormat="1" ht="13.5" customHeight="1" x14ac:dyDescent="0.2">
      <c r="A39" s="496" t="s">
        <v>360</v>
      </c>
      <c r="B39" s="483">
        <v>730</v>
      </c>
      <c r="C39" s="466">
        <v>1206599</v>
      </c>
      <c r="D39" s="466">
        <v>348421</v>
      </c>
      <c r="E39" s="466">
        <v>19722</v>
      </c>
      <c r="F39" s="466">
        <v>285724</v>
      </c>
      <c r="G39" s="466">
        <v>70390</v>
      </c>
      <c r="H39" s="466"/>
      <c r="I39" s="466">
        <v>83374</v>
      </c>
      <c r="J39" s="467">
        <v>178772</v>
      </c>
      <c r="K39" s="466">
        <v>39647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2068790</v>
      </c>
      <c r="N40" s="497"/>
    </row>
    <row r="41" spans="1:14" ht="13.5" customHeight="1" thickBot="1" x14ac:dyDescent="0.25">
      <c r="A41" s="1757" t="s">
        <v>676</v>
      </c>
      <c r="B41" s="1727"/>
      <c r="C41" s="1709">
        <f>(SUM(C34,C37,C38,C39))</f>
        <v>1211058</v>
      </c>
      <c r="D41" s="1709">
        <f t="shared" ref="D41:L41" si="2">SUM(D34,D37,D38:D39)</f>
        <v>348421</v>
      </c>
      <c r="E41" s="1709">
        <f t="shared" si="2"/>
        <v>19722</v>
      </c>
      <c r="F41" s="1709">
        <f t="shared" si="2"/>
        <v>285724</v>
      </c>
      <c r="G41" s="1709">
        <f t="shared" si="2"/>
        <v>144975</v>
      </c>
      <c r="H41" s="1709">
        <f t="shared" si="2"/>
        <v>0</v>
      </c>
      <c r="I41" s="1709">
        <f t="shared" si="2"/>
        <v>83374</v>
      </c>
      <c r="J41" s="1709">
        <f t="shared" si="2"/>
        <v>178772</v>
      </c>
      <c r="K41" s="1709">
        <f t="shared" si="2"/>
        <v>39647</v>
      </c>
      <c r="L41" s="1709">
        <f t="shared" si="2"/>
        <v>19348</v>
      </c>
      <c r="M41" s="1709">
        <f>SUM(M40)</f>
        <v>2068790</v>
      </c>
      <c r="N41" s="1709">
        <f>SUM(N37)</f>
        <v>110000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4" sqref="A44:H44"/>
      <selection pane="bottomLeft" activeCell="A44" sqref="A44:H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2" t="s">
        <v>1579</v>
      </c>
      <c r="B4" s="1953">
        <v>1000</v>
      </c>
      <c r="C4" s="1763">
        <f>'Revenues 9-14'!C109</f>
        <v>941110</v>
      </c>
      <c r="D4" s="1763">
        <f>'Revenues 9-14'!D109</f>
        <v>284260</v>
      </c>
      <c r="E4" s="1763">
        <f>'Revenues 9-14'!E109</f>
        <v>32459</v>
      </c>
      <c r="F4" s="1763">
        <f>'Revenues 9-14'!F109</f>
        <v>69858</v>
      </c>
      <c r="G4" s="1763">
        <f>'Revenues 9-14'!G109</f>
        <v>25614</v>
      </c>
      <c r="H4" s="1763">
        <f>'Revenues 9-14'!H109</f>
        <v>0</v>
      </c>
      <c r="I4" s="1763">
        <f>'Revenues 9-14'!I109</f>
        <v>16319</v>
      </c>
      <c r="J4" s="1763">
        <f>'Revenues 9-14'!J109</f>
        <v>87708</v>
      </c>
      <c r="K4" s="1763">
        <f>'Revenues 9-14'!K109</f>
        <v>16483</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119450</v>
      </c>
      <c r="D6" s="1764">
        <f>'Revenues 9-14'!D173</f>
        <v>145421</v>
      </c>
      <c r="E6" s="1764">
        <f>'Revenues 9-14'!E173</f>
        <v>0</v>
      </c>
      <c r="F6" s="1764">
        <f>'Revenues 9-14'!F173</f>
        <v>12099</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76023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1136583</v>
      </c>
      <c r="D8" s="1709">
        <f t="shared" ref="D8:K8" si="0">SUM(D4:D7)</f>
        <v>429681</v>
      </c>
      <c r="E8" s="1709">
        <f t="shared" si="0"/>
        <v>32459</v>
      </c>
      <c r="F8" s="1709">
        <f t="shared" si="0"/>
        <v>81957</v>
      </c>
      <c r="G8" s="1709">
        <f t="shared" si="0"/>
        <v>25614</v>
      </c>
      <c r="H8" s="1709">
        <f t="shared" si="0"/>
        <v>0</v>
      </c>
      <c r="I8" s="1709">
        <f t="shared" si="0"/>
        <v>16319</v>
      </c>
      <c r="J8" s="1709">
        <f t="shared" si="0"/>
        <v>87708</v>
      </c>
      <c r="K8" s="1709">
        <f t="shared" si="0"/>
        <v>16483</v>
      </c>
      <c r="L8" s="347"/>
    </row>
    <row r="9" spans="1:13" ht="15.75" thickTop="1" x14ac:dyDescent="0.2">
      <c r="A9" s="514" t="s">
        <v>1752</v>
      </c>
      <c r="B9" s="515">
        <v>3998</v>
      </c>
      <c r="C9" s="481">
        <v>476029</v>
      </c>
      <c r="D9" s="516"/>
      <c r="E9" s="481"/>
      <c r="F9" s="481"/>
      <c r="G9" s="517"/>
      <c r="H9" s="481"/>
      <c r="I9" s="509" t="s">
        <v>1231</v>
      </c>
      <c r="J9" s="478"/>
      <c r="K9" s="481"/>
      <c r="L9" s="347"/>
    </row>
    <row r="10" spans="1:13" s="519" customFormat="1" ht="13.5" thickBot="1" x14ac:dyDescent="0.25">
      <c r="A10" s="1757" t="s">
        <v>1235</v>
      </c>
      <c r="B10" s="1730"/>
      <c r="C10" s="1709">
        <f>SUM(C8:C9)</f>
        <v>1612612</v>
      </c>
      <c r="D10" s="1709">
        <f t="shared" ref="D10:K10" si="1">SUM(D8:D9)</f>
        <v>429681</v>
      </c>
      <c r="E10" s="1709">
        <f t="shared" si="1"/>
        <v>32459</v>
      </c>
      <c r="F10" s="1709">
        <f t="shared" si="1"/>
        <v>81957</v>
      </c>
      <c r="G10" s="1709">
        <f t="shared" si="1"/>
        <v>25614</v>
      </c>
      <c r="H10" s="1709">
        <f t="shared" si="1"/>
        <v>0</v>
      </c>
      <c r="I10" s="1709">
        <f t="shared" si="1"/>
        <v>16319</v>
      </c>
      <c r="J10" s="1709">
        <f t="shared" si="1"/>
        <v>87708</v>
      </c>
      <c r="K10" s="1709">
        <f t="shared" si="1"/>
        <v>16483</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3">
        <f>'Expenditures 15-22'!K33</f>
        <v>707788</v>
      </c>
      <c r="D12" s="520" t="s">
        <v>1231</v>
      </c>
      <c r="E12" s="468" t="s">
        <v>1231</v>
      </c>
      <c r="F12" s="468" t="s">
        <v>1231</v>
      </c>
      <c r="G12" s="1763">
        <f>'Expenditures 15-22'!K229</f>
        <v>12773</v>
      </c>
      <c r="H12" s="521"/>
      <c r="I12" s="468" t="s">
        <v>1231</v>
      </c>
      <c r="J12" s="468" t="s">
        <v>1231</v>
      </c>
      <c r="K12" s="521" t="s">
        <v>1231</v>
      </c>
      <c r="L12" s="347"/>
    </row>
    <row r="13" spans="1:13" ht="15.75" customHeight="1" x14ac:dyDescent="0.2">
      <c r="A13" s="1598" t="s">
        <v>477</v>
      </c>
      <c r="B13" s="1600">
        <v>2000</v>
      </c>
      <c r="C13" s="1764">
        <f>'Expenditures 15-22'!K74</f>
        <v>295440</v>
      </c>
      <c r="D13" s="1764">
        <f>'Expenditures 15-22'!K129</f>
        <v>339193</v>
      </c>
      <c r="E13" s="469" t="s">
        <v>1231</v>
      </c>
      <c r="F13" s="1764">
        <f>'Expenditures 15-22'!K184</f>
        <v>147733</v>
      </c>
      <c r="G13" s="1764">
        <f>'Expenditures 15-22'!K279</f>
        <v>23319</v>
      </c>
      <c r="H13" s="1764">
        <f>'Expenditures 15-22'!K303</f>
        <v>71</v>
      </c>
      <c r="I13" s="468" t="s">
        <v>1231</v>
      </c>
      <c r="J13" s="1764">
        <f>'Expenditures 15-22'!K330</f>
        <v>40685</v>
      </c>
      <c r="K13" s="1768">
        <f>'Expenditures 15-22'!K352</f>
        <v>14985</v>
      </c>
      <c r="L13" s="347"/>
    </row>
    <row r="14" spans="1:13" ht="15.75" customHeight="1" x14ac:dyDescent="0.2">
      <c r="A14" s="1598" t="s">
        <v>469</v>
      </c>
      <c r="B14" s="1600">
        <v>3000</v>
      </c>
      <c r="C14" s="1764">
        <f>'Expenditures 15-22'!K75</f>
        <v>4648</v>
      </c>
      <c r="D14" s="1764">
        <f>'Expenditures 15-22'!K130</f>
        <v>0</v>
      </c>
      <c r="E14" s="520" t="s">
        <v>1231</v>
      </c>
      <c r="F14" s="1764">
        <f>'Expenditures 15-22'!K185</f>
        <v>0</v>
      </c>
      <c r="G14" s="1764">
        <f>'Expenditures 15-22'!K280</f>
        <v>204</v>
      </c>
      <c r="H14" s="512"/>
      <c r="I14" s="468" t="s">
        <v>1231</v>
      </c>
      <c r="J14" s="468" t="s">
        <v>1231</v>
      </c>
      <c r="K14" s="512" t="s">
        <v>1231</v>
      </c>
      <c r="L14" s="347"/>
    </row>
    <row r="15" spans="1:13" ht="15.75" customHeight="1" x14ac:dyDescent="0.2">
      <c r="A15" s="1598" t="s">
        <v>109</v>
      </c>
      <c r="B15" s="1600">
        <v>4000</v>
      </c>
      <c r="C15" s="1764">
        <f>'Expenditures 15-22'!K102</f>
        <v>4870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28964</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1012746</v>
      </c>
      <c r="D17" s="1709">
        <f t="shared" si="2"/>
        <v>339193</v>
      </c>
      <c r="E17" s="1709">
        <f t="shared" si="2"/>
        <v>28964</v>
      </c>
      <c r="F17" s="1709">
        <f t="shared" si="2"/>
        <v>147733</v>
      </c>
      <c r="G17" s="1709">
        <f t="shared" si="2"/>
        <v>36296</v>
      </c>
      <c r="H17" s="1709">
        <f t="shared" si="2"/>
        <v>71</v>
      </c>
      <c r="I17" s="468"/>
      <c r="J17" s="1709">
        <f>SUM(J12:J16)</f>
        <v>40685</v>
      </c>
      <c r="K17" s="1709">
        <f>SUM(K12:K16)</f>
        <v>14985</v>
      </c>
      <c r="L17" s="347"/>
    </row>
    <row r="18" spans="1:12" ht="15" customHeight="1" thickTop="1" x14ac:dyDescent="0.2">
      <c r="A18" s="1765" t="s">
        <v>1753</v>
      </c>
      <c r="B18" s="1766">
        <v>4180</v>
      </c>
      <c r="C18" s="1763">
        <f t="shared" ref="C18:H18" si="3">C9</f>
        <v>476029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1488775</v>
      </c>
      <c r="D19" s="1709">
        <f t="shared" si="4"/>
        <v>339193</v>
      </c>
      <c r="E19" s="1709">
        <f t="shared" si="4"/>
        <v>28964</v>
      </c>
      <c r="F19" s="1709">
        <f t="shared" si="4"/>
        <v>147733</v>
      </c>
      <c r="G19" s="1709">
        <f t="shared" si="4"/>
        <v>36296</v>
      </c>
      <c r="H19" s="1709">
        <f t="shared" si="4"/>
        <v>71</v>
      </c>
      <c r="I19" s="468"/>
      <c r="J19" s="1709">
        <f>SUM(J17:J18)</f>
        <v>40685</v>
      </c>
      <c r="K19" s="1709">
        <f>SUM(K17:K18)</f>
        <v>14985</v>
      </c>
      <c r="L19" s="347"/>
    </row>
    <row r="20" spans="1:12" ht="16.5" thickTop="1" thickBot="1" x14ac:dyDescent="0.25">
      <c r="A20" s="2148" t="s">
        <v>1754</v>
      </c>
      <c r="B20" s="2149"/>
      <c r="C20" s="1767">
        <f>C8-C17</f>
        <v>123837</v>
      </c>
      <c r="D20" s="1767">
        <f t="shared" ref="D20:K20" si="5">D8-D17</f>
        <v>90488</v>
      </c>
      <c r="E20" s="1767">
        <f t="shared" si="5"/>
        <v>3495</v>
      </c>
      <c r="F20" s="1767">
        <f t="shared" si="5"/>
        <v>-65776</v>
      </c>
      <c r="G20" s="1767">
        <f t="shared" si="5"/>
        <v>-10682</v>
      </c>
      <c r="H20" s="1767">
        <f t="shared" si="5"/>
        <v>-71</v>
      </c>
      <c r="I20" s="1767">
        <f t="shared" si="5"/>
        <v>16319</v>
      </c>
      <c r="J20" s="1767">
        <f t="shared" si="5"/>
        <v>47023</v>
      </c>
      <c r="K20" s="1767">
        <f t="shared" si="5"/>
        <v>1498</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0" t="s">
        <v>1239</v>
      </c>
      <c r="B77" s="2141"/>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4" t="s">
        <v>618</v>
      </c>
      <c r="B78" s="2145"/>
      <c r="C78" s="1723">
        <f t="shared" ref="C78:K78" si="9">C20+C77</f>
        <v>123837</v>
      </c>
      <c r="D78" s="1723">
        <f t="shared" si="9"/>
        <v>90488</v>
      </c>
      <c r="E78" s="1723">
        <f t="shared" si="9"/>
        <v>3495</v>
      </c>
      <c r="F78" s="1723">
        <f t="shared" si="9"/>
        <v>-65776</v>
      </c>
      <c r="G78" s="1723">
        <f t="shared" si="9"/>
        <v>-10682</v>
      </c>
      <c r="H78" s="1723">
        <f t="shared" si="9"/>
        <v>-71</v>
      </c>
      <c r="I78" s="1723">
        <f t="shared" si="9"/>
        <v>16319</v>
      </c>
      <c r="J78" s="1723">
        <f t="shared" si="9"/>
        <v>47023</v>
      </c>
      <c r="K78" s="1723">
        <f t="shared" si="9"/>
        <v>1498</v>
      </c>
      <c r="L78" s="533"/>
    </row>
    <row r="79" spans="1:12" ht="13.5" thickTop="1" x14ac:dyDescent="0.2">
      <c r="A79" s="1516" t="s">
        <v>2073</v>
      </c>
      <c r="B79" s="534"/>
      <c r="C79" s="478">
        <v>1087221</v>
      </c>
      <c r="D79" s="535">
        <v>257933</v>
      </c>
      <c r="E79" s="535">
        <v>16227</v>
      </c>
      <c r="F79" s="535">
        <v>351500</v>
      </c>
      <c r="G79" s="535">
        <v>155657</v>
      </c>
      <c r="H79" s="535">
        <v>71</v>
      </c>
      <c r="I79" s="535">
        <v>67055</v>
      </c>
      <c r="J79" s="535">
        <v>131749</v>
      </c>
      <c r="K79" s="535">
        <v>38149</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09">
        <f>(SUM(C78:C80))</f>
        <v>1211058</v>
      </c>
      <c r="D81" s="1709">
        <f>SUM(D78:D80)</f>
        <v>348421</v>
      </c>
      <c r="E81" s="1709">
        <f t="shared" ref="E81:K81" si="10">SUM(E78:E80)</f>
        <v>19722</v>
      </c>
      <c r="F81" s="1709">
        <f t="shared" si="10"/>
        <v>285724</v>
      </c>
      <c r="G81" s="1709">
        <f t="shared" si="10"/>
        <v>144975</v>
      </c>
      <c r="H81" s="1709">
        <f t="shared" si="10"/>
        <v>0</v>
      </c>
      <c r="I81" s="1709">
        <f t="shared" si="10"/>
        <v>83374</v>
      </c>
      <c r="J81" s="1709">
        <f t="shared" si="10"/>
        <v>178772</v>
      </c>
      <c r="K81" s="1709">
        <f t="shared" si="10"/>
        <v>39647</v>
      </c>
      <c r="L81" s="347"/>
    </row>
    <row r="82" spans="1:12" ht="0.75" customHeight="1" thickTop="1" thickBot="1" x14ac:dyDescent="0.25">
      <c r="A82" s="536" t="s">
        <v>361</v>
      </c>
      <c r="B82" s="537"/>
      <c r="C82" s="538">
        <f>(C81-C79)</f>
        <v>123837</v>
      </c>
      <c r="D82" s="538">
        <f t="shared" ref="D82:K82" si="11">(D81-D79)</f>
        <v>90488</v>
      </c>
      <c r="E82" s="538">
        <f t="shared" si="11"/>
        <v>3495</v>
      </c>
      <c r="F82" s="538">
        <f t="shared" si="11"/>
        <v>-65776</v>
      </c>
      <c r="G82" s="538">
        <f t="shared" si="11"/>
        <v>-10682</v>
      </c>
      <c r="H82" s="538">
        <f t="shared" si="11"/>
        <v>-71</v>
      </c>
      <c r="I82" s="538">
        <f t="shared" si="11"/>
        <v>16319</v>
      </c>
      <c r="J82" s="538">
        <f t="shared" si="11"/>
        <v>47023</v>
      </c>
      <c r="K82" s="538">
        <f t="shared" si="11"/>
        <v>1498</v>
      </c>
    </row>
    <row r="83" spans="1:12" ht="14.25" hidden="1" thickTop="1" thickBot="1" x14ac:dyDescent="0.25">
      <c r="A83" s="539" t="s">
        <v>362</v>
      </c>
      <c r="B83" s="464"/>
      <c r="C83" s="540">
        <f>C82/C81</f>
        <v>0.1022552181646131</v>
      </c>
      <c r="D83" s="540">
        <f t="shared" ref="D83:K83" si="12">D82/D81</f>
        <v>0.25970880056024176</v>
      </c>
      <c r="E83" s="540">
        <f t="shared" si="12"/>
        <v>0.17721326437480986</v>
      </c>
      <c r="F83" s="540">
        <f t="shared" si="12"/>
        <v>-0.23020817292212065</v>
      </c>
      <c r="G83" s="540">
        <f t="shared" si="12"/>
        <v>-7.3681669253319537E-2</v>
      </c>
      <c r="H83" s="540" t="e">
        <f t="shared" si="12"/>
        <v>#DIV/0!</v>
      </c>
      <c r="I83" s="540">
        <f t="shared" si="12"/>
        <v>0.19573248254851633</v>
      </c>
      <c r="J83" s="540">
        <f t="shared" si="12"/>
        <v>0.26303336092900453</v>
      </c>
      <c r="K83" s="540">
        <f t="shared" si="12"/>
        <v>3.778343884783212E-2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901360</v>
      </c>
      <c r="D5" s="481">
        <v>268757</v>
      </c>
      <c r="E5" s="466"/>
      <c r="F5" s="548">
        <v>69858</v>
      </c>
      <c r="G5" s="466">
        <v>11972</v>
      </c>
      <c r="H5" s="466"/>
      <c r="I5" s="466">
        <v>16319</v>
      </c>
      <c r="J5" s="467">
        <v>87708</v>
      </c>
      <c r="K5" s="466">
        <v>16320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7476</v>
      </c>
      <c r="D7" s="466"/>
      <c r="E7" s="468"/>
      <c r="F7" s="467"/>
      <c r="G7" s="467"/>
      <c r="H7" s="467"/>
      <c r="I7" s="468"/>
      <c r="J7" s="468"/>
      <c r="K7" s="468"/>
    </row>
    <row r="8" spans="1:12" x14ac:dyDescent="0.2">
      <c r="A8" s="463" t="s">
        <v>433</v>
      </c>
      <c r="B8" s="470">
        <v>1150</v>
      </c>
      <c r="C8" s="475"/>
      <c r="D8" s="475"/>
      <c r="E8" s="477"/>
      <c r="F8" s="477"/>
      <c r="G8" s="481">
        <v>11972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908836</v>
      </c>
      <c r="D12" s="1728">
        <f t="shared" si="0"/>
        <v>268757</v>
      </c>
      <c r="E12" s="1728">
        <f t="shared" si="0"/>
        <v>0</v>
      </c>
      <c r="F12" s="1728">
        <f t="shared" si="0"/>
        <v>69858</v>
      </c>
      <c r="G12" s="1728">
        <f t="shared" si="0"/>
        <v>23944</v>
      </c>
      <c r="H12" s="1728">
        <f t="shared" si="0"/>
        <v>0</v>
      </c>
      <c r="I12" s="1728">
        <f t="shared" si="0"/>
        <v>16319</v>
      </c>
      <c r="J12" s="1728">
        <f t="shared" si="0"/>
        <v>87708</v>
      </c>
      <c r="K12" s="1709">
        <f t="shared" si="0"/>
        <v>16320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v>1670</v>
      </c>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5419</v>
      </c>
      <c r="D16" s="466">
        <v>4879</v>
      </c>
      <c r="E16" s="466"/>
      <c r="F16" s="466"/>
      <c r="G16" s="466"/>
      <c r="H16" s="466"/>
      <c r="I16" s="466"/>
      <c r="J16" s="467"/>
      <c r="K16" s="466"/>
    </row>
    <row r="17" spans="1:11" ht="12.75" customHeight="1" x14ac:dyDescent="0.2">
      <c r="A17" s="463" t="s">
        <v>840</v>
      </c>
      <c r="B17" s="470">
        <v>1290</v>
      </c>
      <c r="C17" s="551">
        <v>148</v>
      </c>
      <c r="D17" s="466"/>
      <c r="E17" s="466"/>
      <c r="F17" s="466"/>
      <c r="G17" s="466"/>
      <c r="H17" s="466"/>
      <c r="I17" s="466"/>
      <c r="J17" s="467"/>
      <c r="K17" s="466"/>
    </row>
    <row r="18" spans="1:11" ht="12.75" customHeight="1" thickBot="1" x14ac:dyDescent="0.25">
      <c r="A18" s="1729" t="s">
        <v>558</v>
      </c>
      <c r="B18" s="1730"/>
      <c r="C18" s="1731">
        <f>SUM(C14:C17)</f>
        <v>5567</v>
      </c>
      <c r="D18" s="1731">
        <f t="shared" ref="D18:K18" si="1">SUM(D14:D17)</f>
        <v>4879</v>
      </c>
      <c r="E18" s="1731">
        <f t="shared" si="1"/>
        <v>0</v>
      </c>
      <c r="F18" s="1731">
        <f t="shared" si="1"/>
        <v>0</v>
      </c>
      <c r="G18" s="1731">
        <f t="shared" si="1"/>
        <v>1670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5130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5130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5012</v>
      </c>
      <c r="D65" s="466"/>
      <c r="E65" s="466"/>
      <c r="F65" s="467"/>
      <c r="G65" s="466"/>
      <c r="H65" s="466"/>
      <c r="I65" s="466"/>
      <c r="J65" s="467"/>
      <c r="K65" s="466">
        <v>163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5012</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163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429</v>
      </c>
      <c r="D69" s="468"/>
      <c r="E69" s="468"/>
      <c r="F69" s="468"/>
      <c r="G69" s="468"/>
      <c r="H69" s="468"/>
      <c r="I69" s="468"/>
      <c r="J69" s="468"/>
      <c r="K69" s="468"/>
    </row>
    <row r="70" spans="1:11" ht="12.75" customHeight="1" x14ac:dyDescent="0.2">
      <c r="A70" s="463" t="s">
        <v>1054</v>
      </c>
      <c r="B70" s="470">
        <v>1612</v>
      </c>
      <c r="C70" s="551">
        <v>415</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4607</v>
      </c>
      <c r="D72" s="468"/>
      <c r="E72" s="468"/>
      <c r="F72" s="468"/>
      <c r="G72" s="468"/>
      <c r="H72" s="468"/>
      <c r="I72" s="468"/>
      <c r="J72" s="468"/>
      <c r="K72" s="468"/>
    </row>
    <row r="73" spans="1:11" ht="12.75" customHeight="1" x14ac:dyDescent="0.2">
      <c r="A73" s="463" t="s">
        <v>1055</v>
      </c>
      <c r="B73" s="470">
        <v>1620</v>
      </c>
      <c r="C73" s="551">
        <v>132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5583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510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370</v>
      </c>
      <c r="D95" s="551"/>
      <c r="E95" s="521"/>
      <c r="F95" s="521"/>
      <c r="G95" s="521"/>
      <c r="H95" s="521"/>
      <c r="I95" s="521"/>
      <c r="J95" s="521"/>
      <c r="K95" s="521"/>
    </row>
    <row r="96" spans="1:11" ht="12.75" customHeight="1" x14ac:dyDescent="0.2">
      <c r="A96" s="463" t="s">
        <v>409</v>
      </c>
      <c r="B96" s="470">
        <v>1920</v>
      </c>
      <c r="C96" s="551">
        <v>450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8783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32459</v>
      </c>
      <c r="F103" s="468"/>
      <c r="G103" s="468"/>
      <c r="H103" s="489"/>
      <c r="I103" s="468"/>
      <c r="J103" s="510"/>
      <c r="K103" s="510"/>
    </row>
    <row r="104" spans="1:12" ht="12.75" customHeight="1" x14ac:dyDescent="0.2">
      <c r="A104" s="463" t="s">
        <v>885</v>
      </c>
      <c r="B104" s="470">
        <v>1991</v>
      </c>
      <c r="C104" s="489">
        <v>594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275</v>
      </c>
      <c r="D106" s="489"/>
      <c r="E106" s="467"/>
      <c r="F106" s="467"/>
      <c r="G106" s="467"/>
      <c r="H106" s="467"/>
      <c r="I106" s="521"/>
      <c r="J106" s="467"/>
      <c r="K106" s="467"/>
    </row>
    <row r="107" spans="1:12" ht="12.75" customHeight="1" x14ac:dyDescent="0.2">
      <c r="A107" s="463" t="s">
        <v>80</v>
      </c>
      <c r="B107" s="470">
        <v>1999</v>
      </c>
      <c r="C107" s="551"/>
      <c r="D107" s="466">
        <v>10624</v>
      </c>
      <c r="E107" s="466"/>
      <c r="F107" s="466"/>
      <c r="G107" s="466"/>
      <c r="H107" s="466"/>
      <c r="I107" s="466"/>
      <c r="J107" s="467"/>
      <c r="K107" s="466"/>
    </row>
    <row r="108" spans="1:12" ht="12.75" customHeight="1" thickBot="1" x14ac:dyDescent="0.25">
      <c r="A108" s="1729" t="s">
        <v>508</v>
      </c>
      <c r="B108" s="1733"/>
      <c r="C108" s="1728">
        <f>SUM(C95:C107)</f>
        <v>10472</v>
      </c>
      <c r="D108" s="1728">
        <f t="shared" ref="D108:K108" si="3">SUM(D95:D107)</f>
        <v>10624</v>
      </c>
      <c r="E108" s="1728">
        <f t="shared" si="3"/>
        <v>32459</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941110</v>
      </c>
      <c r="D109" s="1736">
        <f t="shared" si="4"/>
        <v>284260</v>
      </c>
      <c r="E109" s="1736">
        <f t="shared" si="4"/>
        <v>32459</v>
      </c>
      <c r="F109" s="1736">
        <f t="shared" si="4"/>
        <v>69858</v>
      </c>
      <c r="G109" s="1736">
        <f t="shared" si="4"/>
        <v>25614</v>
      </c>
      <c r="H109" s="1736">
        <f t="shared" si="4"/>
        <v>0</v>
      </c>
      <c r="I109" s="1736">
        <f t="shared" si="4"/>
        <v>16319</v>
      </c>
      <c r="J109" s="1736">
        <f t="shared" si="4"/>
        <v>87708</v>
      </c>
      <c r="K109" s="1723">
        <f t="shared" si="4"/>
        <v>16483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67838</v>
      </c>
      <c r="D117" s="481">
        <v>145421</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67838</v>
      </c>
      <c r="D121" s="1728">
        <f t="shared" si="5"/>
        <v>145421</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6213</v>
      </c>
      <c r="D125" s="561"/>
      <c r="E125" s="468"/>
      <c r="F125" s="466"/>
      <c r="G125" s="468"/>
      <c r="H125" s="468"/>
      <c r="I125" s="468"/>
      <c r="J125" s="468"/>
      <c r="K125" s="468"/>
    </row>
    <row r="126" spans="1:11" ht="12.75" customHeight="1" x14ac:dyDescent="0.2">
      <c r="A126" s="463" t="s">
        <v>922</v>
      </c>
      <c r="B126" s="562">
        <v>3110</v>
      </c>
      <c r="C126" s="551">
        <v>5375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11588</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415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10921</v>
      </c>
      <c r="G151" s="467"/>
      <c r="H151" s="468"/>
      <c r="I151" s="468"/>
      <c r="J151" s="468"/>
      <c r="K151" s="468"/>
    </row>
    <row r="152" spans="1:11" ht="12.75" customHeight="1" x14ac:dyDescent="0.2">
      <c r="A152" s="463" t="s">
        <v>1117</v>
      </c>
      <c r="B152" s="562">
        <v>3510</v>
      </c>
      <c r="C152" s="551"/>
      <c r="D152" s="466"/>
      <c r="E152" s="561"/>
      <c r="F152" s="466">
        <v>1178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12099</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39609</v>
      </c>
      <c r="D171" s="580"/>
      <c r="E171" s="580"/>
      <c r="F171" s="580"/>
      <c r="G171" s="581"/>
      <c r="H171" s="582"/>
      <c r="I171" s="581"/>
      <c r="J171" s="581"/>
      <c r="K171" s="582"/>
    </row>
    <row r="172" spans="1:11" ht="12.75" customHeight="1" thickTop="1" thickBot="1" x14ac:dyDescent="0.25">
      <c r="A172" s="2166" t="s">
        <v>418</v>
      </c>
      <c r="B172" s="2167"/>
      <c r="C172" s="1743">
        <f t="shared" ref="C172:K172" si="6">SUM(C131,C140,C144,C145:C149,C154,C155:C170,C171)</f>
        <v>51612</v>
      </c>
      <c r="D172" s="1743">
        <f t="shared" si="6"/>
        <v>0</v>
      </c>
      <c r="E172" s="1743">
        <f t="shared" si="6"/>
        <v>0</v>
      </c>
      <c r="F172" s="1743">
        <f t="shared" si="6"/>
        <v>12099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119450</v>
      </c>
      <c r="D173" s="1736">
        <f>SUM(D121,D172)</f>
        <v>145421</v>
      </c>
      <c r="E173" s="1736">
        <f>SUM(E121,E172)</f>
        <v>0</v>
      </c>
      <c r="F173" s="1736">
        <f t="shared" ref="F173:K173" si="7">SUM(F121,F172)</f>
        <v>12099</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12569</v>
      </c>
      <c r="D183" s="466"/>
      <c r="E183" s="468"/>
      <c r="F183" s="466"/>
      <c r="G183" s="466"/>
      <c r="H183" s="466"/>
      <c r="I183" s="468"/>
      <c r="J183" s="468"/>
      <c r="K183" s="466"/>
    </row>
    <row r="184" spans="1:11" ht="13.5" thickBot="1" x14ac:dyDescent="0.25">
      <c r="A184" s="2174" t="s">
        <v>818</v>
      </c>
      <c r="B184" s="2175"/>
      <c r="C184" s="1728">
        <f>SUM(C180:C183)</f>
        <v>12569</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14453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6931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21384</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24243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24243</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9000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1333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1333</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7494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63454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76023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1136583</v>
      </c>
      <c r="D275" s="1736">
        <f t="shared" si="12"/>
        <v>429681</v>
      </c>
      <c r="E275" s="1736">
        <f t="shared" si="12"/>
        <v>32459</v>
      </c>
      <c r="F275" s="1736">
        <f t="shared" si="12"/>
        <v>81957</v>
      </c>
      <c r="G275" s="1736">
        <f t="shared" si="12"/>
        <v>25614</v>
      </c>
      <c r="H275" s="1736">
        <f t="shared" si="12"/>
        <v>0</v>
      </c>
      <c r="I275" s="1736">
        <f t="shared" si="12"/>
        <v>16319</v>
      </c>
      <c r="J275" s="1736">
        <f t="shared" si="12"/>
        <v>87708</v>
      </c>
      <c r="K275" s="1723">
        <f t="shared" si="12"/>
        <v>16483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418962</v>
      </c>
      <c r="D5" s="466">
        <v>108770</v>
      </c>
      <c r="E5" s="466">
        <v>20459</v>
      </c>
      <c r="F5" s="466">
        <v>32408</v>
      </c>
      <c r="G5" s="466">
        <v>2999</v>
      </c>
      <c r="H5" s="466"/>
      <c r="I5" s="467"/>
      <c r="J5" s="467"/>
      <c r="K5" s="1692">
        <f>SUM(C5:J5)</f>
        <v>583598</v>
      </c>
      <c r="L5" s="466">
        <v>630212</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61951</v>
      </c>
      <c r="D8" s="466">
        <v>11624</v>
      </c>
      <c r="E8" s="466"/>
      <c r="F8" s="466">
        <v>2305</v>
      </c>
      <c r="G8" s="466"/>
      <c r="H8" s="466"/>
      <c r="I8" s="467"/>
      <c r="J8" s="467"/>
      <c r="K8" s="1692">
        <f t="shared" si="0"/>
        <v>75880</v>
      </c>
      <c r="L8" s="466">
        <v>82645</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15000</v>
      </c>
      <c r="D10" s="466">
        <v>1375</v>
      </c>
      <c r="E10" s="466">
        <v>3762</v>
      </c>
      <c r="F10" s="466">
        <v>2703</v>
      </c>
      <c r="G10" s="466">
        <v>10776</v>
      </c>
      <c r="H10" s="466"/>
      <c r="I10" s="467"/>
      <c r="J10" s="467"/>
      <c r="K10" s="1692">
        <f t="shared" si="0"/>
        <v>33616</v>
      </c>
      <c r="L10" s="466">
        <v>32500</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12733</v>
      </c>
      <c r="D14" s="466">
        <v>1232</v>
      </c>
      <c r="E14" s="466">
        <v>222</v>
      </c>
      <c r="F14" s="466">
        <v>474</v>
      </c>
      <c r="G14" s="466"/>
      <c r="H14" s="466">
        <v>33</v>
      </c>
      <c r="I14" s="467"/>
      <c r="J14" s="467"/>
      <c r="K14" s="1692">
        <f t="shared" si="0"/>
        <v>14694</v>
      </c>
      <c r="L14" s="466">
        <v>16474</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508646</v>
      </c>
      <c r="D33" s="1691">
        <f t="shared" ref="D33:L33" si="1">SUM(D5:D32)</f>
        <v>123001</v>
      </c>
      <c r="E33" s="1691">
        <f t="shared" si="1"/>
        <v>24443</v>
      </c>
      <c r="F33" s="1691">
        <f t="shared" si="1"/>
        <v>37890</v>
      </c>
      <c r="G33" s="1691">
        <f t="shared" si="1"/>
        <v>13775</v>
      </c>
      <c r="H33" s="1691">
        <f t="shared" si="1"/>
        <v>33</v>
      </c>
      <c r="I33" s="1691">
        <f t="shared" si="1"/>
        <v>0</v>
      </c>
      <c r="J33" s="1691">
        <f t="shared" si="1"/>
        <v>0</v>
      </c>
      <c r="K33" s="1691">
        <f t="shared" si="1"/>
        <v>707788</v>
      </c>
      <c r="L33" s="1691">
        <f t="shared" si="1"/>
        <v>761831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c r="F38" s="466"/>
      <c r="G38" s="466"/>
      <c r="H38" s="466"/>
      <c r="I38" s="467"/>
      <c r="J38" s="467"/>
      <c r="K38" s="1692">
        <f t="shared" si="2"/>
        <v>0</v>
      </c>
      <c r="L38" s="466"/>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9584</v>
      </c>
      <c r="F40" s="466"/>
      <c r="G40" s="466"/>
      <c r="H40" s="466"/>
      <c r="I40" s="467"/>
      <c r="J40" s="467"/>
      <c r="K40" s="1692">
        <f t="shared" si="2"/>
        <v>9584</v>
      </c>
      <c r="L40" s="466">
        <v>23000</v>
      </c>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0</v>
      </c>
      <c r="D42" s="1691">
        <f t="shared" ref="D42:L42" si="3">SUM(D36:D41)</f>
        <v>0</v>
      </c>
      <c r="E42" s="1691">
        <f t="shared" si="3"/>
        <v>9584</v>
      </c>
      <c r="F42" s="1691">
        <f t="shared" si="3"/>
        <v>0</v>
      </c>
      <c r="G42" s="1691">
        <f t="shared" si="3"/>
        <v>0</v>
      </c>
      <c r="H42" s="1691">
        <f t="shared" si="3"/>
        <v>0</v>
      </c>
      <c r="I42" s="1691">
        <f t="shared" si="3"/>
        <v>0</v>
      </c>
      <c r="J42" s="1691">
        <f t="shared" si="3"/>
        <v>0</v>
      </c>
      <c r="K42" s="1691">
        <f t="shared" si="3"/>
        <v>9584</v>
      </c>
      <c r="L42" s="1691">
        <f t="shared" si="3"/>
        <v>23000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4907</v>
      </c>
      <c r="D44" s="481">
        <v>439</v>
      </c>
      <c r="E44" s="481">
        <v>7303</v>
      </c>
      <c r="F44" s="481">
        <v>4271</v>
      </c>
      <c r="G44" s="481">
        <v>1904</v>
      </c>
      <c r="H44" s="481"/>
      <c r="I44" s="467"/>
      <c r="J44" s="467"/>
      <c r="K44" s="1693">
        <f>SUM(C44:J44)</f>
        <v>18824</v>
      </c>
      <c r="L44" s="481">
        <v>11800</v>
      </c>
    </row>
    <row r="45" spans="1:14" x14ac:dyDescent="0.2">
      <c r="A45" s="1526" t="s">
        <v>869</v>
      </c>
      <c r="B45" s="615">
        <v>2220</v>
      </c>
      <c r="C45" s="466"/>
      <c r="D45" s="466"/>
      <c r="E45" s="466"/>
      <c r="F45" s="466"/>
      <c r="G45" s="466"/>
      <c r="H45" s="466"/>
      <c r="I45" s="467"/>
      <c r="J45" s="467"/>
      <c r="K45" s="1693">
        <f>SUM(C45:J45)</f>
        <v>0</v>
      </c>
      <c r="L45" s="466"/>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4907</v>
      </c>
      <c r="D47" s="1691">
        <f t="shared" ref="D47:K47" si="4">SUM(D44:D46)</f>
        <v>439</v>
      </c>
      <c r="E47" s="1691">
        <f t="shared" si="4"/>
        <v>7303</v>
      </c>
      <c r="F47" s="1691">
        <f t="shared" si="4"/>
        <v>4271</v>
      </c>
      <c r="G47" s="1691">
        <f t="shared" si="4"/>
        <v>1904</v>
      </c>
      <c r="H47" s="1691">
        <f t="shared" si="4"/>
        <v>0</v>
      </c>
      <c r="I47" s="1691">
        <f t="shared" si="4"/>
        <v>0</v>
      </c>
      <c r="J47" s="1691">
        <f t="shared" si="4"/>
        <v>0</v>
      </c>
      <c r="K47" s="1691">
        <f t="shared" si="4"/>
        <v>18824</v>
      </c>
      <c r="L47" s="1691">
        <f>SUM(L44:L46)</f>
        <v>11800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8809</v>
      </c>
      <c r="F49" s="481">
        <v>2610</v>
      </c>
      <c r="G49" s="481"/>
      <c r="H49" s="481"/>
      <c r="I49" s="467"/>
      <c r="J49" s="467"/>
      <c r="K49" s="1693">
        <f>SUM(C49:J49)</f>
        <v>11419</v>
      </c>
      <c r="L49" s="481">
        <v>17200</v>
      </c>
    </row>
    <row r="50" spans="1:14" x14ac:dyDescent="0.2">
      <c r="A50" s="1526" t="s">
        <v>872</v>
      </c>
      <c r="B50" s="615">
        <v>2320</v>
      </c>
      <c r="C50" s="466">
        <v>43100</v>
      </c>
      <c r="D50" s="466">
        <v>7158</v>
      </c>
      <c r="E50" s="466">
        <v>4679</v>
      </c>
      <c r="F50" s="466">
        <v>592</v>
      </c>
      <c r="G50" s="466"/>
      <c r="H50" s="466"/>
      <c r="I50" s="467"/>
      <c r="J50" s="467"/>
      <c r="K50" s="1693">
        <f>SUM(C50:J50)</f>
        <v>55529</v>
      </c>
      <c r="L50" s="466">
        <v>52225</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43100</v>
      </c>
      <c r="D53" s="1691">
        <f t="shared" ref="D53:L53" si="5">SUM(D49:D52)</f>
        <v>7158</v>
      </c>
      <c r="E53" s="1691">
        <f t="shared" si="5"/>
        <v>13488</v>
      </c>
      <c r="F53" s="1691">
        <f t="shared" si="5"/>
        <v>3202</v>
      </c>
      <c r="G53" s="1691">
        <f t="shared" si="5"/>
        <v>0</v>
      </c>
      <c r="H53" s="1691">
        <f t="shared" si="5"/>
        <v>0</v>
      </c>
      <c r="I53" s="1691">
        <f t="shared" si="5"/>
        <v>0</v>
      </c>
      <c r="J53" s="1691">
        <f t="shared" si="5"/>
        <v>0</v>
      </c>
      <c r="K53" s="1691">
        <f t="shared" si="5"/>
        <v>66948</v>
      </c>
      <c r="L53" s="1691">
        <f t="shared" si="5"/>
        <v>69425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54855</v>
      </c>
      <c r="D55" s="481">
        <v>9111</v>
      </c>
      <c r="E55" s="481">
        <v>1656</v>
      </c>
      <c r="F55" s="481">
        <v>4311</v>
      </c>
      <c r="G55" s="481"/>
      <c r="H55" s="481"/>
      <c r="I55" s="467"/>
      <c r="J55" s="467"/>
      <c r="K55" s="1693">
        <f>SUM(C55:J55)</f>
        <v>69933</v>
      </c>
      <c r="L55" s="481">
        <v>74736</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54855</v>
      </c>
      <c r="D57" s="1695">
        <f t="shared" ref="D57:K57" si="6">SUM(D55:D56)</f>
        <v>9111</v>
      </c>
      <c r="E57" s="1695">
        <f t="shared" si="6"/>
        <v>1656</v>
      </c>
      <c r="F57" s="1695">
        <f t="shared" si="6"/>
        <v>4311</v>
      </c>
      <c r="G57" s="1695">
        <f t="shared" si="6"/>
        <v>0</v>
      </c>
      <c r="H57" s="1695">
        <f t="shared" si="6"/>
        <v>0</v>
      </c>
      <c r="I57" s="1695">
        <f t="shared" si="6"/>
        <v>0</v>
      </c>
      <c r="J57" s="1695">
        <f t="shared" si="6"/>
        <v>0</v>
      </c>
      <c r="K57" s="1695">
        <f t="shared" si="6"/>
        <v>69933</v>
      </c>
      <c r="L57" s="1691">
        <f>SUM(L55:L56)</f>
        <v>74736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60476</v>
      </c>
      <c r="D60" s="466">
        <v>2523</v>
      </c>
      <c r="E60" s="466">
        <v>10972</v>
      </c>
      <c r="F60" s="466">
        <v>4086</v>
      </c>
      <c r="G60" s="466"/>
      <c r="H60" s="466"/>
      <c r="I60" s="467"/>
      <c r="J60" s="467"/>
      <c r="K60" s="1693">
        <f t="shared" si="7"/>
        <v>78057</v>
      </c>
      <c r="L60" s="466">
        <v>84800</v>
      </c>
      <c r="M60" s="610"/>
      <c r="N60" s="610"/>
    </row>
    <row r="61" spans="1:14" s="343" customFormat="1" x14ac:dyDescent="0.2">
      <c r="A61" s="1526" t="s">
        <v>206</v>
      </c>
      <c r="B61" s="615">
        <v>2540</v>
      </c>
      <c r="C61" s="466">
        <v>425</v>
      </c>
      <c r="D61" s="466"/>
      <c r="E61" s="466">
        <v>38</v>
      </c>
      <c r="F61" s="466"/>
      <c r="G61" s="466"/>
      <c r="H61" s="466"/>
      <c r="I61" s="467"/>
      <c r="J61" s="467"/>
      <c r="K61" s="1693">
        <f t="shared" si="7"/>
        <v>463</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20151</v>
      </c>
      <c r="D63" s="466">
        <v>2523</v>
      </c>
      <c r="E63" s="466">
        <v>1132</v>
      </c>
      <c r="F63" s="466">
        <v>27825</v>
      </c>
      <c r="G63" s="466"/>
      <c r="H63" s="466"/>
      <c r="I63" s="467"/>
      <c r="J63" s="467"/>
      <c r="K63" s="1693">
        <f t="shared" si="7"/>
        <v>51631</v>
      </c>
      <c r="L63" s="466">
        <v>55610</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81052</v>
      </c>
      <c r="D65" s="1691">
        <f t="shared" ref="D65:L65" si="8">SUM(D59:D64)</f>
        <v>5046</v>
      </c>
      <c r="E65" s="1691">
        <f t="shared" si="8"/>
        <v>12142</v>
      </c>
      <c r="F65" s="1691">
        <f t="shared" si="8"/>
        <v>31911</v>
      </c>
      <c r="G65" s="1691">
        <f t="shared" si="8"/>
        <v>0</v>
      </c>
      <c r="H65" s="1691">
        <f t="shared" si="8"/>
        <v>0</v>
      </c>
      <c r="I65" s="1691">
        <f t="shared" si="8"/>
        <v>0</v>
      </c>
      <c r="J65" s="1691">
        <f t="shared" si="8"/>
        <v>0</v>
      </c>
      <c r="K65" s="1691">
        <f t="shared" si="8"/>
        <v>130151</v>
      </c>
      <c r="L65" s="1691">
        <f t="shared" si="8"/>
        <v>140410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v>500</v>
      </c>
      <c r="M73" s="610"/>
      <c r="N73" s="610"/>
    </row>
    <row r="74" spans="1:14" ht="12.75" customHeight="1" thickTop="1" thickBot="1" x14ac:dyDescent="0.25">
      <c r="A74" s="1689" t="s">
        <v>865</v>
      </c>
      <c r="B74" s="1697">
        <v>2000</v>
      </c>
      <c r="C74" s="1698">
        <f>SUM(C42,C47,C53,C57,C65,C72,C73)</f>
        <v>183914</v>
      </c>
      <c r="D74" s="1698">
        <f t="shared" ref="D74:K74" si="10">SUM(D42,D47,D53,D57,D65,D72,D73)</f>
        <v>21754</v>
      </c>
      <c r="E74" s="1698">
        <f t="shared" si="10"/>
        <v>44173</v>
      </c>
      <c r="F74" s="1698">
        <f t="shared" si="10"/>
        <v>43695</v>
      </c>
      <c r="G74" s="1698">
        <f t="shared" si="10"/>
        <v>1904</v>
      </c>
      <c r="H74" s="1698">
        <f t="shared" si="10"/>
        <v>0</v>
      </c>
      <c r="I74" s="1698">
        <f t="shared" si="10"/>
        <v>0</v>
      </c>
      <c r="J74" s="1698">
        <f t="shared" si="10"/>
        <v>0</v>
      </c>
      <c r="K74" s="1698">
        <f t="shared" si="10"/>
        <v>295440</v>
      </c>
      <c r="L74" s="1698">
        <f>SUM(L42,L47,L53,L57,L65,L72,L73)</f>
        <v>319871</v>
      </c>
    </row>
    <row r="75" spans="1:14" s="259" customFormat="1" ht="15.75" customHeight="1" thickTop="1" thickBot="1" x14ac:dyDescent="0.25">
      <c r="A75" s="1632" t="s">
        <v>49</v>
      </c>
      <c r="B75" s="1633" t="s">
        <v>596</v>
      </c>
      <c r="C75" s="573">
        <v>4280</v>
      </c>
      <c r="D75" s="573">
        <v>341</v>
      </c>
      <c r="E75" s="573"/>
      <c r="F75" s="573">
        <v>27</v>
      </c>
      <c r="G75" s="573"/>
      <c r="H75" s="573"/>
      <c r="I75" s="531"/>
      <c r="J75" s="531"/>
      <c r="K75" s="1691">
        <f>SUM(C75:J75)</f>
        <v>4648</v>
      </c>
      <c r="L75" s="576">
        <v>22182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4870</v>
      </c>
      <c r="F79" s="617"/>
      <c r="G79" s="617"/>
      <c r="H79" s="466"/>
      <c r="I79" s="477"/>
      <c r="J79" s="477"/>
      <c r="K79" s="1692">
        <f t="shared" si="11"/>
        <v>4870</v>
      </c>
      <c r="L79" s="466">
        <v>15000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4870</v>
      </c>
      <c r="F84" s="617"/>
      <c r="G84" s="617"/>
      <c r="H84" s="1691">
        <f>SUM(H78:H83)</f>
        <v>0</v>
      </c>
      <c r="I84" s="477"/>
      <c r="J84" s="477"/>
      <c r="K84" s="1691">
        <f>SUM(K78:K83)</f>
        <v>4870</v>
      </c>
      <c r="L84" s="1691">
        <f>SUM(L78:L83)</f>
        <v>15000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4870</v>
      </c>
      <c r="F102" s="617"/>
      <c r="G102" s="617"/>
      <c r="H102" s="1698">
        <f>SUM(H84,H92,H100,H101)</f>
        <v>0</v>
      </c>
      <c r="I102" s="477"/>
      <c r="J102" s="477"/>
      <c r="K102" s="1698">
        <f>SUM(K84,K92,K100,K101)</f>
        <v>4870</v>
      </c>
      <c r="L102" s="1698">
        <f>SUM(L84,L92,L100,L101)</f>
        <v>15000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696840</v>
      </c>
      <c r="D114" s="1691">
        <f t="shared" ref="D114:K114" si="13">SUM(D33,D74,D75,D102,D112,D113)</f>
        <v>145096</v>
      </c>
      <c r="E114" s="1691">
        <f t="shared" si="13"/>
        <v>73486</v>
      </c>
      <c r="F114" s="1691">
        <f t="shared" si="13"/>
        <v>81612</v>
      </c>
      <c r="G114" s="1691">
        <f t="shared" si="13"/>
        <v>15679</v>
      </c>
      <c r="H114" s="1691">
        <f>SUM(H33,H74,H75,H102,H112,H113)</f>
        <v>33</v>
      </c>
      <c r="I114" s="1691">
        <f t="shared" si="13"/>
        <v>0</v>
      </c>
      <c r="J114" s="1691">
        <f t="shared" si="13"/>
        <v>0</v>
      </c>
      <c r="K114" s="1691">
        <f t="shared" si="13"/>
        <v>1012746</v>
      </c>
      <c r="L114" s="1691">
        <f>SUM(L33,L74,L75,L102,L112,L113)</f>
        <v>1118884</v>
      </c>
    </row>
    <row r="115" spans="1:14" ht="13.5" thickTop="1" x14ac:dyDescent="0.2">
      <c r="A115" s="2178" t="s">
        <v>1053</v>
      </c>
      <c r="B115" s="2179"/>
      <c r="C115" s="619"/>
      <c r="D115" s="619"/>
      <c r="E115" s="619"/>
      <c r="F115" s="619"/>
      <c r="G115" s="619"/>
      <c r="H115" s="619"/>
      <c r="I115" s="619"/>
      <c r="J115" s="619"/>
      <c r="K115" s="1705">
        <f>'Revenues 9-14'!C275-'Expenditures 15-22'!K114</f>
        <v>123837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39640</v>
      </c>
      <c r="D124" s="466">
        <v>53</v>
      </c>
      <c r="E124" s="466">
        <v>18475</v>
      </c>
      <c r="F124" s="466">
        <v>49450</v>
      </c>
      <c r="G124" s="466">
        <v>231575</v>
      </c>
      <c r="H124" s="466"/>
      <c r="I124" s="467"/>
      <c r="J124" s="467"/>
      <c r="K124" s="1691">
        <f>SUM(C124:J124)</f>
        <v>339193</v>
      </c>
      <c r="L124" s="466">
        <v>320974</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39640</v>
      </c>
      <c r="D127" s="1691">
        <f t="shared" ref="D127:L127" si="14">SUM(D122:D126)</f>
        <v>53</v>
      </c>
      <c r="E127" s="1691">
        <f t="shared" si="14"/>
        <v>18475</v>
      </c>
      <c r="F127" s="1691">
        <f t="shared" si="14"/>
        <v>49450</v>
      </c>
      <c r="G127" s="1691">
        <f t="shared" si="14"/>
        <v>231575</v>
      </c>
      <c r="H127" s="1691">
        <f t="shared" si="14"/>
        <v>0</v>
      </c>
      <c r="I127" s="1691">
        <f t="shared" si="14"/>
        <v>0</v>
      </c>
      <c r="J127" s="1691">
        <f t="shared" si="14"/>
        <v>0</v>
      </c>
      <c r="K127" s="1691">
        <f t="shared" si="14"/>
        <v>339193</v>
      </c>
      <c r="L127" s="1691">
        <f t="shared" si="14"/>
        <v>320974</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39640</v>
      </c>
      <c r="D129" s="1698">
        <f t="shared" ref="D129:L129" si="15">SUM(D120,D127,D128)</f>
        <v>53</v>
      </c>
      <c r="E129" s="1698">
        <f t="shared" si="15"/>
        <v>18475</v>
      </c>
      <c r="F129" s="1698">
        <f t="shared" si="15"/>
        <v>49450</v>
      </c>
      <c r="G129" s="1698">
        <f t="shared" si="15"/>
        <v>231575</v>
      </c>
      <c r="H129" s="1698">
        <f t="shared" si="15"/>
        <v>0</v>
      </c>
      <c r="I129" s="1698">
        <f t="shared" si="15"/>
        <v>0</v>
      </c>
      <c r="J129" s="1698">
        <f t="shared" si="15"/>
        <v>0</v>
      </c>
      <c r="K129" s="1698">
        <f t="shared" si="15"/>
        <v>339193</v>
      </c>
      <c r="L129" s="1698">
        <f t="shared" si="15"/>
        <v>320974</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5"/>
      <c r="C151" s="1691">
        <f>SUM(C129,C130,C139,C149,C150)</f>
        <v>39640</v>
      </c>
      <c r="D151" s="1691">
        <f t="shared" ref="D151:K151" si="16">SUM(D129,D130,D139,D149,D150)</f>
        <v>53</v>
      </c>
      <c r="E151" s="1691">
        <f t="shared" si="16"/>
        <v>18475</v>
      </c>
      <c r="F151" s="1691">
        <f t="shared" si="16"/>
        <v>49450</v>
      </c>
      <c r="G151" s="1691">
        <f t="shared" si="16"/>
        <v>231575</v>
      </c>
      <c r="H151" s="1691">
        <f t="shared" si="16"/>
        <v>0</v>
      </c>
      <c r="I151" s="1691">
        <f t="shared" si="16"/>
        <v>0</v>
      </c>
      <c r="J151" s="1691">
        <f t="shared" si="16"/>
        <v>0</v>
      </c>
      <c r="K151" s="1691">
        <f t="shared" si="16"/>
        <v>339193</v>
      </c>
      <c r="L151" s="1691">
        <f>SUM(L129,L130,L139,L149,L150)</f>
        <v>320974</v>
      </c>
    </row>
    <row r="152" spans="1:14" ht="12.75" customHeight="1" thickTop="1" x14ac:dyDescent="0.2">
      <c r="A152" s="2198" t="s">
        <v>1240</v>
      </c>
      <c r="B152" s="2199"/>
      <c r="C152" s="619"/>
      <c r="D152" s="619"/>
      <c r="E152" s="619"/>
      <c r="F152" s="619"/>
      <c r="G152" s="619"/>
      <c r="H152" s="619"/>
      <c r="I152" s="619"/>
      <c r="J152" s="617"/>
      <c r="K152" s="1705">
        <f>'Revenues 9-14'!D275-'Expenditures 15-22'!K151</f>
        <v>90488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2964</v>
      </c>
      <c r="I169" s="617"/>
      <c r="J169" s="617"/>
      <c r="K169" s="1692">
        <f>SUM(C169:H169)</f>
        <v>2964</v>
      </c>
      <c r="L169" s="657">
        <v>3500</v>
      </c>
    </row>
    <row r="170" spans="1:14" ht="33.75" customHeight="1" x14ac:dyDescent="0.2">
      <c r="A170" s="670" t="s">
        <v>1769</v>
      </c>
      <c r="B170" s="672" t="s">
        <v>31</v>
      </c>
      <c r="C170" s="617"/>
      <c r="D170" s="617"/>
      <c r="E170" s="617"/>
      <c r="F170" s="617"/>
      <c r="G170" s="617"/>
      <c r="H170" s="569">
        <v>25000</v>
      </c>
      <c r="I170" s="617"/>
      <c r="J170" s="617"/>
      <c r="K170" s="1692">
        <f>SUM(C170:J170)</f>
        <v>25000</v>
      </c>
      <c r="L170" s="569">
        <v>25000</v>
      </c>
    </row>
    <row r="171" spans="1:14" ht="15.75" customHeight="1" x14ac:dyDescent="0.2">
      <c r="A171" s="622" t="s">
        <v>790</v>
      </c>
      <c r="B171" s="673" t="s">
        <v>86</v>
      </c>
      <c r="C171" s="617"/>
      <c r="D171" s="617"/>
      <c r="E171" s="466"/>
      <c r="F171" s="617"/>
      <c r="G171" s="617"/>
      <c r="H171" s="569">
        <v>1000</v>
      </c>
      <c r="I171" s="477"/>
      <c r="J171" s="617"/>
      <c r="K171" s="1692">
        <f>SUM(C171:J171)</f>
        <v>1000</v>
      </c>
      <c r="L171" s="569"/>
    </row>
    <row r="172" spans="1:14" ht="12.75" customHeight="1" thickBot="1" x14ac:dyDescent="0.25">
      <c r="A172" s="1689" t="s">
        <v>659</v>
      </c>
      <c r="B172" s="1690" t="s">
        <v>513</v>
      </c>
      <c r="C172" s="617"/>
      <c r="D172" s="617"/>
      <c r="E172" s="1698">
        <f>SUM(E168,E169,E170,E171)</f>
        <v>0</v>
      </c>
      <c r="F172" s="617"/>
      <c r="G172" s="617"/>
      <c r="H172" s="1698">
        <f>SUM(H168,H169,H170,H171)</f>
        <v>28964</v>
      </c>
      <c r="I172" s="639"/>
      <c r="J172" s="617"/>
      <c r="K172" s="1698">
        <f>SUM(K168,K169,K170,K171)</f>
        <v>28964</v>
      </c>
      <c r="L172" s="1698">
        <f>SUM(L168,L169,L170,L171)</f>
        <v>28500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28964</v>
      </c>
      <c r="I174" s="639"/>
      <c r="J174" s="617"/>
      <c r="K174" s="1698">
        <f>SUM(K160,K172,K173)</f>
        <v>28964</v>
      </c>
      <c r="L174" s="1698">
        <f>SUM(L160,L172,L173)</f>
        <v>28500</v>
      </c>
    </row>
    <row r="175" spans="1:14" ht="13.5" thickTop="1" x14ac:dyDescent="0.2">
      <c r="A175" s="2178" t="s">
        <v>1053</v>
      </c>
      <c r="B175" s="2179"/>
      <c r="C175" s="617"/>
      <c r="D175" s="617"/>
      <c r="E175" s="617"/>
      <c r="F175" s="617"/>
      <c r="G175" s="617"/>
      <c r="H175" s="619"/>
      <c r="I175" s="617"/>
      <c r="J175" s="617"/>
      <c r="K175" s="1705">
        <f>'Revenues 9-14'!E275-'Expenditures 15-22'!K174</f>
        <v>3495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18475</v>
      </c>
      <c r="D182" s="466"/>
      <c r="E182" s="466">
        <v>158</v>
      </c>
      <c r="F182" s="466">
        <v>7295</v>
      </c>
      <c r="G182" s="466">
        <v>121805</v>
      </c>
      <c r="H182" s="466"/>
      <c r="I182" s="467"/>
      <c r="J182" s="467"/>
      <c r="K182" s="1692">
        <f>SUM(C182:J182)</f>
        <v>147733</v>
      </c>
      <c r="L182" s="466">
        <v>144482</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18475</v>
      </c>
      <c r="D184" s="1698">
        <f t="shared" ref="D184:J184" si="17">SUM(D180,D182,D183)</f>
        <v>0</v>
      </c>
      <c r="E184" s="1698">
        <f t="shared" si="17"/>
        <v>158</v>
      </c>
      <c r="F184" s="1698">
        <f t="shared" si="17"/>
        <v>7295</v>
      </c>
      <c r="G184" s="1698">
        <f t="shared" si="17"/>
        <v>121805</v>
      </c>
      <c r="H184" s="1698">
        <f t="shared" si="17"/>
        <v>0</v>
      </c>
      <c r="I184" s="1698">
        <f t="shared" si="17"/>
        <v>0</v>
      </c>
      <c r="J184" s="1698">
        <f t="shared" si="17"/>
        <v>0</v>
      </c>
      <c r="K184" s="1698">
        <f>SUM(K180,K182,K183)</f>
        <v>147733</v>
      </c>
      <c r="L184" s="1698">
        <f>SUM(L180, L182:L183)</f>
        <v>144482</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v>2000</v>
      </c>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2000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2000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18475</v>
      </c>
      <c r="D210" s="1691">
        <f>SUM(D184,D185)</f>
        <v>0</v>
      </c>
      <c r="E210" s="1691">
        <f>SUM(E184,E185,E196)</f>
        <v>158</v>
      </c>
      <c r="F210" s="1691">
        <f>SUM(F184,F185)</f>
        <v>7295</v>
      </c>
      <c r="G210" s="1691">
        <f>SUM(G184,G185)</f>
        <v>121805</v>
      </c>
      <c r="H210" s="1691">
        <f>SUM(H184,H185,H196,H208,H209)</f>
        <v>0</v>
      </c>
      <c r="I210" s="1691">
        <f>SUM(I184,I185)</f>
        <v>0</v>
      </c>
      <c r="J210" s="1691">
        <f>SUM(J184,J185)</f>
        <v>0</v>
      </c>
      <c r="K210" s="1692">
        <f>SUM(K184,K185,K196,K208,K209)</f>
        <v>147733</v>
      </c>
      <c r="L210" s="1691">
        <f>SUM(L184,L185,L196,L208,L209)</f>
        <v>146482</v>
      </c>
    </row>
    <row r="211" spans="1:14" ht="13.5" thickTop="1" x14ac:dyDescent="0.2">
      <c r="A211" s="2178" t="s">
        <v>1053</v>
      </c>
      <c r="B211" s="2179"/>
      <c r="C211" s="619"/>
      <c r="D211" s="619"/>
      <c r="E211" s="619"/>
      <c r="F211" s="619"/>
      <c r="G211" s="619"/>
      <c r="H211" s="619"/>
      <c r="I211" s="617"/>
      <c r="J211" s="617"/>
      <c r="K211" s="1705">
        <f>'Revenues 9-14'!F275-'Expenditures 15-22'!K210</f>
        <v>-65776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7218</v>
      </c>
      <c r="E215" s="617"/>
      <c r="F215" s="617"/>
      <c r="G215" s="617"/>
      <c r="H215" s="617"/>
      <c r="I215" s="617"/>
      <c r="J215" s="617"/>
      <c r="K215" s="1692">
        <f>D215</f>
        <v>7218</v>
      </c>
      <c r="L215" s="466">
        <v>6550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3514</v>
      </c>
      <c r="E217" s="617"/>
      <c r="F217" s="617"/>
      <c r="G217" s="617"/>
      <c r="H217" s="617"/>
      <c r="I217" s="617"/>
      <c r="J217" s="617"/>
      <c r="K217" s="1692">
        <f t="shared" si="19"/>
        <v>3514</v>
      </c>
      <c r="L217" s="466">
        <v>640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1427</v>
      </c>
      <c r="E219" s="617"/>
      <c r="F219" s="617"/>
      <c r="G219" s="617"/>
      <c r="H219" s="617"/>
      <c r="I219" s="617"/>
      <c r="J219" s="617"/>
      <c r="K219" s="1692">
        <f t="shared" si="19"/>
        <v>1427</v>
      </c>
      <c r="L219" s="466">
        <v>2221</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614</v>
      </c>
      <c r="E223" s="617"/>
      <c r="F223" s="617"/>
      <c r="G223" s="617"/>
      <c r="H223" s="617"/>
      <c r="I223" s="617"/>
      <c r="J223" s="617"/>
      <c r="K223" s="1692">
        <f t="shared" si="19"/>
        <v>614</v>
      </c>
      <c r="L223" s="466">
        <v>1200</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12773</v>
      </c>
      <c r="E229" s="617"/>
      <c r="F229" s="617"/>
      <c r="G229" s="617"/>
      <c r="H229" s="617"/>
      <c r="I229" s="617"/>
      <c r="J229" s="617"/>
      <c r="K229" s="1691">
        <f>SUM(K215:K228)</f>
        <v>12773</v>
      </c>
      <c r="L229" s="1691">
        <f>SUM(L215:L228)</f>
        <v>10611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157</v>
      </c>
      <c r="E240" s="617"/>
      <c r="F240" s="617"/>
      <c r="G240" s="617"/>
      <c r="H240" s="617"/>
      <c r="I240" s="617"/>
      <c r="J240" s="617"/>
      <c r="K240" s="1693">
        <f>D240</f>
        <v>157</v>
      </c>
      <c r="L240" s="481">
        <v>175</v>
      </c>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157</v>
      </c>
      <c r="E243" s="617"/>
      <c r="F243" s="617"/>
      <c r="G243" s="617"/>
      <c r="H243" s="617"/>
      <c r="I243" s="617"/>
      <c r="J243" s="617"/>
      <c r="K243" s="1691">
        <f>SUM(K240:K242)</f>
        <v>157</v>
      </c>
      <c r="L243" s="1691">
        <f>SUM(L240:L242)</f>
        <v>175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622</v>
      </c>
      <c r="E246" s="617"/>
      <c r="F246" s="617"/>
      <c r="G246" s="617"/>
      <c r="H246" s="617"/>
      <c r="I246" s="617"/>
      <c r="J246" s="617"/>
      <c r="K246" s="1693">
        <f t="shared" ref="K246:K256" si="21">D246</f>
        <v>622</v>
      </c>
      <c r="L246" s="466">
        <v>640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622</v>
      </c>
      <c r="E257" s="617"/>
      <c r="F257" s="617"/>
      <c r="G257" s="617"/>
      <c r="H257" s="617"/>
      <c r="I257" s="617"/>
      <c r="J257" s="617"/>
      <c r="K257" s="1691">
        <f>SUM(K245:K256)</f>
        <v>622</v>
      </c>
      <c r="L257" s="1691">
        <f>SUM(L245:L256)</f>
        <v>640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792</v>
      </c>
      <c r="E259" s="617"/>
      <c r="F259" s="617"/>
      <c r="G259" s="617"/>
      <c r="H259" s="617"/>
      <c r="I259" s="617"/>
      <c r="J259" s="617"/>
      <c r="K259" s="1693">
        <f>D259</f>
        <v>792</v>
      </c>
      <c r="L259" s="481">
        <v>800</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792</v>
      </c>
      <c r="E261" s="617"/>
      <c r="F261" s="617"/>
      <c r="G261" s="617"/>
      <c r="H261" s="617"/>
      <c r="I261" s="617"/>
      <c r="J261" s="617"/>
      <c r="K261" s="1691">
        <f>SUM(K259:K260)</f>
        <v>792</v>
      </c>
      <c r="L261" s="1691">
        <f>SUM(L259:L260)</f>
        <v>800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9829</v>
      </c>
      <c r="E264" s="617"/>
      <c r="F264" s="617"/>
      <c r="G264" s="617"/>
      <c r="H264" s="617"/>
      <c r="I264" s="617"/>
      <c r="J264" s="617"/>
      <c r="K264" s="1693">
        <f t="shared" ref="K264:K269" si="22">D264</f>
        <v>9829</v>
      </c>
      <c r="L264" s="466">
        <v>11700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6151</v>
      </c>
      <c r="E266" s="617"/>
      <c r="F266" s="617"/>
      <c r="G266" s="617"/>
      <c r="H266" s="617"/>
      <c r="I266" s="617"/>
      <c r="J266" s="617"/>
      <c r="K266" s="1693">
        <f t="shared" si="22"/>
        <v>6151</v>
      </c>
      <c r="L266" s="466">
        <v>7675</v>
      </c>
    </row>
    <row r="267" spans="1:14" x14ac:dyDescent="0.2">
      <c r="A267" s="1526" t="s">
        <v>1010</v>
      </c>
      <c r="B267" s="615">
        <v>2550</v>
      </c>
      <c r="C267" s="617"/>
      <c r="D267" s="466">
        <v>2548</v>
      </c>
      <c r="E267" s="617"/>
      <c r="F267" s="617"/>
      <c r="G267" s="617"/>
      <c r="H267" s="617"/>
      <c r="I267" s="617"/>
      <c r="J267" s="617"/>
      <c r="K267" s="1693">
        <f t="shared" si="22"/>
        <v>2548</v>
      </c>
      <c r="L267" s="466">
        <v>600</v>
      </c>
    </row>
    <row r="268" spans="1:14" x14ac:dyDescent="0.2">
      <c r="A268" s="1526" t="s">
        <v>102</v>
      </c>
      <c r="B268" s="615">
        <v>2560</v>
      </c>
      <c r="C268" s="617"/>
      <c r="D268" s="466">
        <v>3220</v>
      </c>
      <c r="E268" s="617"/>
      <c r="F268" s="617"/>
      <c r="G268" s="617"/>
      <c r="H268" s="617"/>
      <c r="I268" s="617"/>
      <c r="J268" s="617"/>
      <c r="K268" s="1693">
        <f t="shared" si="22"/>
        <v>3220</v>
      </c>
      <c r="L268" s="466">
        <v>3965</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21748</v>
      </c>
      <c r="E270" s="617"/>
      <c r="F270" s="617"/>
      <c r="G270" s="617"/>
      <c r="H270" s="617"/>
      <c r="I270" s="617"/>
      <c r="J270" s="617"/>
      <c r="K270" s="1691">
        <f>SUM(K263:K269)</f>
        <v>21748</v>
      </c>
      <c r="L270" s="1691">
        <f>SUM(L263:L269)</f>
        <v>23940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23319</v>
      </c>
      <c r="E279" s="617"/>
      <c r="F279" s="617"/>
      <c r="G279" s="617"/>
      <c r="H279" s="617"/>
      <c r="I279" s="617"/>
      <c r="J279" s="617"/>
      <c r="K279" s="1698">
        <f>SUM(K238,K243,K257,K261,K270,K277,K278)</f>
        <v>23319</v>
      </c>
      <c r="L279" s="1698">
        <f>SUM(L238,L243,L257,L261,L270,L277,L278)</f>
        <v>25555</v>
      </c>
    </row>
    <row r="280" spans="1:12" ht="15.75" customHeight="1" thickTop="1" thickBot="1" x14ac:dyDescent="0.25">
      <c r="A280" s="1646" t="s">
        <v>930</v>
      </c>
      <c r="B280" s="1635">
        <v>3000</v>
      </c>
      <c r="C280" s="617"/>
      <c r="D280" s="576">
        <v>204</v>
      </c>
      <c r="E280" s="617"/>
      <c r="F280" s="617"/>
      <c r="G280" s="617"/>
      <c r="H280" s="617"/>
      <c r="I280" s="617"/>
      <c r="J280" s="617"/>
      <c r="K280" s="1700">
        <f>D280</f>
        <v>204</v>
      </c>
      <c r="L280" s="576">
        <v>950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1">
        <f>SUM(D229,D279,D280,D285)</f>
        <v>36296</v>
      </c>
      <c r="E295" s="617"/>
      <c r="F295" s="617"/>
      <c r="G295" s="617"/>
      <c r="H295" s="1691">
        <f>H293</f>
        <v>0</v>
      </c>
      <c r="I295" s="617"/>
      <c r="J295" s="617"/>
      <c r="K295" s="1691">
        <f>SUM(K229,K279,K280,K285,K293,K294)</f>
        <v>36296</v>
      </c>
      <c r="L295" s="1691">
        <f>SUM(L229,L279,L280,L285,L293,L294)</f>
        <v>37116</v>
      </c>
    </row>
    <row r="296" spans="1:14" ht="13.5" thickTop="1" x14ac:dyDescent="0.2">
      <c r="A296" s="2178" t="s">
        <v>1053</v>
      </c>
      <c r="B296" s="2179"/>
      <c r="C296" s="617"/>
      <c r="D296" s="619"/>
      <c r="E296" s="617"/>
      <c r="F296" s="617"/>
      <c r="G296" s="617"/>
      <c r="H296" s="688"/>
      <c r="I296" s="617"/>
      <c r="J296" s="617"/>
      <c r="K296" s="1705">
        <f>'Revenues 9-14'!G275-'Expenditures 15-22'!K295</f>
        <v>-10682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71</v>
      </c>
      <c r="F301" s="466"/>
      <c r="G301" s="466"/>
      <c r="H301" s="466"/>
      <c r="I301" s="467"/>
      <c r="J301" s="467"/>
      <c r="K301" s="1692">
        <f>SUM(C301:J301)</f>
        <v>71</v>
      </c>
      <c r="L301" s="467">
        <v>71</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71</v>
      </c>
      <c r="F303" s="1698">
        <f t="shared" si="23"/>
        <v>0</v>
      </c>
      <c r="G303" s="1698">
        <f t="shared" si="23"/>
        <v>0</v>
      </c>
      <c r="H303" s="1698">
        <f t="shared" si="23"/>
        <v>0</v>
      </c>
      <c r="I303" s="1698">
        <f t="shared" si="23"/>
        <v>0</v>
      </c>
      <c r="J303" s="1698">
        <f t="shared" si="23"/>
        <v>0</v>
      </c>
      <c r="K303" s="1698">
        <f t="shared" si="23"/>
        <v>71</v>
      </c>
      <c r="L303" s="1698">
        <f t="shared" si="23"/>
        <v>71</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1">
        <f>SUM(C303)</f>
        <v>0</v>
      </c>
      <c r="D312" s="1691">
        <f>SUM(D303)</f>
        <v>0</v>
      </c>
      <c r="E312" s="1691">
        <f>SUM(E303,E310)</f>
        <v>71</v>
      </c>
      <c r="F312" s="1691">
        <f>SUM(F303)</f>
        <v>0</v>
      </c>
      <c r="G312" s="1691">
        <f>SUM(G303)</f>
        <v>0</v>
      </c>
      <c r="H312" s="1691">
        <f>SUM(H303,H310)</f>
        <v>0</v>
      </c>
      <c r="I312" s="1691">
        <f>SUM(I303)</f>
        <v>0</v>
      </c>
      <c r="J312" s="1691">
        <f>SUM(J303)</f>
        <v>0</v>
      </c>
      <c r="K312" s="1691">
        <f>SUM(K303,K310,K311)</f>
        <v>71</v>
      </c>
      <c r="L312" s="1691">
        <f>SUM(L303,L310,L311)</f>
        <v>71</v>
      </c>
      <c r="M312" s="666"/>
      <c r="N312" s="666"/>
    </row>
    <row r="313" spans="1:14" ht="13.5" thickTop="1" x14ac:dyDescent="0.2">
      <c r="A313" s="2189" t="s">
        <v>1053</v>
      </c>
      <c r="B313" s="2190"/>
      <c r="C313" s="627"/>
      <c r="D313" s="627"/>
      <c r="E313" s="627"/>
      <c r="F313" s="627"/>
      <c r="G313" s="627"/>
      <c r="H313" s="627"/>
      <c r="I313" s="627"/>
      <c r="J313" s="627"/>
      <c r="K313" s="1706">
        <f>'Revenues 9-14'!H275-'Expenditures 15-22'!K312</f>
        <v>-71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347</v>
      </c>
      <c r="F320" s="467"/>
      <c r="G320" s="467"/>
      <c r="H320" s="467"/>
      <c r="I320" s="467"/>
      <c r="J320" s="467"/>
      <c r="K320" s="1692">
        <f t="shared" ref="K320:K327" si="24">SUM(C320:J320)</f>
        <v>347</v>
      </c>
      <c r="L320" s="467">
        <v>10000</v>
      </c>
      <c r="M320" s="666"/>
      <c r="N320" s="666"/>
    </row>
    <row r="321" spans="1:14" s="675" customFormat="1" x14ac:dyDescent="0.2">
      <c r="A321" s="1541" t="s">
        <v>318</v>
      </c>
      <c r="B321" s="698" t="s">
        <v>301</v>
      </c>
      <c r="C321" s="467"/>
      <c r="D321" s="467"/>
      <c r="E321" s="467">
        <v>5657</v>
      </c>
      <c r="F321" s="467"/>
      <c r="G321" s="467"/>
      <c r="H321" s="467"/>
      <c r="I321" s="467"/>
      <c r="J321" s="467"/>
      <c r="K321" s="1692">
        <f t="shared" si="24"/>
        <v>5657</v>
      </c>
      <c r="L321" s="467">
        <v>8000</v>
      </c>
      <c r="M321" s="666"/>
      <c r="N321" s="666"/>
    </row>
    <row r="322" spans="1:14" s="675" customFormat="1" x14ac:dyDescent="0.2">
      <c r="A322" s="1541" t="s">
        <v>256</v>
      </c>
      <c r="B322" s="698" t="s">
        <v>302</v>
      </c>
      <c r="C322" s="467"/>
      <c r="D322" s="467"/>
      <c r="E322" s="467">
        <v>16523</v>
      </c>
      <c r="F322" s="467"/>
      <c r="G322" s="467"/>
      <c r="H322" s="467"/>
      <c r="I322" s="467"/>
      <c r="J322" s="467"/>
      <c r="K322" s="1692">
        <f t="shared" si="24"/>
        <v>16523</v>
      </c>
      <c r="L322" s="467">
        <v>15000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14000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18158</v>
      </c>
      <c r="F327" s="467"/>
      <c r="G327" s="467"/>
      <c r="H327" s="467"/>
      <c r="I327" s="467"/>
      <c r="J327" s="467"/>
      <c r="K327" s="1692">
        <f t="shared" si="24"/>
        <v>18158</v>
      </c>
      <c r="L327" s="467">
        <v>20000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40685</v>
      </c>
      <c r="F330" s="1691">
        <f t="shared" si="25"/>
        <v>0</v>
      </c>
      <c r="G330" s="1691">
        <f t="shared" si="25"/>
        <v>0</v>
      </c>
      <c r="H330" s="1691">
        <f t="shared" si="25"/>
        <v>0</v>
      </c>
      <c r="I330" s="1691">
        <f t="shared" si="25"/>
        <v>0</v>
      </c>
      <c r="J330" s="1691">
        <f t="shared" si="25"/>
        <v>0</v>
      </c>
      <c r="K330" s="1691">
        <f>SUM(K319:K329)</f>
        <v>40685</v>
      </c>
      <c r="L330" s="1691">
        <f>SUM(L319:L329)</f>
        <v>67000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40685</v>
      </c>
      <c r="F342" s="1691">
        <f>SUM(F330)</f>
        <v>0</v>
      </c>
      <c r="G342" s="1691">
        <f>SUM(G330)</f>
        <v>0</v>
      </c>
      <c r="H342" s="1691">
        <f>SUM(H330,H334,H340)</f>
        <v>0</v>
      </c>
      <c r="I342" s="1691">
        <f>SUM(I330)</f>
        <v>0</v>
      </c>
      <c r="J342" s="1691">
        <f>SUM(J330)</f>
        <v>0</v>
      </c>
      <c r="K342" s="1691">
        <f>SUM(K330,K334,K340)</f>
        <v>40685</v>
      </c>
      <c r="L342" s="1698">
        <f>SUM(L330,L340,L341)</f>
        <v>67000</v>
      </c>
    </row>
    <row r="343" spans="1:14" ht="12.75" customHeight="1" thickTop="1" x14ac:dyDescent="0.2">
      <c r="A343" s="2191" t="s">
        <v>1053</v>
      </c>
      <c r="B343" s="2192"/>
      <c r="C343" s="617"/>
      <c r="D343" s="617"/>
      <c r="E343" s="617"/>
      <c r="F343" s="617"/>
      <c r="G343" s="617"/>
      <c r="H343" s="617"/>
      <c r="I343" s="617"/>
      <c r="J343" s="617"/>
      <c r="K343" s="1705">
        <f>'Revenues 9-14'!J275-'Expenditures 15-22'!K342</f>
        <v>47023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4235</v>
      </c>
      <c r="F348" s="466"/>
      <c r="G348" s="466">
        <v>10750</v>
      </c>
      <c r="H348" s="466"/>
      <c r="I348" s="467"/>
      <c r="J348" s="467"/>
      <c r="K348" s="1692">
        <f>SUM(C348:J348)</f>
        <v>14985</v>
      </c>
      <c r="L348" s="466">
        <v>10000</v>
      </c>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4235</v>
      </c>
      <c r="F350" s="1691">
        <f t="shared" si="26"/>
        <v>0</v>
      </c>
      <c r="G350" s="1691">
        <f t="shared" si="26"/>
        <v>10750</v>
      </c>
      <c r="H350" s="1691">
        <f t="shared" si="26"/>
        <v>0</v>
      </c>
      <c r="I350" s="1691">
        <f t="shared" si="26"/>
        <v>0</v>
      </c>
      <c r="J350" s="1691">
        <f t="shared" si="26"/>
        <v>0</v>
      </c>
      <c r="K350" s="1691">
        <f t="shared" si="26"/>
        <v>14985</v>
      </c>
      <c r="L350" s="1691">
        <f t="shared" si="26"/>
        <v>10000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4235</v>
      </c>
      <c r="F352" s="1691">
        <f t="shared" si="27"/>
        <v>0</v>
      </c>
      <c r="G352" s="1691">
        <f t="shared" si="27"/>
        <v>10750</v>
      </c>
      <c r="H352" s="1691">
        <f t="shared" si="27"/>
        <v>0</v>
      </c>
      <c r="I352" s="1691">
        <f t="shared" si="27"/>
        <v>0</v>
      </c>
      <c r="J352" s="1691">
        <f t="shared" si="27"/>
        <v>0</v>
      </c>
      <c r="K352" s="1691">
        <f t="shared" si="27"/>
        <v>14985</v>
      </c>
      <c r="L352" s="1691">
        <f t="shared" si="27"/>
        <v>10000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4235</v>
      </c>
      <c r="F367" s="1691">
        <f t="shared" si="28"/>
        <v>0</v>
      </c>
      <c r="G367" s="1691">
        <f t="shared" si="28"/>
        <v>10750</v>
      </c>
      <c r="H367" s="1691">
        <f t="shared" si="28"/>
        <v>0</v>
      </c>
      <c r="I367" s="1691">
        <f t="shared" si="28"/>
        <v>0</v>
      </c>
      <c r="J367" s="1691">
        <f t="shared" si="28"/>
        <v>0</v>
      </c>
      <c r="K367" s="1691">
        <f t="shared" si="28"/>
        <v>14985</v>
      </c>
      <c r="L367" s="1691">
        <f t="shared" si="28"/>
        <v>10000</v>
      </c>
    </row>
    <row r="368" spans="1:14" ht="13.5" thickTop="1" x14ac:dyDescent="0.2">
      <c r="A368" s="2178" t="s">
        <v>1053</v>
      </c>
      <c r="B368" s="2179"/>
      <c r="C368" s="655"/>
      <c r="D368" s="655"/>
      <c r="E368" s="627"/>
      <c r="F368" s="627"/>
      <c r="G368" s="627"/>
      <c r="H368" s="627"/>
      <c r="I368" s="627"/>
      <c r="J368" s="624"/>
      <c r="K368" s="1692">
        <f>'Revenues 9-14'!K275-'Expenditures 15-22'!K367</f>
        <v>1498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purl.org/dc/elements/1.1/"/>
    <ds:schemaRef ds:uri="http://schemas.microsoft.com/sharepoint/v3"/>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2006/metadata/properties"/>
    <ds:schemaRef ds:uri="d21dc803-237d-4c68-8692-8d731fd29118"/>
    <ds:schemaRef ds:uri="http://schemas.microsoft.com/office/infopath/2007/PartnerControls"/>
    <ds:schemaRef ds:uri="4d435f69-8686-490b-bd6d-b153bf22ab50"/>
    <ds:schemaRef ds:uri="http://www.w3.org/XML/1998/namespace"/>
    <ds:schemaRef ds:uri="http://purl.org/dc/term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Sec-2 (4)</vt:lpstr>
      <vt:lpstr>SF&amp;QC Sec-2 (5)</vt:lpstr>
      <vt:lpstr>SF&amp;QC Sec-2 (6)</vt:lpstr>
      <vt:lpstr>SF&amp;QC Sec-2 (7)</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2018-09-24T19:43:46Z</cp:lastPrinted>
  <dcterms:created xsi:type="dcterms:W3CDTF">2003-10-29T19:06:34Z</dcterms:created>
  <dcterms:modified xsi:type="dcterms:W3CDTF">2018-10-09T19:16:10Z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