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2 (2)" sheetId="187" r:id="rId35"/>
    <sheet name="SF&amp;QC Sec-3" sheetId="176" r:id="rId36"/>
    <sheet name="SSPAF" sheetId="177" r:id="rId37"/>
  </sheets>
  <externalReferences>
    <externalReference r:id="rId38"/>
  </externalReferences>
  <definedNames>
    <definedName name="_xlnm.Print_Area" localSheetId="28">' SEFA'!$B$1:$M$46</definedName>
    <definedName name="_xlnm.Print_Area" localSheetId="29">' SEFA (2)'!$B$1:$M$47</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5">'SF&amp;QC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L25" i="184" l="1"/>
  <c r="B4" i="187" l="1"/>
  <c r="B1" i="185"/>
  <c r="I21" i="185"/>
  <c r="G21" i="185"/>
  <c r="F21" i="185"/>
  <c r="E21" i="185"/>
  <c r="M23" i="184"/>
  <c r="I23" i="184"/>
  <c r="G23" i="184"/>
  <c r="F23" i="184"/>
  <c r="E23" i="184"/>
  <c r="I28" i="183"/>
  <c r="L28" i="183" s="1"/>
  <c r="F28" i="183"/>
  <c r="I20" i="183"/>
  <c r="G20" i="183"/>
  <c r="F20" i="183"/>
  <c r="E20" i="183"/>
  <c r="M25" i="179"/>
  <c r="K25" i="179"/>
  <c r="K23" i="185" s="1"/>
  <c r="I25" i="179"/>
  <c r="G25" i="179"/>
  <c r="F25" i="179"/>
  <c r="E25" i="179"/>
  <c r="L16" i="185"/>
  <c r="L15" i="185"/>
  <c r="B4" i="185"/>
  <c r="L27" i="184"/>
  <c r="L26" i="184"/>
  <c r="L24" i="184"/>
  <c r="L22" i="184"/>
  <c r="L21" i="184"/>
  <c r="L20" i="184"/>
  <c r="L19" i="184"/>
  <c r="L18" i="184"/>
  <c r="L17" i="184"/>
  <c r="L16" i="184"/>
  <c r="L15" i="184"/>
  <c r="L14" i="184"/>
  <c r="L13" i="184"/>
  <c r="L12" i="184"/>
  <c r="L11" i="184"/>
  <c r="B4" i="184"/>
  <c r="L25" i="183"/>
  <c r="L16" i="183"/>
  <c r="L15" i="183"/>
  <c r="B4" i="183"/>
  <c r="F23" i="185" l="1"/>
  <c r="G23" i="185"/>
  <c r="M23" i="185"/>
  <c r="I23" i="185"/>
  <c r="E23" i="185"/>
  <c r="L21" i="185"/>
  <c r="L23" i="184"/>
  <c r="L20" i="183"/>
  <c r="L23" i="185" l="1"/>
  <c r="C4" i="3"/>
  <c r="F8"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5" i="179" l="1"/>
  <c r="L21" i="179"/>
  <c r="L20" i="179"/>
  <c r="L18" i="179"/>
  <c r="L17" i="179"/>
  <c r="L15" i="179"/>
  <c r="L14" i="179"/>
  <c r="D12"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7"/>
  <c r="B1" i="183"/>
  <c r="B2" i="179"/>
  <c r="B2" i="185"/>
  <c r="B2" i="187"/>
  <c r="B2" i="184"/>
  <c r="B2" i="183"/>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B7765" i="106"/>
  <c r="B7764" i="106"/>
  <c r="J85" i="28"/>
  <c r="B7758" i="106" s="1"/>
  <c r="D7758" i="106" s="1"/>
  <c r="J88" i="28"/>
  <c r="K6" i="29"/>
  <c r="B7763" i="106" s="1"/>
  <c r="B7762" i="106"/>
  <c r="K12" i="12"/>
  <c r="K23" i="12"/>
  <c r="K24" i="12" s="1"/>
  <c r="B7733" i="106" s="1"/>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C228" i="5"/>
  <c r="C259" i="5"/>
  <c r="B7761" i="106"/>
  <c r="D7761" i="106" s="1"/>
  <c r="L127" i="29"/>
  <c r="L129" i="29" s="1"/>
  <c r="L139" i="29"/>
  <c r="L149" i="29"/>
  <c r="I7" i="145"/>
  <c r="I6" i="145"/>
  <c r="D78" i="36"/>
  <c r="K75" i="29"/>
  <c r="F52" i="34" s="1"/>
  <c r="K130" i="29"/>
  <c r="B2805" i="106" s="1"/>
  <c r="D2805" i="106" s="1"/>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B2978" i="106" s="1"/>
  <c r="D2978" i="106" s="1"/>
  <c r="K93" i="29"/>
  <c r="B6997" i="106" s="1"/>
  <c r="D6997" i="106" s="1"/>
  <c r="K94" i="29"/>
  <c r="B6999" i="106" s="1"/>
  <c r="D6999" i="106" s="1"/>
  <c r="K95" i="29"/>
  <c r="K96" i="29"/>
  <c r="K97" i="29"/>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6"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F26" i="108"/>
  <c r="D27" i="108"/>
  <c r="E27" i="108"/>
  <c r="G27" i="108"/>
  <c r="F31" i="108"/>
  <c r="F36" i="108"/>
  <c r="G28" i="108"/>
  <c r="D31" i="108"/>
  <c r="D36" i="108"/>
  <c r="E31" i="108"/>
  <c r="G31" i="108"/>
  <c r="E33" i="108"/>
  <c r="G33"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B5752" i="106"/>
  <c r="D5752" i="106" s="1"/>
  <c r="H28" i="118" l="1"/>
  <c r="D31" i="36"/>
  <c r="F45" i="34"/>
  <c r="F41" i="34"/>
  <c r="H29" i="118"/>
  <c r="F34" i="34"/>
  <c r="F42" i="34"/>
  <c r="F14" i="4"/>
  <c r="B2597" i="106" s="1"/>
  <c r="D2597" i="106" s="1"/>
  <c r="F50" i="34"/>
  <c r="F56" i="34"/>
  <c r="B2836" i="106"/>
  <c r="D2836" i="106" s="1"/>
  <c r="F46" i="34"/>
  <c r="D17" i="7"/>
  <c r="B4104" i="106" s="1"/>
  <c r="D4104" i="106" s="1"/>
  <c r="D13" i="7"/>
  <c r="B3726" i="106" s="1"/>
  <c r="D3726" i="106" s="1"/>
  <c r="D5" i="7"/>
  <c r="B1761" i="106" s="1"/>
  <c r="D1761" i="106" s="1"/>
  <c r="D4" i="7"/>
  <c r="B1760" i="106" s="1"/>
  <c r="D1760" i="106" s="1"/>
  <c r="D11" i="37"/>
  <c r="D24" i="37"/>
  <c r="B4270" i="106" s="1"/>
  <c r="D4270" i="106" s="1"/>
  <c r="J22" i="37"/>
  <c r="D22" i="37"/>
  <c r="I129" i="29"/>
  <c r="B7037" i="106" s="1"/>
  <c r="D7037" i="106" s="1"/>
  <c r="C14" i="4"/>
  <c r="B2558" i="106" s="1"/>
  <c r="D2558" i="106" s="1"/>
  <c r="F35" i="34"/>
  <c r="D37" i="108"/>
  <c r="D41" i="108" s="1"/>
  <c r="E43" i="108" s="1"/>
  <c r="D14" i="4"/>
  <c r="B2570" i="106" s="1"/>
  <c r="D2570" i="106" s="1"/>
  <c r="F37" i="108"/>
  <c r="G39" i="108"/>
  <c r="B2724" i="106"/>
  <c r="D2724" i="106" s="1"/>
  <c r="D9" i="7"/>
  <c r="B1767" i="106" s="1"/>
  <c r="D1767" i="106" s="1"/>
  <c r="J77" i="4"/>
  <c r="B6262" i="106" s="1"/>
  <c r="D6262" i="106" s="1"/>
  <c r="D11" i="7"/>
  <c r="B1768" i="106" s="1"/>
  <c r="D1768" i="106" s="1"/>
  <c r="G30" i="108"/>
  <c r="G38" i="108"/>
  <c r="E30" i="108"/>
  <c r="F67" i="34"/>
  <c r="E38" i="108"/>
  <c r="B6995" i="106"/>
  <c r="D6995" i="106" s="1"/>
  <c r="K41" i="3"/>
  <c r="D69" i="36"/>
  <c r="F21" i="8"/>
  <c r="B1879" i="106" s="1"/>
  <c r="D1879" i="106" s="1"/>
  <c r="J210" i="29"/>
  <c r="B7072" i="106" s="1"/>
  <c r="D7072" i="106" s="1"/>
  <c r="B1746" i="106"/>
  <c r="D1746" i="106" s="1"/>
  <c r="D5" i="4"/>
  <c r="B3406" i="106" s="1"/>
  <c r="D3406" i="106" s="1"/>
  <c r="B6289" i="106"/>
  <c r="D6289" i="106" s="1"/>
  <c r="F36" i="34"/>
  <c r="G26" i="108"/>
  <c r="B1274" i="106"/>
  <c r="D1274" i="106" s="1"/>
  <c r="E26" i="108"/>
  <c r="F37" i="34"/>
  <c r="F106" i="34"/>
  <c r="D6103" i="106"/>
  <c r="L13" i="11"/>
  <c r="B2060" i="106" s="1"/>
  <c r="D2060" i="106" s="1"/>
  <c r="L5" i="11"/>
  <c r="B2056" i="106" s="1"/>
  <c r="D2056" i="106" s="1"/>
  <c r="G29" i="108"/>
  <c r="G14" i="4"/>
  <c r="B2609" i="106" s="1"/>
  <c r="D2609" i="106" s="1"/>
  <c r="H112" i="29"/>
  <c r="B7018" i="106" s="1"/>
  <c r="D7018" i="106" s="1"/>
  <c r="F72" i="34"/>
  <c r="E29" i="108"/>
  <c r="F71" i="34"/>
  <c r="F128" i="34"/>
  <c r="G15" i="145"/>
  <c r="N22" i="3"/>
  <c r="B283" i="106" s="1"/>
  <c r="D283" i="106" s="1"/>
  <c r="F28" i="108"/>
  <c r="E28" i="108"/>
  <c r="L22" i="37"/>
  <c r="B3689" i="106"/>
  <c r="D3689" i="106" s="1"/>
  <c r="F19" i="7"/>
  <c r="B1807" i="106" s="1"/>
  <c r="D1807" i="106" s="1"/>
  <c r="D7" i="7"/>
  <c r="B1763" i="106" s="1"/>
  <c r="D1763" i="106" s="1"/>
  <c r="B5161" i="106"/>
  <c r="D5161" i="106" s="1"/>
  <c r="L312" i="29"/>
  <c r="J129" i="29"/>
  <c r="B7038" i="106" s="1"/>
  <c r="D7038" i="106" s="1"/>
  <c r="B7076" i="106"/>
  <c r="D7076" i="106" s="1"/>
  <c r="I210" i="29"/>
  <c r="L15" i="11"/>
  <c r="B3459" i="106" s="1"/>
  <c r="D3459" i="106" s="1"/>
  <c r="I24" i="12"/>
  <c r="K184" i="29"/>
  <c r="F13" i="4" s="1"/>
  <c r="B2596" i="106" s="1"/>
  <c r="D2596" i="106" s="1"/>
  <c r="B6261" i="106"/>
  <c r="D6261" i="106" s="1"/>
  <c r="C352" i="29"/>
  <c r="C367" i="29" s="1"/>
  <c r="B3622" i="106" s="1"/>
  <c r="D3622" i="106" s="1"/>
  <c r="K285" i="29"/>
  <c r="B3724" i="106" s="1"/>
  <c r="D3724" i="106" s="1"/>
  <c r="G210" i="29"/>
  <c r="B1365" i="106" s="1"/>
  <c r="D1365" i="106" s="1"/>
  <c r="K350" i="29"/>
  <c r="B3670" i="106" s="1"/>
  <c r="D3670" i="106" s="1"/>
  <c r="E174" i="29"/>
  <c r="B1309" i="106" s="1"/>
  <c r="D1309" i="106" s="1"/>
  <c r="J352" i="29"/>
  <c r="H365" i="29"/>
  <c r="B7242" i="106" s="1"/>
  <c r="D7242" i="106" s="1"/>
  <c r="G352" i="29"/>
  <c r="B3649" i="106" s="1"/>
  <c r="D3649" i="106" s="1"/>
  <c r="C342" i="29"/>
  <c r="B7216" i="106" s="1"/>
  <c r="D7216" i="106" s="1"/>
  <c r="F131" i="34"/>
  <c r="J41" i="3"/>
  <c r="B6216" i="106" s="1"/>
  <c r="D6216" i="106" s="1"/>
  <c r="D54" i="36"/>
  <c r="G5" i="4"/>
  <c r="B3409" i="106" s="1"/>
  <c r="D3409" i="106" s="1"/>
  <c r="B5096" i="106"/>
  <c r="D5096" i="106" s="1"/>
  <c r="D15" i="7"/>
  <c r="B1772" i="106" s="1"/>
  <c r="D1772" i="106" s="1"/>
  <c r="D12" i="7"/>
  <c r="B1769" i="106" s="1"/>
  <c r="D1769" i="106" s="1"/>
  <c r="F111" i="34"/>
  <c r="B1410" i="106"/>
  <c r="D1410" i="106" s="1"/>
  <c r="F69" i="34"/>
  <c r="G35" i="108"/>
  <c r="I342" i="29"/>
  <c r="B7222" i="106" s="1"/>
  <c r="D7222" i="106" s="1"/>
  <c r="E35" i="108"/>
  <c r="H342" i="29"/>
  <c r="B7221" i="106" s="1"/>
  <c r="D7221" i="106" s="1"/>
  <c r="C129" i="29"/>
  <c r="C151" i="29" s="1"/>
  <c r="B1226" i="106" s="1"/>
  <c r="D1226" i="106" s="1"/>
  <c r="L367" i="29"/>
  <c r="F64" i="34"/>
  <c r="B7047" i="106"/>
  <c r="D7047" i="106" s="1"/>
  <c r="B1329" i="106"/>
  <c r="D1329" i="106" s="1"/>
  <c r="F61" i="34"/>
  <c r="L342" i="29"/>
  <c r="B4087" i="106"/>
  <c r="D4087" i="106" s="1"/>
  <c r="H109" i="5"/>
  <c r="B6025" i="106" s="1"/>
  <c r="D6025" i="106" s="1"/>
  <c r="H173" i="5"/>
  <c r="B5906" i="106" s="1"/>
  <c r="D5906" i="106" s="1"/>
  <c r="F127" i="34"/>
  <c r="B4413" i="106"/>
  <c r="D4413" i="106" s="1"/>
  <c r="E109" i="5"/>
  <c r="E4" i="4" s="1"/>
  <c r="B2630" i="106" s="1"/>
  <c r="D2630" i="106" s="1"/>
  <c r="F130" i="34"/>
  <c r="G109" i="5"/>
  <c r="D109" i="5"/>
  <c r="K76" i="4"/>
  <c r="B3586" i="106" s="1"/>
  <c r="D3586" i="106" s="1"/>
  <c r="F77" i="4"/>
  <c r="B3255" i="106" s="1"/>
  <c r="D3255" i="106" s="1"/>
  <c r="K28" i="118"/>
  <c r="O27" i="118" s="1"/>
  <c r="O29" i="118" s="1"/>
  <c r="H33" i="118"/>
  <c r="F136" i="34"/>
  <c r="G172" i="5"/>
  <c r="B4373" i="106"/>
  <c r="D4373" i="106" s="1"/>
  <c r="I173" i="5"/>
  <c r="B4216" i="106" s="1"/>
  <c r="D4216" i="106" s="1"/>
  <c r="F172" i="5"/>
  <c r="B5644" i="106" s="1"/>
  <c r="D5644" i="106" s="1"/>
  <c r="C109" i="5"/>
  <c r="B5121" i="106" s="1"/>
  <c r="D5121" i="106" s="1"/>
  <c r="C172" i="5"/>
  <c r="K173" i="5"/>
  <c r="K6" i="4" s="1"/>
  <c r="B3570" i="106" s="1"/>
  <c r="D3570" i="106" s="1"/>
  <c r="J274" i="5"/>
  <c r="B7054" i="106" s="1"/>
  <c r="D7054" i="106" s="1"/>
  <c r="K274" i="5"/>
  <c r="K7" i="4" s="1"/>
  <c r="B3718" i="106" s="1"/>
  <c r="D3718" i="106" s="1"/>
  <c r="H76" i="4"/>
  <c r="B3298" i="106" s="1"/>
  <c r="D329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4" i="106" l="1"/>
  <c r="D7251" i="106"/>
  <c r="D7255" i="106"/>
  <c r="D7250" i="106"/>
  <c r="I151" i="29"/>
  <c r="F59" i="34" s="1"/>
  <c r="H22" i="37"/>
  <c r="F41" i="108"/>
  <c r="G43" i="108" s="1"/>
  <c r="B3628" i="106"/>
  <c r="D3628" i="106" s="1"/>
  <c r="B3568" i="106"/>
  <c r="D3568" i="106" s="1"/>
  <c r="D52" i="36"/>
  <c r="B1317" i="106"/>
  <c r="D1317" i="106" s="1"/>
  <c r="H77" i="4"/>
  <c r="B3299" i="106" s="1"/>
  <c r="D3299" i="106" s="1"/>
  <c r="B1381" i="106"/>
  <c r="D1381" i="106" s="1"/>
  <c r="K365" i="29"/>
  <c r="K16" i="4" s="1"/>
  <c r="D7256" i="106"/>
  <c r="D7253" i="106"/>
  <c r="D7252" i="106"/>
  <c r="N23" i="3"/>
  <c r="B284" i="106" s="1"/>
  <c r="D284" i="106" s="1"/>
  <c r="B1225" i="106"/>
  <c r="D1225" i="106" s="1"/>
  <c r="B3621" i="106"/>
  <c r="D3621" i="106" s="1"/>
  <c r="J7" i="4"/>
  <c r="B6222" i="106" s="1"/>
  <c r="D6222" i="106" s="1"/>
  <c r="H275" i="5"/>
  <c r="B5915" i="106" s="1"/>
  <c r="D5915" i="106" s="1"/>
  <c r="D51" i="36"/>
  <c r="J151" i="29"/>
  <c r="B7052" i="106" s="1"/>
  <c r="D7052" i="106" s="1"/>
  <c r="B5914" i="106"/>
  <c r="D5914" i="106" s="1"/>
  <c r="B7071" i="106"/>
  <c r="D7071" i="106" s="1"/>
  <c r="F66" i="34"/>
  <c r="F65" i="34"/>
  <c r="L16" i="11"/>
  <c r="B2061" i="106" s="1"/>
  <c r="D2061" i="106" s="1"/>
  <c r="I26" i="12"/>
  <c r="B7741" i="106" s="1"/>
  <c r="D7741" i="106" s="1"/>
  <c r="B1996" i="106"/>
  <c r="D1996" i="106" s="1"/>
  <c r="F73" i="34"/>
  <c r="G15" i="4"/>
  <c r="B6032" i="106" s="1"/>
  <c r="D6032" i="106" s="1"/>
  <c r="K352" i="29"/>
  <c r="K77" i="4"/>
  <c r="B3587" i="106" s="1"/>
  <c r="D3587" i="106" s="1"/>
  <c r="H367" i="29"/>
  <c r="B3660" i="106" s="1"/>
  <c r="D3660" i="106" s="1"/>
  <c r="J16" i="4"/>
  <c r="B6226" i="106" s="1"/>
  <c r="D6226" i="106" s="1"/>
  <c r="J367" i="29"/>
  <c r="B7245" i="106" s="1"/>
  <c r="D7245" i="106" s="1"/>
  <c r="B7235" i="106"/>
  <c r="D7235" i="106" s="1"/>
  <c r="K342" i="29"/>
  <c r="F13" i="34" s="1"/>
  <c r="G367" i="29"/>
  <c r="B3650" i="106" s="1"/>
  <c r="D3650" i="106" s="1"/>
  <c r="H4" i="4"/>
  <c r="B2655" i="106" s="1"/>
  <c r="D2655" i="106" s="1"/>
  <c r="I6" i="4"/>
  <c r="B5011" i="106" s="1"/>
  <c r="D5011" i="106" s="1"/>
  <c r="H6" i="4"/>
  <c r="B2656" i="106" s="1"/>
  <c r="D2656" i="106" s="1"/>
  <c r="L114" i="29"/>
  <c r="H151" i="29"/>
  <c r="B1273" i="106" s="1"/>
  <c r="D1273" i="106" s="1"/>
  <c r="B1328" i="106"/>
  <c r="D1328" i="106" s="1"/>
  <c r="C114" i="29"/>
  <c r="B757" i="106" s="1"/>
  <c r="D757" i="106" s="1"/>
  <c r="B6022" i="106"/>
  <c r="D6022" i="106" s="1"/>
  <c r="B6014" i="106"/>
  <c r="D6014" i="106" s="1"/>
  <c r="D19" i="7"/>
  <c r="B1775" i="106" s="1"/>
  <c r="D1775" i="106" s="1"/>
  <c r="B6024" i="106"/>
  <c r="D6024" i="106" s="1"/>
  <c r="G4" i="4"/>
  <c r="B2603" i="106" s="1"/>
  <c r="D2603" i="106" s="1"/>
  <c r="B5527" i="106"/>
  <c r="D5527" i="106" s="1"/>
  <c r="B5356" i="106"/>
  <c r="D5356" i="106" s="1"/>
  <c r="D4" i="4"/>
  <c r="B2564" i="106" s="1"/>
  <c r="D2564" i="106" s="1"/>
  <c r="C4" i="4"/>
  <c r="B2551" i="106" s="1"/>
  <c r="D2551" i="106" s="1"/>
  <c r="F173" i="5"/>
  <c r="D44" i="36"/>
  <c r="G173" i="5"/>
  <c r="B5770" i="106"/>
  <c r="D5770" i="106" s="1"/>
  <c r="F274" i="5"/>
  <c r="D274" i="5"/>
  <c r="D7" i="4"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43" i="106"/>
  <c r="D7243" i="106" s="1"/>
  <c r="B7224" i="106"/>
  <c r="D7224" i="106" s="1"/>
  <c r="B1145" i="106"/>
  <c r="D1145" i="106" s="1"/>
  <c r="H8" i="4"/>
  <c r="B2658" i="106" s="1"/>
  <c r="D2658" i="106" s="1"/>
  <c r="F275" i="5"/>
  <c r="B5720" i="106" s="1"/>
  <c r="D5720" i="106" s="1"/>
  <c r="J8" i="4"/>
  <c r="J10" i="4" s="1"/>
  <c r="B6225" i="106" s="1"/>
  <c r="D6225" i="106" s="1"/>
  <c r="K13" i="4"/>
  <c r="B3572" i="106" s="1"/>
  <c r="D3572" i="106" s="1"/>
  <c r="B3672" i="106"/>
  <c r="D3672" i="106" s="1"/>
  <c r="K367" i="29"/>
  <c r="B3678" i="106" s="1"/>
  <c r="D3678" i="106" s="1"/>
  <c r="J17" i="4"/>
  <c r="G41" i="108"/>
  <c r="G44" i="108" s="1"/>
  <c r="G45" i="108" s="1"/>
  <c r="E41" i="108"/>
  <c r="E44" i="108" s="1"/>
  <c r="E45" i="108" s="1"/>
  <c r="B5653" i="106"/>
  <c r="D5653" i="106" s="1"/>
  <c r="F6" i="4"/>
  <c r="B2593" i="106" s="1"/>
  <c r="D2593" i="106" s="1"/>
  <c r="F7" i="4"/>
  <c r="B2594" i="106" s="1"/>
  <c r="D2594" i="106" s="1"/>
  <c r="B5719" i="106"/>
  <c r="D5719" i="106" s="1"/>
  <c r="D275" i="5"/>
  <c r="B5508" i="106" s="1"/>
  <c r="D5508" i="106" s="1"/>
  <c r="B5223" i="106"/>
  <c r="D5223" i="106" s="1"/>
  <c r="C6" i="4"/>
  <c r="B2553" i="106" s="1"/>
  <c r="D2553" i="106" s="1"/>
  <c r="B5507" i="106"/>
  <c r="D5507" i="106" s="1"/>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8" i="4"/>
  <c r="D8" i="146" s="1"/>
  <c r="H10" i="4"/>
  <c r="B4127" i="106" s="1"/>
  <c r="D4127" i="106" s="1"/>
  <c r="J20" i="4"/>
  <c r="J78" i="4" s="1"/>
  <c r="K368" i="29"/>
  <c r="B3681" i="106" s="1"/>
  <c r="D3681" i="106" s="1"/>
  <c r="K17" i="4"/>
  <c r="B3575" i="106" s="1"/>
  <c r="D3575" i="106" s="1"/>
  <c r="F76" i="34"/>
  <c r="B6227" i="106"/>
  <c r="D6227" i="106" s="1"/>
  <c r="J19" i="4"/>
  <c r="B6229" i="106" s="1"/>
  <c r="D6229" i="106" s="1"/>
  <c r="B2595" i="106"/>
  <c r="D2595" i="106" s="1"/>
  <c r="D8" i="4"/>
  <c r="D10" i="4" s="1"/>
  <c r="B4123" i="106" s="1"/>
  <c r="D412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F10" i="4" l="1"/>
  <c r="B4125" i="106" s="1"/>
  <c r="D4125" i="106" s="1"/>
  <c r="B6230" i="106"/>
  <c r="D6230" i="106" s="1"/>
  <c r="K20" i="4"/>
  <c r="B3576" i="106" s="1"/>
  <c r="D3576" i="106" s="1"/>
  <c r="H13" i="118"/>
  <c r="K19" i="4"/>
  <c r="B4144" i="106" s="1"/>
  <c r="D4144" i="106" s="1"/>
  <c r="C8" i="146"/>
  <c r="D20" i="4"/>
  <c r="B2574" i="106" s="1"/>
  <c r="D2574" i="106" s="1"/>
  <c r="B2568" i="106"/>
  <c r="D2568"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J81" i="4"/>
  <c r="B6263" i="106"/>
  <c r="D6263" i="106" s="1"/>
  <c r="C10" i="146" l="1"/>
  <c r="D78" i="4"/>
  <c r="D81" i="4" s="1"/>
  <c r="F8" i="146"/>
  <c r="K78" i="4"/>
  <c r="B3588" i="106" s="1"/>
  <c r="D3588" i="106" s="1"/>
  <c r="F179" i="34"/>
  <c r="F79" i="3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K81" i="4"/>
  <c r="B3591" i="106" s="1"/>
  <c r="D3591" i="106" s="1"/>
  <c r="F181" i="34"/>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K82" i="4" l="1"/>
  <c r="B6275" i="106" s="1"/>
  <c r="D6275" i="106" s="1"/>
  <c r="D65" i="36"/>
  <c r="J16" i="37"/>
  <c r="B4269" i="106" s="1"/>
  <c r="D4269" i="106" s="1"/>
  <c r="H12" i="118"/>
  <c r="K12"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K83" i="4" l="1"/>
  <c r="B6284" i="106" s="1"/>
  <c r="D6284"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<sst xmlns="http://schemas.openxmlformats.org/spreadsheetml/2006/main" count="5341" uniqueCount="2187">
  <si>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</si>
  <si>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</si>
  <si>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</si>
  <si>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</si>
  <si>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</si>
  <si>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</si>
  <si>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</si>
  <si>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</si>
  <si>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</si>
  <si>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</si>
  <si>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</si>
  <si>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</si>
  <si>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</si>
  <si>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</si>
  <si>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</si>
  <si>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</si>
  <si>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</si>
  <si>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</si>
  <si>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</si>
  <si>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</si>
  <si>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</si>
  <si>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</si>
  <si>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</si>
  <si>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</si>
  <si>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</si>
  <si>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</si>
  <si>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</si>
  <si>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</si>
  <si>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</si>
  <si>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</si>
  <si>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</si>
  <si>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</si>
  <si>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</si>
  <si>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</si>
  <si>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</si>
  <si>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</si>
  <si>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</si>
  <si>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</si>
  <si>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</si>
  <si>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</si>
  <si>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</si>
  <si>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</si>
  <si>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</si>
  <si>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</si>
  <si>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</si>
  <si>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</si>
  <si>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</si>
  <si>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</si>
  <si>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</si>
  <si>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</si>
  <si>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</si>
  <si>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</si>
  <si>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</si>
  <si>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</si>
  <si>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</si>
  <si>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</si>
  <si>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</si>
  <si>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</si>
  <si>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</si>
  <si>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</si>
  <si>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</si>
  <si>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</si>
  <si>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</si>
  <si>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</si>
  <si>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</si>
  <si>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</si>
  <si>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</si>
  <si>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</si>
  <si>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</si>
  <si>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</si>
  <si>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</si>
  <si>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</si>
  <si>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</si>
  <si>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</si>
  <si>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</si>
  <si>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</si>
  <si>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</si>
  <si>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</si>
  <si>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</si>
  <si>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</si>
  <si>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</si>
  <si>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</si>
  <si>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</si>
  <si>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</si>
  <si>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</si>
  <si>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</si>
  <si>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</si>
  <si>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</si>
  <si>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</si>
  <si>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</si>
  <si>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</si>
  <si>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</si>
  <si>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</si>
  <si>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</si>
  <si>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</si>
  <si>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</si>
  <si>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</si>
  <si>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</si>
  <si>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</si>
  <si>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</si>
  <si>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</si>
  <si>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</si>
  <si>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</si>
  <si>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</si>
  <si>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</si>
  <si>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</si>
  <si>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</si>
  <si>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</si>
  <si>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</si>
  <si>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</si>
  <si>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</si>
  <si>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</si>
  <si>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</si>
  <si>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</si>
  <si>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</si>
  <si>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</si>
  <si>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</si>
  <si>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</si>
  <si>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</si>
  <si>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</si>
  <si>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</si>
  <si>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</si>
  <si>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</si>
  <si>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</si>
  <si>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</si>
  <si>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</si>
  <si>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</si>
  <si>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</si>
  <si>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</si>
  <si>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</si>
  <si>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</si>
  <si>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</si>
  <si>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</si>
  <si>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</si>
  <si>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</si>
  <si>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</si>
  <si>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</si>
  <si>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</si>
  <si>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</si>
  <si>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</si>
  <si>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</si>
  <si>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</si>
  <si>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</si>
  <si>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</si>
  <si>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</si>
  <si>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</si>
  <si>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</si>
  <si>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</si>
  <si>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</si>
  <si>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</si>
  <si>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</si>
  <si>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</si>
  <si>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</si>
  <si>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</si>
  <si>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</si>
  <si>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</si>
  <si>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</si>
  <si>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</si>
  <si>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</si>
  <si>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</si>
  <si>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</si>
  <si>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</si>
  <si>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</si>
  <si>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</si>
  <si>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</si>
  <si>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</si>
  <si>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</si>
  <si>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</si>
  <si>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</si>
  <si>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</si>
  <si>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</si>
  <si>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</si>
  <si>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</si>
  <si>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</si>
  <si>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</si>
  <si>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</si>
  <si>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</si>
  <si>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</si>
  <si>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</si>
  <si>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</si>
  <si>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</si>
  <si>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</si>
  <si>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</si>
  <si>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</si>
  <si>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</si>
  <si>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</si>
  <si>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</si>
  <si>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</si>
  <si>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</si>
  <si>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</si>
  <si>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</si>
  <si>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</si>
  <si>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</si>
  <si>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</si>
  <si>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</si>
  <si>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</si>
  <si>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</si>
  <si>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</si>
  <si>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</si>
  <si>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</si>
  <si>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</si>
  <si>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</si>
  <si>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</si>
  <si>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</si>
  <si>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</si>
  <si>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</si>
  <si>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</si>
  <si>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</si>
  <si>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</si>
  <si>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</si>
  <si>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</si>
  <si>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</si>
  <si>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</si>
  <si>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</si>
  <si>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</si>
  <si>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</si>
  <si>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</si>
  <si>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</si>
  <si>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</si>
  <si>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</si>
  <si>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</si>
  <si>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</si>
  <si>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</si>
  <si>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</si>
  <si>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</si>
  <si>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</si>
  <si>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</si>
  <si>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</si>
  <si>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</si>
  <si>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</si>
  <si>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</si>
  <si>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</si>
  <si>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</si>
  <si>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</si>
  <si>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</si>
  <si>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</si>
  <si>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</si>
  <si>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</si>
  <si>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</si>
  <si>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</si>
  <si>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</si>
  <si>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</si>
  <si>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</si>
  <si>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</si>
  <si>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</si>
  <si>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</si>
  <si>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</si>
  <si>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</si>
  <si>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</si>
  <si>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</si>
  <si>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</si>
  <si>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</si>
  <si>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</si>
  <si>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</si>
  <si>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</si>
  <si>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</si>
  <si>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</si>
  <si>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</si>
  <si>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</si>
  <si>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</si>
  <si>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</si>
  <si>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</si>
  <si>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</si>
  <si>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</si>
  <si>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</si>
  <si>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</si>
  <si>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</si>
  <si>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</si>
  <si>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</si>
  <si>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</si>
  <si>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</si>
  <si>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</si>
  <si>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</si>
  <si>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</si>
  <si>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</si>
  <si>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</si>
  <si>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</si>
  <si>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</si>
  <si>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</si>
  <si>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</si>
  <si>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</si>
  <si>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</si>
  <si>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</si>
  <si>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</si>
  <si>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</si>
  <si>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</si>
  <si>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</si>
  <si>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</si>
  <si>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</si>
  <si>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</si>
  <si>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</si>
  <si>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</si>
  <si>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</si>
  <si>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</si>
  <si>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</si>
  <si>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</si>
  <si>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</si>
  <si>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</si>
  <si>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</si>
  <si>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</si>
  <si>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</si>
  <si>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</si>
  <si>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</si>
  <si>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</si>
  <si>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</si>
  <si>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</si>
  <si>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</si>
  <si>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</si>
  <si>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</si>
  <si>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</si>
  <si>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</si>
  <si>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</si>
  <si>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</si>
  <si>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</si>
  <si>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</si>
  <si>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</si>
  <si>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</si>
  <si>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</si>
  <si>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</si>
  <si>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</si>
  <si>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</si>
  <si>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</si>
  <si>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</si>
  <si>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</si>
  <si>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</si>
  <si>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</si>
  <si>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</si>
  <si>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</si>
  <si>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</si>
  <si>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</si>
  <si>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</si>
  <si>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</si>
  <si>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</si>
  <si>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</si>
  <si>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</si>
  <si>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</si>
  <si>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</si>
  <si>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</si>
  <si>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</si>
  <si>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</si>
  <si>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</si>
  <si>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</si>
  <si>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</si>
  <si>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</si>
  <si>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</si>
  <si>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</si>
  <si>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</si>
  <si>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</si>
  <si>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</si>
  <si>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</si>
  <si>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</si>
  <si>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</si>
  <si>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</si>
  <si>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</si>
  <si>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</si>
  <si>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</si>
  <si>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</si>
  <si>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</si>
  <si>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</si>
  <si>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</si>
  <si>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</si>
  <si>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</si>
  <si>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</si>
  <si>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</si>
  <si>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</si>
  <si>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</si>
  <si>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</si>
  <si>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</si>
  <si>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</si>
  <si>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</si>
  <si>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</si>
  <si>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</si>
  <si>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</si>
  <si>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</si>
  <si>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</si>
  <si>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</si>
  <si>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</si>
  <si>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</si>
  <si>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</si>
  <si>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</si>
  <si>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</si>
  <si>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</si>
  <si>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</si>
  <si>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</si>
  <si>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</si>
  <si>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</si>
  <si>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</si>
  <si>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</si>
  <si>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</si>
  <si>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</si>
  <si>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</si>
  <si>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</si>
  <si>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</si>
  <si>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</si>
  <si>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</si>
  <si>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</si>
  <si>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</si>
  <si>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</si>
  <si>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</si>
  <si>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</si>
  <si>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</si>
  <si>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</si>
  <si>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</si>
  <si>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</si>
  <si>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</si>
  <si>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</si>
  <si>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</si>
  <si>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</si>
  <si>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</si>
  <si>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</si>
  <si>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</si>
  <si>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</si>
  <si>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</si>
  <si>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</si>
  <si>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</si>
  <si>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</si>
  <si>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</si>
  <si>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</si>
  <si>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</si>
  <si>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</si>
  <si>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</si>
  <si>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</si>
  <si>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</si>
  <si>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</si>
  <si>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</si>
  <si>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</si>
  <si>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</si>
  <si>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</si>
  <si>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</si>
  <si>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</si>
  <si>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</si>
  <si>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</si>
  <si>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</si>
  <si>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</si>
  <si>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</si>
  <si>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</si>
  <si>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</si>
  <si>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</si>
  <si>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</si>
  <si>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</si>
  <si>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</si>
  <si>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</si>
  <si>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</si>
  <si>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</si>
  <si>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</si>
  <si>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</si>
  <si>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</si>
  <si>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</si>
  <si>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</si>
  <si>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</si>
  <si>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</si>
  <si>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</si>
  <si>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</si>
  <si>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</si>
  <si>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</si>
  <si>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</si>
  <si>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</si>
  <si>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</si>
  <si>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</si>
  <si>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</si>
  <si>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</si>
  <si>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</si>
  <si>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</si>
  <si>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</si>
  <si>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</si>
  <si>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</si>
  <si>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</si>
  <si>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</si>
  <si>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</si>
  <si>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</si>
  <si>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</si>
  <si>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</si>
  <si>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</si>
  <si>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</si>
  <si>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</si>
  <si>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</si>
  <si>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</si>
  <si>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</si>
  <si>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</si>
  <si>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</si>
  <si>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</si>
  <si>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</si>
  <si>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</si>
  <si>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</si>
  <si>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</si>
  <si>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</si>
  <si>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</si>
  <si>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</si>
  <si>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</si>
  <si>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</si>
  <si>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</si>
  <si>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</si>
  <si>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</si>
  <si>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</si>
  <si>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</si>
  <si>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</si>
  <si>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</si>
  <si>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</si>
  <si>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</si>
  <si>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</si>
  <si>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</si>
  <si>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</si>
  <si>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</si>
  <si>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</si>
  <si>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</si>
  <si>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</si>
  <si>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</si>
  <si>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</si>
  <si>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</si>
  <si>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</si>
  <si>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</si>
  <si>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</si>
  <si>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</si>
  <si>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</si>
  <si>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</si>
  <si>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</si>
  <si>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</si>
  <si>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</si>
  <si>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</si>
  <si>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</si>
  <si>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</si>
  <si>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</si>
  <si>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</si>
  <si>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</si>
  <si>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</si>
  <si>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</si>
  <si>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</si>
  <si>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</si>
  <si>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</si>
  <si>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</si>
  <si>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</si>
  <si>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</si>
  <si>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</si>
  <si>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</si>
  <si>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</si>
  <si>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</si>
  <si>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</si>
  <si>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</si>
  <si>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</si>
  <si>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</si>
  <si>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</si>
  <si>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</si>
  <si>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</si>
  <si>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</si>
  <si>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</si>
  <si>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</si>
  <si>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</si>
  <si>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</si>
  <si>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</si>
  <si>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</si>
  <si>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</si>
  <si>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</si>
  <si>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</si>
  <si>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</si>
  <si>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</si>
  <si>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</si>
  <si>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</si>
  <si>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</si>
  <si>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</si>
  <si>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</si>
  <si>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</si>
  <si>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</si>
  <si>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</si>
  <si>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</si>
  <si>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</si>
  <si>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</si>
  <si>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</si>
  <si>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</si>
  <si>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</si>
  <si>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</si>
  <si>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</si>
  <si>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</si>
  <si>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</si>
  <si>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</si>
  <si>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</si>
  <si>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</si>
  <si>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</si>
  <si>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</si>
  <si>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</si>
  <si>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</si>
  <si>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</si>
  <si>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</si>
  <si>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</si>
  <si>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</si>
  <si>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</si>
  <si>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</si>
  <si>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</si>
  <si>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</si>
  <si>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</si>
  <si>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</si>
  <si>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</si>
  <si>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</si>
  <si>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</si>
  <si>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</si>
  <si>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</si>
  <si>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</si>
  <si>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</si>
  <si>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</si>
  <si>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</si>
  <si>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</si>
  <si>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</si>
  <si>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</si>
  <si>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</si>
  <si>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</si>
  <si>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</si>
  <si>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</si>
  <si>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</si>
  <si>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</si>
  <si>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</si>
  <si>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</si>
  <si>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</si>
  <si>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</si>
  <si>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</si>
  <si>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</si>
  <si>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</si>
  <si>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</si>
  <si>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</si>
  <si>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</si>
  <si>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</si>
  <si>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</si>
  <si>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</si>
  <si>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</si>
  <si>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</si>
  <si>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</si>
  <si>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</si>
  <si>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</si>
  <si>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</si>
  <si>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</si>
  <si>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</si>
  <si>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</si>
  <si>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</si>
  <si>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</si>
  <si>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</si>
  <si>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</si>
  <si>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</si>
  <si>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</si>
  <si>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</si>
  <si>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</si>
  <si>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</si>
  <si>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</si>
  <si>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</si>
  <si>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</si>
  <si>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</si>
  <si>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</si>
  <si>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</si>
  <si>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</si>
  <si>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</si>
  <si>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</si>
  <si>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</si>
  <si>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</si>
  <si>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</si>
  <si>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</si>
  <si>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</si>
  <si>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</si>
  <si>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</si>
  <si>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</si>
  <si>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</si>
  <si>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</si>
  <si>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</si>
  <si>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</si>
  <si>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</si>
  <si>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</si>
  <si>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</si>
  <si>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</si>
  <si>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</si>
  <si>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</si>
  <si>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</si>
  <si>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</si>
  <si>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</si>
  <si>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</si>
  <si>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</si>
  <si>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</si>
  <si>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</si>
  <si>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</si>
  <si>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</si>
  <si>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</si>
  <si>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</si>
  <si>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</si>
  <si>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</si>
  <si>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</si>
  <si>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</si>
  <si>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</si>
  <si>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</si>
  <si>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</si>
  <si>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</si>
  <si>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</si>
  <si>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</si>
  <si>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</si>
  <si>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</si>
  <si>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</si>
  <si>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</si>
  <si>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</si>
  <si>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</si>
  <si>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</si>
  <si>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</si>
  <si>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</si>
  <si>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</si>
  <si>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</si>
  <si>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</si>
  <si>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</si>
  <si>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</si>
  <si>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</si>
  <si>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</si>
  <si>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</si>
  <si>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</si>
  <si>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</si>
  <si>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</si>
  <si>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</si>
  <si>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</si>
  <si>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</si>
  <si>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</si>
  <si>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</si>
  <si>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</si>
  <si>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</si>
  <si>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</si>
  <si>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</si>
  <si>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</si>
  <si>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</si>
  <si>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</si>
  <si>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</si>
  <si>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</si>
  <si>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</si>
  <si>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</si>
  <si>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</si>
  <si>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</si>
  <si>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</si>
  <si>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</si>
  <si>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</si>
  <si>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</si>
  <si>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</si>
  <si>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</si>
  <si>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</si>
  <si>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</si>
  <si>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</si>
  <si>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</si>
  <si>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</si>
  <si>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</si>
  <si>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</si>
  <si>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</si>
  <si>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</si>
  <si>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</si>
  <si>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</si>
  <si>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</si>
  <si>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</si>
  <si>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</si>
  <si>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</si>
  <si>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</si>
  <si>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</si>
  <si>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</si>
  <si>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</si>
  <si>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</si>
  <si>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</si>
  <si>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</si>
  <si>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</si>
  <si>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</si>
  <si>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</si>
  <si>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</si>
  <si>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</si>
  <si>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</si>
  <si>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</si>
  <si>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</si>
  <si>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</si>
  <si>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</si>
  <si>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</si>
  <si>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</si>
  <si>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</si>
  <si>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</si>
  <si>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</si>
  <si>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</si>
  <si>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</si>
  <si>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</si>
  <si>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</si>
  <si>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</si>
  <si>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</si>
  <si>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</si>
  <si>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</si>
  <si>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</si>
  <si>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</si>
  <si>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</si>
  <si>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</si>
  <si>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</si>
  <si>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</si>
  <si>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</si>
  <si>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</si>
  <si>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</si>
  <si>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</si>
  <si>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</si>
  <si>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</si>
  <si>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</si>
  <si>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</si>
  <si>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</si>
  <si>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</si>
  <si>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</si>
  <si>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</si>
  <si>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</si>
  <si>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</si>
  <si>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</si>
  <si>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</si>
  <si>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</si>
  <si>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</si>
  <si>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</si>
  <si>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</si>
  <si>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</si>
  <si>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</si>
  <si>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</si>
  <si>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</si>
  <si>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</si>
  <si>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</si>
  <si>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</si>
  <si>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</si>
  <si>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</si>
  <si>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</si>
  <si>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</si>
  <si>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</si>
  <si>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</si>
  <si>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</si>
  <si>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</si>
  <si>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</si>
  <si>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</si>
  <si>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</si>
  <si>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</si>
  <si>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</si>
  <si>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</si>
  <si>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</si>
  <si>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</si>
  <si>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</si>
  <si>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</si>
  <si>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</si>
  <si>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</si>
  <si>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</si>
  <si>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</si>
  <si>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</si>
  <si>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</si>
  <si>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</si>
  <si>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</si>
  <si>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</si>
  <si>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</si>
  <si>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</si>
  <si>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</si>
  <si>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</si>
  <si>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</si>
  <si>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</si>
  <si>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</si>
  <si>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</si>
  <si>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</si>
  <si>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</si>
  <si>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</si>
  <si>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</si>
  <si>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</si>
  <si>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</si>
  <si>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</si>
  <si>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</si>
  <si>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</si>
  <si>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</si>
  <si>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</si>
  <si>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</si>
  <si>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</si>
  <si>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</si>
  <si>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</si>
  <si>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</si>
  <si>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</si>
  <si>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</si>
  <si>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</si>
  <si>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</si>
  <si>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</si>
  <si>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</si>
  <si>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</si>
  <si>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</si>
  <si>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</si>
  <si>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</si>
  <si>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</si>
  <si>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</si>
  <si>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</si>
  <si>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</si>
  <si>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</si>
  <si>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</si>
  <si>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</si>
  <si>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</si>
  <si>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</si>
  <si>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</si>
  <si>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</si>
  <si>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</si>
  <si>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</si>
  <si>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</si>
  <si>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</si>
  <si>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</si>
  <si>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</si>
  <si>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</si>
  <si>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</si>
  <si>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</si>
  <si>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</si>
  <si>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</si>
  <si>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</si>
  <si>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</si>
  <si>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</si>
  <si>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</si>
  <si>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</si>
  <si>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</si>
  <si>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</si>
  <si>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</si>
  <si>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</si>
  <si>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</si>
  <si>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</si>
  <si>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</si>
  <si>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</si>
  <si>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</si>
  <si>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</si>
  <si>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</si>
  <si>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</si>
  <si>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</si>
  <si>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</si>
  <si>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</si>
  <si>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</si>
  <si>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</si>
  <si>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</si>
  <si>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</si>
  <si>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</si>
  <si>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</si>
  <si>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</si>
  <si>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</si>
  <si>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</si>
  <si>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</si>
  <si>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</si>
  <si>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</si>
  <si>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</si>
  <si>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</si>
  <si>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</si>
  <si>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</si>
  <si>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</si>
  <si>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</si>
  <si>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</si>
  <si>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</si>
  <si>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</si>
  <si>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</si>
  <si>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</si>
  <si>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</si>
  <si>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</si>
  <si>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</si>
  <si>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</si>
  <si>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</si>
  <si>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</si>
  <si>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</si>
  <si>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</si>
  <si>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</si>
  <si>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</si>
  <si>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</si>
  <si>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</si>
  <si>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</si>
  <si>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</si>
  <si>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</si>
  <si>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</si>
  <si>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</si>
  <si>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</si>
  <si>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</si>
  <si>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</si>
  <si>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</si>
  <si>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</si>
  <si>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</si>
  <si>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</si>
  <si>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</si>
  <si>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</si>
  <si>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</si>
  <si>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</si>
  <si>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</si>
  <si>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</si>
  <si>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</si>
  <si>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</si>
  <si>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</si>
  <si>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</si>
  <si>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</si>
  <si>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</si>
  <si>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</si>
  <si>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</si>
  <si>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</si>
  <si>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</si>
  <si>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</si>
  <si>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</si>
  <si>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</si>
  <si>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</si>
  <si>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</si>
  <si>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</si>
  <si>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</si>
  <si>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</si>
  <si>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</si>
  <si>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</si>
  <si>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</si>
  <si>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</si>
  <si>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</si>
  <si>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</si>
  <si>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</si>
  <si>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</si>
  <si>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</si>
  <si>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</si>
  <si>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</si>
  <si>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</si>
  <si>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</si>
  <si>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</si>
  <si>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</si>
  <si>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</si>
  <si>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</si>
  <si>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</si>
  <si>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</si>
  <si>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</si>
  <si>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</si>
  <si>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</si>
  <si>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</si>
  <si>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</si>
  <si>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</si>
  <si>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</si>
  <si>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</si>
  <si>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</si>
  <si>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</si>
  <si>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</si>
  <si>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</si>
  <si>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</si>
  <si>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</si>
  <si>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</si>
  <si>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</si>
  <si>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</si>
  <si>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</si>
  <si>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</si>
  <si>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</si>
  <si>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</si>
  <si>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</si>
  <si>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</si>
  <si>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</si>
  <si>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</si>
  <si>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</si>
  <si>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</si>
  <si>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</si>
  <si>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</si>
  <si>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</si>
  <si>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</si>
  <si>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</si>
  <si>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</si>
  <si>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</si>
  <si>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</si>
  <si>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</si>
  <si>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</si>
  <si>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</si>
  <si>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</si>
  <si>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</si>
  <si>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</si>
  <si>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</si>
  <si>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</si>
  <si>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</si>
  <si>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</si>
  <si>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</si>
  <si>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</si>
  <si>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</si>
  <si>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</si>
  <si>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</si>
  <si>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</si>
  <si>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</si>
  <si>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</si>
  <si>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</si>
  <si>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</si>
  <si>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</si>
  <si>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</si>
  <si>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</si>
  <si>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</si>
  <si>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</si>
  <si>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</si>
  <si>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</si>
  <si>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</si>
  <si>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</si>
  <si>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</si>
  <si>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</si>
  <si>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</si>
  <si>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</si>
  <si>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</si>
  <si>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</si>
  <si>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</si>
  <si>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</si>
  <si>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</si>
  <si>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</si>
  <si>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</si>
  <si>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</si>
  <si>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</si>
  <si>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</si>
  <si>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</si>
  <si>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</si>
  <si>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</si>
  <si>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</si>
  <si>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</si>
  <si>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</si>
  <si>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</si>
  <si>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</si>
  <si>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</si>
  <si>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</si>
  <si>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</si>
  <si>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</si>
  <si>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</si>
  <si>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</si>
  <si>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</si>
  <si>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</si>
  <si>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</si>
  <si>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</si>
  <si>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</si>
  <si>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</si>
  <si>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</si>
  <si>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</si>
  <si>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</si>
  <si>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</si>
  <si>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</si>
  <si>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</si>
  <si>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</si>
  <si>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</si>
  <si>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</si>
  <si>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</si>
  <si>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</si>
  <si>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</si>
  <si>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</si>
  <si>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</si>
  <si>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</si>
  <si>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</si>
  <si>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</si>
  <si>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</si>
  <si>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</si>
  <si>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</si>
  <si>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</si>
  <si>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</si>
  <si>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</si>
  <si>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</si>
  <si>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</si>
  <si>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</si>
  <si>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</si>
  <si>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</si>
  <si>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</si>
  <si>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</si>
  <si>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</si>
  <si>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</si>
  <si>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</si>
  <si>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</si>
  <si>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</si>
  <si>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</si>
  <si>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</si>
  <si>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</si>
  <si>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</si>
  <si>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</si>
  <si>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</si>
  <si>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</si>
  <si>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</si>
  <si>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</si>
  <si>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</si>
  <si>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</si>
  <si>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</si>
  <si>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</si>
  <si>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</si>
  <si>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</si>
  <si>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</si>
  <si>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</si>
  <si>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</si>
  <si>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</si>
  <si>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</si>
  <si>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</si>
  <si>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</si>
  <si>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</si>
  <si>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</si>
  <si>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</si>
  <si>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</si>
  <si>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</si>
  <si>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</si>
  <si>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</si>
  <si>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</si>
  <si>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</si>
  <si>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</si>
  <si>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</si>
  <si>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</si>
  <si>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</si>
  <si>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</si>
  <si>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</si>
  <si>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</si>
  <si>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</si>
  <si>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</si>
  <si>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</si>
  <si>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</si>
  <si>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</si>
  <si>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</si>
  <si>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</si>
  <si>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</si>
  <si>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</si>
  <si>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</si>
  <si>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</si>
  <si>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</si>
  <si>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</si>
  <si>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</si>
  <si>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</si>
  <si>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</si>
  <si>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</si>
  <si>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</si>
  <si>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</si>
  <si>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</si>
  <si>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</si>
  <si>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</si>
  <si>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</si>
  <si>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</si>
  <si>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</si>
  <si>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</si>
  <si>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</si>
  <si>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</si>
  <si>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</si>
  <si>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</si>
  <si>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</si>
  <si>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</si>
  <si>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</si>
  <si>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</si>
  <si>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</si>
  <si>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</si>
  <si>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</si>
  <si>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</si>
  <si>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</si>
  <si>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</si>
  <si>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</si>
  <si>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</si>
  <si>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</si>
  <si>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</si>
  <si>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</si>
  <si>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</si>
  <si>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</si>
  <si>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</si>
  <si>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</si>
  <si>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</si>
  <si>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</si>
  <si>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</si>
  <si>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</si>
  <si>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</si>
  <si>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</si>
  <si>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</si>
  <si>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</si>
  <si>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</si>
  <si>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</si>
  <si>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</si>
  <si>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</si>
  <si>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</si>
  <si>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</si>
  <si>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</si>
  <si>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</si>
  <si>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</si>
  <si>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</si>
  <si>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</si>
  <si>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</si>
  <si>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</si>
  <si>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</si>
  <si>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</si>
  <si>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</si>
  <si>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</si>
  <si>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</si>
  <si>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</si>
  <si>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</si>
  <si>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</si>
  <si>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</si>
  <si>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</si>
  <si>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</si>
  <si>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</si>
  <si>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</si>
  <si>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</si>
  <si>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</si>
  <si>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</si>
  <si>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</si>
  <si>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</si>
  <si>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</si>
  <si>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</si>
  <si>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</si>
  <si>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</si>
  <si>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</si>
  <si>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</si>
  <si>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</si>
  <si>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</si>
  <si>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</si>
  <si>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</si>
  <si>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</si>
  <si>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</si>
  <si>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</si>
  <si>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</si>
  <si>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</si>
  <si>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</si>
  <si>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</si>
  <si>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</si>
  <si>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</si>
  <si>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</si>
  <si>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</si>
  <si>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</si>
  <si>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</si>
  <si>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</si>
  <si>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</si>
  <si>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</si>
  <si>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</si>
  <si>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</si>
  <si>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</si>
  <si>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</si>
  <si>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</si>
  <si>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</si>
  <si>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</si>
  <si>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</si>
  <si>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</si>
  <si>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</si>
  <si>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</si>
  <si>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</si>
  <si>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</si>
  <si>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</si>
  <si>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</si>
  <si>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</si>
  <si>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</si>
  <si>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</si>
  <si>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</si>
  <si>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</si>
  <si>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</si>
  <si>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</si>
  <si>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</si>
  <si>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</si>
  <si>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</si>
  <si>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</si>
  <si>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</si>
  <si>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</si>
  <si>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</si>
  <si>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</si>
  <si>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</si>
  <si>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</si>
  <si>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</si>
  <si>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</si>
  <si>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</si>
  <si>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</si>
  <si>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</si>
  <si>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</si>
  <si>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</si>
  <si>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</si>
  <si>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</si>
  <si>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</si>
  <si>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</si>
  <si>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</si>
  <si>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</si>
  <si>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</si>
  <si>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</si>
  <si>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</si>
  <si>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</si>
  <si>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</si>
  <si>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</si>
  <si>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</si>
  <si>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</si>
  <si>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</si>
  <si>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</si>
  <si>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</si>
  <si>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</si>
  <si>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</si>
  <si>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</si>
  <si>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</si>
  <si>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</si>
  <si>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</si>
  <si>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</si>
  <si>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</si>
  <si>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</si>
  <si>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</si>
  <si>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</si>
  <si>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</si>
  <si>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</si>
  <si>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</si>
  <si>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</si>
  <si>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</si>
  <si>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</si>
  <si>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</si>
  <si>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</si>
  <si>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</si>
  <si>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</si>
  <si>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</si>
  <si>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</si>
  <si>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</si>
  <si>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</si>
  <si>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</si>
  <si>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</si>
  <si>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</si>
  <si>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</si>
  <si>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</si>
  <si>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</si>
  <si>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</si>
  <si>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</si>
  <si>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</si>
  <si>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</si>
  <si>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</si>
  <si>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</si>
  <si>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</si>
  <si>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</si>
  <si>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</si>
  <si>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</si>
  <si>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</si>
  <si>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</si>
  <si>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</si>
  <si>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</si>
  <si>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</si>
  <si>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</si>
  <si>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</si>
  <si>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</si>
  <si>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</si>
  <si>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</si>
  <si>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</si>
  <si>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</si>
  <si>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</si>
  <si>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</si>
  <si>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</si>
  <si>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</si>
  <si>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</si>
  <si>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</si>
  <si>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</si>
  <si>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</si>
  <si>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</si>
  <si>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</si>
  <si>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</si>
  <si>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</si>
  <si>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</si>
  <si>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</si>
  <si>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</si>
  <si>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</si>
  <si>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</si>
  <si>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</si>
  <si>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</si>
  <si>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</si>
  <si>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</si>
  <si>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</si>
  <si>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</si>
  <si>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</si>
  <si>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</si>
  <si>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</si>
  <si>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</si>
  <si>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</si>
  <si>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</si>
  <si>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</si>
  <si>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</si>
  <si>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</si>
  <si>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</si>
  <si>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</si>
  <si>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</si>
  <si>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</si>
  <si>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</si>
  <si>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</si>
  <si>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</si>
  <si>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</si>
  <si>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</si>
  <si>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</si>
  <si>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</si>
  <si>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</si>
  <si>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</si>
  <si>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</si>
  <si>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</si>
  <si>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</si>
  <si>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</si>
  <si>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</si>
  <si>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</si>
  <si>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</si>
  <si>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</si>
  <si>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</si>
  <si>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</si>
  <si>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</si>
  <si>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</si>
  <si>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</si>
  <si>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</si>
  <si>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</si>
  <si>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</si>
  <si>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</si>
  <si>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</si>
  <si>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</si>
  <si>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</si>
  <si>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</si>
  <si>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</si>
  <si>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</si>
  <si>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</si>
  <si>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</si>
  <si>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</si>
  <si>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</si>
  <si>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</si>
  <si>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</si>
  <si>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</si>
  <si>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</si>
  <si>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</si>
  <si>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</si>
  <si>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</si>
  <si>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</si>
  <si>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</si>
  <si>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</si>
  <si>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</si>
  <si>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</si>
  <si>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</si>
  <si>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</si>
  <si>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</si>
  <si>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</si>
  <si>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</si>
  <si>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</si>
  <si>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</si>
  <si>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</si>
  <si>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</si>
  <si>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</si>
  <si>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</si>
  <si>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</si>
  <si>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</si>
  <si>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</si>
  <si>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</si>
  <si>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</si>
  <si>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</si>
  <si>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</si>
  <si>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</si>
  <si>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</si>
  <si>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</si>
  <si>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</si>
  <si>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</si>
  <si>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</si>
  <si>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</si>
  <si>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</si>
  <si>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</si>
  <si>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</si>
  <si>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</si>
  <si>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</si>
  <si>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</si>
  <si>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</si>
  <si>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</si>
  <si>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</si>
  <si>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</si>
  <si>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</si>
  <si>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</si>
  <si>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</si>
  <si>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</si>
  <si>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</si>
  <si>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</si>
  <si>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</si>
  <si>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</si>
  <si>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</si>
  <si>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</si>
  <si>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</si>
  <si>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</si>
  <si>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</si>
  <si>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</si>
  <si>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</si>
  <si>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</si>
  <si>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</si>
  <si>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</si>
  <si>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</si>
  <si>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</si>
  <si>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</si>
  <si>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</si>
  <si>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</si>
  <si>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</si>
  <si>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</si>
  <si>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</si>
  <si>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</si>
  <si>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</si>
  <si>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</si>
  <si>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</si>
  <si>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</si>
  <si>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</si>
  <si>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</si>
  <si>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</si>
  <si>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</si>
  <si>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</si>
  <si>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</si>
  <si>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</si>
  <si>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</si>
  <si>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</si>
  <si>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</si>
  <si>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</si>
  <si>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</si>
  <si>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</si>
  <si>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</si>
  <si>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</si>
  <si>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</si>
  <si>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</si>
  <si>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</si>
  <si>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</si>
  <si>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</si>
  <si>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</si>
  <si>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</si>
  <si>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</si>
  <si>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</si>
  <si>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</si>
  <si>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</si>
  <si>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</si>
  <si>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</si>
  <si>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</si>
  <si>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</si>
  <si>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</si>
  <si>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</si>
  <si>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</si>
  <si>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</si>
  <si>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</si>
  <si>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</si>
  <si>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</si>
  <si>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</si>
  <si>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</si>
  <si>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</si>
  <si>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</si>
  <si>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</si>
  <si>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</si>
  <si>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</si>
  <si>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</si>
  <si>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</si>
  <si>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</si>
  <si>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</si>
  <si>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</si>
  <si>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</si>
  <si>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</si>
  <si>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</si>
  <si>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</si>
  <si>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</si>
  <si>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</si>
  <si>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</si>
  <si>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</si>
  <si>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</si>
  <si>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</si>
  <si>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</si>
  <si>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</si>
  <si>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</si>
  <si>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</si>
  <si>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</si>
  <si>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</si>
  <si>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</si>
  <si>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</si>
  <si>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</si>
  <si>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</si>
  <si>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</si>
  <si>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</si>
  <si>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</si>
  <si>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</si>
  <si>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</si>
  <si>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</si>
  <si>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</si>
  <si>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</si>
  <si>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</si>
  <si>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</si>
  <si>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</si>
  <si>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</si>
  <si>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</si>
  <si>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</si>
  <si>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</si>
  <si>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</si>
  <si>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</si>
  <si>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</si>
  <si>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</si>
  <si>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</si>
  <si>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</si>
  <si>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</si>
  <si>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</si>
  <si>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</si>
  <si>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</si>
  <si>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</si>
  <si>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</si>
  <si>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</si>
  <si>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</si>
  <si>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</si>
  <si>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</si>
  <si>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</si>
  <si>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</si>
  <si>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</si>
  <si>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</si>
  <si>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</si>
  <si>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</si>
  <si>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</si>
  <si>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</si>
  <si>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</si>
  <si>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</si>
  <si>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</si>
  <si>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</si>
  <si>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</si>
  <si>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</si>
  <si>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</si>
  <si>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</si>
  <si>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</si>
  <si>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</si>
  <si>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</si>
  <si>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</si>
  <si>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</si>
  <si>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</si>
  <si>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</si>
  <si>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</si>
  <si>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</si>
  <si>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</si>
  <si>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</si>
  <si>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</si>
  <si>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</si>
  <si>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</si>
  <si>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</si>
  <si>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</si>
  <si>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</si>
  <si>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</si>
  <si>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</si>
  <si>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</si>
  <si>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</si>
  <si>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</si>
  <si>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</si>
  <si>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</si>
  <si>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</si>
  <si>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</si>
  <si>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</si>
  <si>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</si>
  <si>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</si>
  <si>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</si>
  <si>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</si>
  <si>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</si>
  <si>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</si>
  <si>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</si>
  <si>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</si>
  <si>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</si>
  <si>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</si>
  <si>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</si>
  <si>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</si>
  <si>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</si>
  <si>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</si>
  <si>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</si>
  <si>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</si>
  <si>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</si>
  <si>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</si>
  <si>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</si>
  <si>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</si>
  <si>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</si>
  <si>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</si>
  <si>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</si>
  <si>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</si>
  <si>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</si>
  <si>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</si>
  <si>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</si>
  <si>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</si>
  <si>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</si>
  <si>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</si>
  <si>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</si>
  <si>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</si>
  <si>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</si>
  <si>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</si>
  <si>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</si>
  <si>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</si>
  <si>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</si>
  <si>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</si>
  <si>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</si>
  <si>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</si>
  <si>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</si>
  <si>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</si>
  <si>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</si>
  <si>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</si>
  <si>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</si>
  <si>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</si>
  <si>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</si>
  <si>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</si>
  <si>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</si>
  <si>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</si>
  <si>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</si>
  <si>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</si>
  <si>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</si>
  <si>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</si>
  <si>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</si>
  <si>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</si>
  <si>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</si>
  <si>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</si>
  <si>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</si>
  <si>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</si>
  <si>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</si>
  <si>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</si>
  <si>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</si>
  <si>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</si>
  <si>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</si>
  <si>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</si>
  <si>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</si>
  <si>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</si>
  <si>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</si>
  <si>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</si>
  <si>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</si>
  <si>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</si>
  <si>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</si>
  <si>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</si>
  <si>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</si>
  <si>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</si>
  <si>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</si>
  <si>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</si>
  <si>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</si>
  <si>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</si>
  <si>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</si>
  <si>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</si>
  <si>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</si>
  <si>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</si>
  <si>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</si>
  <si>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</si>
  <si>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</si>
  <si>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</si>
  <si>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</si>
  <si>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</si>
  <si>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</si>
  <si>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</si>
  <si>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</si>
  <si>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</si>
  <si>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</si>
  <si>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</si>
  <si>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</si>
  <si>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</si>
  <si>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</si>
  <si>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</si>
  <si>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</si>
  <si>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</si>
  <si>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</si>
  <si>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</si>
  <si>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</si>
  <si>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</si>
  <si>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</si>
  <si>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</si>
  <si>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</si>
  <si>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</si>
  <si>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</si>
  <si>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</si>
  <si>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</si>
  <si>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</si>
  <si>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</si>
  <si>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</si>
  <si>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</si>
  <si>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</si>
  <si>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</si>
  <si>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</si>
  <si>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</si>
  <si>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</si>
  <si>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</si>
  <si>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</si>
  <si>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</si>
  <si>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</si>
  <si>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</si>
  <si>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</si>
  <si>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</si>
  <si>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</si>
  <si>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</si>
  <si>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</si>
  <si>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</si>
  <si>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</si>
  <si>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</si>
  <si>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</si>
  <si>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</si>
  <si>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</si>
  <si>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</si>
  <si>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</si>
  <si>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</si>
  <si>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</si>
  <si>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</si>
  <si>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</si>
  <si>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</si>
  <si>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</si>
  <si>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</si>
  <si>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</si>
  <si>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</si>
  <si>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</si>
  <si>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</si>
  <si>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</si>
  <si>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</si>
  <si>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</si>
  <si>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</si>
  <si>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</si>
  <si>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</si>
  <si>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</si>
  <si>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</si>
  <si>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</si>
  <si>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</si>
  <si>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</si>
  <si>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</si>
  <si>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</si>
  <si>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</si>
  <si>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</si>
  <si>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</si>
  <si>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</si>
  <si>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</si>
  <si>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</si>
  <si>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</si>
  <si>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</si>
  <si>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</si>
  <si>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</si>
  <si>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</si>
  <si>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</si>
  <si>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</si>
  <si>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</si>
  <si>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</si>
  <si>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</si>
  <si>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</si>
  <si>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</si>
  <si>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</si>
  <si>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</si>
  <si>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</si>
  <si>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</si>
  <si>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</si>
  <si>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</si>
  <si>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</si>
  <si>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</si>
  <si>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</si>
  <si>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</si>
  <si>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</si>
  <si>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</si>
  <si>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</si>
  <si>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</si>
  <si>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</si>
  <si>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</si>
  <si>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</si>
  <si>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</si>
  <si>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</si>
  <si>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</si>
  <si>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</si>
  <si>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</si>
  <si>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</si>
  <si>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</si>
  <si>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</si>
  <si>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</si>
  <si>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</si>
  <si>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</si>
  <si>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</si>
  <si>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</si>
  <si>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</si>
  <si>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</si>
  <si>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</si>
  <si>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</si>
  <si>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</si>
  <si>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</si>
  <si>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</si>
  <si>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</si>
  <si>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</si>
  <si>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</si>
  <si>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</si>
  <si>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</si>
  <si>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</si>
  <si>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</si>
  <si>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</si>
  <si>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</si>
  <si>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</si>
  <si>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</si>
  <si>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</si>
  <si>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</si>
  <si>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</si>
  <si>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</si>
  <si>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</si>
  <si>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</si>
  <si>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</si>
  <si>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</si>
  <si>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</si>
  <si>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</si>
  <si>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</si>
  <si>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</si>
  <si>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</si>
  <si>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</si>
  <si>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</si>
  <si>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</si>
  <si>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</si>
  <si>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</si>
  <si>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</si>
  <si>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</si>
  <si>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</si>
  <si>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</si>
  <si>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</si>
  <si>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</si>
  <si>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</si>
  <si>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</si>
  <si>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</si>
  <si>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</si>
  <si>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</si>
  <si>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</si>
  <si>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</si>
  <si>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</si>
  <si>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</si>
  <si>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</si>
  <si>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</si>
  <si>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</si>
  <si>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</si>
  <si>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</si>
  <si>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</si>
  <si>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</si>
  <si>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</si>
  <si>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</si>
  <si>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</si>
  <si>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</si>
  <si>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</si>
  <si>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</si>
  <si>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</si>
  <si>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</si>
  <si>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</si>
  <si>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</si>
  <si>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</si>
  <si>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</si>
  <si>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</si>
  <si>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</si>
  <si>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</si>
  <si>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</si>
  <si>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</si>
  <si>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</si>
  <si>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</si>
  <si>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</si>
  <si>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</si>
  <si>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</si>
  <si>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</si>
  <si>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</si>
  <si>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</si>
  <si>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</si>
  <si>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</si>
  <si>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</si>
  <si>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</si>
  <si>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</si>
  <si>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</si>
  <si>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</si>
  <si>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</si>
  <si>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</si>
  <si>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</si>
  <si>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</si>
  <si>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</si>
  <si>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</si>
  <si>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</si>
  <si>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</si>
  <si>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</si>
  <si>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</si>
  <si>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</si>
  <si>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</si>
  <si>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</si>
  <si>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</si>
  <si>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</si>
  <si>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</si>
  <si>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</si>
  <si>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</si>
  <si>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</si>
  <si>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</si>
  <si>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</si>
  <si>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</si>
  <si>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</si>
  <si>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</si>
  <si>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</si>
  <si>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</si>
  <si>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</si>
  <si>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</si>
  <si>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</si>
  <si>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</si>
  <si>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</si>
  <si>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</si>
  <si>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</si>
  <si>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</si>
  <si>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</si>
  <si>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</si>
  <si>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</si>
  <si>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</si>
  <si>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</si>
  <si>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</si>
  <si>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</si>
  <si>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</si>
  <si>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</si>
  <si>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</si>
  <si>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</si>
  <si>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</si>
  <si>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</si>
  <si>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</si>
  <si>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</si>
  <si>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</si>
  <si>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</si>
  <si>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</si>
  <si>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</si>
  <si>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</si>
  <si>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</si>
  <si>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</si>
  <si>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</si>
  <si>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</si>
  <si>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</si>
  <si>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</si>
  <si>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</si>
  <si>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</si>
  <si>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</si>
  <si>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</si>
  <si>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</si>
  <si>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</si>
  <si>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</si>
  <si>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</si>
  <si>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</si>
  <si>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</si>
  <si>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</si>
  <si>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</si>
  <si>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</si>
  <si>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</si>
  <si>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</si>
  <si>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</si>
  <si>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</si>
  <si>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</si>
  <si>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</si>
  <si>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</si>
  <si>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</si>
  <si>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</si>
  <si>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Jalayne Luckett, CPA, PC</t>
  </si>
  <si>
    <t>2602 W DeYoung, P.O. Box 1728</t>
  </si>
  <si>
    <t>Marion</t>
  </si>
  <si>
    <t>IL</t>
  </si>
  <si>
    <t>618-993-2647</t>
  </si>
  <si>
    <t>618-993-3981</t>
  </si>
  <si>
    <t>066-003689</t>
  </si>
  <si>
    <t>Franklin County</t>
  </si>
  <si>
    <t>1000 Forest Street</t>
  </si>
  <si>
    <t>Benton</t>
  </si>
  <si>
    <t>stevesmith@benton47.org</t>
  </si>
  <si>
    <t>X</t>
  </si>
  <si>
    <t>Steve Smith</t>
  </si>
  <si>
    <t>618-439-3136</t>
  </si>
  <si>
    <t>618-435-4840</t>
  </si>
  <si>
    <t xml:space="preserve">          N/A</t>
  </si>
  <si>
    <t>2007A</t>
  </si>
  <si>
    <t>Capital Appreciation Bonds</t>
  </si>
  <si>
    <t>Alternative Revenue Bonds</t>
  </si>
  <si>
    <t>Regular Trans</t>
  </si>
  <si>
    <t>Durham School Services</t>
  </si>
  <si>
    <t>Sp Ed Trans</t>
  </si>
  <si>
    <t>Cont Services-Extra Curr</t>
  </si>
  <si>
    <t>Cleaning Service</t>
  </si>
  <si>
    <t>Centerstone of IL Inc</t>
  </si>
  <si>
    <t>Dr. Steve Smith</t>
  </si>
  <si>
    <t>Page 11, line 107: Refunds and reimbursements.</t>
  </si>
  <si>
    <t>Page 9, line 17:  Land management taxes .</t>
  </si>
  <si>
    <t>Page 12, line 171:  State library grant $5,818; Orphanage tuition $15,612.</t>
  </si>
  <si>
    <t>Page 15, line 41:  Playground Monitor.</t>
  </si>
  <si>
    <t>Page 16, line 72:  Title I.</t>
  </si>
  <si>
    <t>Page 18, line 171: Service charge on bonds.</t>
  </si>
  <si>
    <t>Page 20, line 237: Playground monitor.</t>
  </si>
  <si>
    <t>Page 21, line 278: Title IV.</t>
  </si>
  <si>
    <t>US Department of Education passed through</t>
  </si>
  <si>
    <t>the Illinois State Board of Education:</t>
  </si>
  <si>
    <t>Title VI - Education Initiative</t>
  </si>
  <si>
    <t xml:space="preserve">Total US Department of Education passed </t>
  </si>
  <si>
    <t xml:space="preserve">through the Illinois State Board of </t>
  </si>
  <si>
    <t>Education</t>
  </si>
  <si>
    <t>84.010A</t>
  </si>
  <si>
    <t>84.367A</t>
  </si>
  <si>
    <t>84.358B</t>
  </si>
  <si>
    <t>4300-17</t>
  </si>
  <si>
    <t>4300-18</t>
  </si>
  <si>
    <t>4932-17</t>
  </si>
  <si>
    <t>4932-18</t>
  </si>
  <si>
    <t>4107-17</t>
  </si>
  <si>
    <t>4107-18</t>
  </si>
  <si>
    <t>US Department of Health and Human Services</t>
  </si>
  <si>
    <t>passed through the State of Illinois Healthcare</t>
  </si>
  <si>
    <t>and Family Services:</t>
  </si>
  <si>
    <t>Title XIX - Medical Assistance Program</t>
  </si>
  <si>
    <t>4991-17</t>
  </si>
  <si>
    <t>4991-18</t>
  </si>
  <si>
    <t>N/A</t>
  </si>
  <si>
    <t xml:space="preserve">Total US Department of Health and Human </t>
  </si>
  <si>
    <t>Services passed through the State of Illinois</t>
  </si>
  <si>
    <t>Healthcare and Family Services</t>
  </si>
  <si>
    <t>US Department of Agriculture passed through</t>
  </si>
  <si>
    <t>the Department of Defense:</t>
  </si>
  <si>
    <t>(M) Fresh Fruits and Vegetables:</t>
  </si>
  <si>
    <t>Total US Department of Agriculture passed</t>
  </si>
  <si>
    <t>through the Department of Defense.</t>
  </si>
  <si>
    <t>4250-18</t>
  </si>
  <si>
    <t xml:space="preserve">US Department of Agriculture passed through </t>
  </si>
  <si>
    <t>(M) National School Lunch Program</t>
  </si>
  <si>
    <t>(M) School Breakfast Program</t>
  </si>
  <si>
    <t>(M) Non-cash Commodities</t>
  </si>
  <si>
    <t xml:space="preserve">Total US Department of Agriculture passed </t>
  </si>
  <si>
    <t>through the Illinois State Board of Education</t>
  </si>
  <si>
    <t>4210-17</t>
  </si>
  <si>
    <t>4210-18</t>
  </si>
  <si>
    <t>4220-17</t>
  </si>
  <si>
    <t>4220-18</t>
  </si>
  <si>
    <t>US Department of Education passed through the</t>
  </si>
  <si>
    <t xml:space="preserve">Illinois State Board of Education and the </t>
  </si>
  <si>
    <t>Jefferson County Special Education District:</t>
  </si>
  <si>
    <t>IDEA - Part B Flow-Through</t>
  </si>
  <si>
    <t>84.027A</t>
  </si>
  <si>
    <t>and the Jefferson County Special Education</t>
  </si>
  <si>
    <t>District</t>
  </si>
  <si>
    <t>Total Federal Financial Assistance</t>
  </si>
  <si>
    <t>4620-17</t>
  </si>
  <si>
    <t>4620-18</t>
  </si>
  <si>
    <r>
      <t xml:space="preserve">The accompanying Schedule of Expenditures of Federal Awards includes the federal grant activity of </t>
    </r>
    <r>
      <rPr>
        <b/>
        <sz val="9"/>
        <rFont val="Calibri"/>
        <family val="2"/>
        <scheme val="minor"/>
      </rPr>
      <t>Benton CCSD #47</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</si>
  <si>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t>None</t>
  </si>
  <si>
    <r>
      <t xml:space="preserve">Of the federal expenditures presented in the schedule, </t>
    </r>
    <r>
      <rPr>
        <b/>
        <sz val="9"/>
        <rFont val="Calibri"/>
        <family val="2"/>
        <scheme val="minor"/>
      </rPr>
      <t>Benton CCSD #47</t>
    </r>
    <r>
      <rPr>
        <sz val="9"/>
        <rFont val="Calibri"/>
        <family val="2"/>
        <scheme val="minor"/>
      </rPr>
      <t xml:space="preserve"> provided federal awards to subrecipients as follows:</t>
    </r>
  </si>
  <si>
    <t>Unmodified</t>
  </si>
  <si>
    <t>10.555, 10.553, 10.550</t>
  </si>
  <si>
    <t>Child Nutrition Cluster</t>
  </si>
  <si>
    <t>2007-</t>
  </si>
  <si>
    <t>Lack of segregation of duties due to limited staff.</t>
  </si>
  <si>
    <t>Internal controls are limited due to small staff size.</t>
  </si>
  <si>
    <t>There is currently only one person performing all bookkeeping functions.</t>
  </si>
  <si>
    <t>Lack of segregation of duties.</t>
  </si>
  <si>
    <t>The causes are small staff size and limited resources.</t>
  </si>
  <si>
    <t>Consideration should be given to implementing more internal controls.</t>
  </si>
  <si>
    <t>That is not practical due to staff size and finances.</t>
  </si>
  <si>
    <t>2009-</t>
  </si>
  <si>
    <t>Lack of staff to prepare and review financial reporting.</t>
  </si>
  <si>
    <t>Financial reporting controls are limited due to small staff size.</t>
  </si>
  <si>
    <t>Lack of internal control over financial reporting.</t>
  </si>
  <si>
    <t>07-01</t>
  </si>
  <si>
    <t>09-01</t>
  </si>
  <si>
    <t>No change from prior year.</t>
  </si>
  <si>
    <t>Child Nutrition Cluster Total</t>
  </si>
  <si>
    <r>
      <t xml:space="preserve">The following amounts were expended in the form of non-cash assistance by </t>
    </r>
    <r>
      <rPr>
        <b/>
        <sz val="9"/>
        <rFont val="Calibri"/>
        <family val="2"/>
        <scheme val="minor"/>
      </rPr>
      <t>Benton CCSD #47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</si>
  <si>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ATLAS CPAs &amp; Advisors, LLC</t>
  </si>
  <si>
    <t>jalayne.luckett@atlascpas.com</t>
  </si>
  <si>
    <t>10/4/2018, except as to note 12, which is November 29, 2018</t>
  </si>
  <si>
    <t>Benton CCSD 47</t>
  </si>
  <si>
    <t>40-2550-300</t>
  </si>
  <si>
    <t>10-2540-300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</si>
</sst>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cellStyleXfs>
  <cellXfs count="251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 fillId="0" borderId="158" xfId="20" applyNumberFormat="1" applyBorder="1" applyAlignment="1" applyProtection="1">
      <alignment horizontal="right" vertical="top"/>
      <protection locked="0"/>
    </xf>
    <xf numFmtId="0" fontId="1" fillId="0" borderId="158" xfId="20" applyFont="1" applyBorder="1" applyAlignment="1" applyProtection="1">
      <alignment vertical="top"/>
      <protection locked="0"/>
    </xf>
    <xf numFmtId="0" fontId="1" fillId="0" borderId="158" xfId="20" applyFont="1" applyBorder="1" applyAlignment="1" applyProtection="1">
      <alignment horizontal="left" vertical="top" wrapText="1"/>
      <protection locked="0"/>
    </xf>
    <xf numFmtId="49" fontId="1" fillId="0" borderId="158" xfId="20" applyNumberFormat="1" applyFont="1" applyBorder="1" applyAlignment="1" applyProtection="1">
      <alignment horizontal="center" vertical="top"/>
      <protection locked="0"/>
    </xf>
    <xf numFmtId="0" fontId="52" fillId="0" borderId="0" xfId="3" applyFont="1" applyAlignment="1" applyProtection="1">
      <alignment horizontal="center" vertical="center"/>
    </xf>
    <xf numFmtId="16" fontId="55" fillId="0" borderId="0" xfId="3" applyNumberFormat="1" applyFont="1" applyProtection="1"/>
    <xf numFmtId="179" fontId="55" fillId="0" borderId="0" xfId="3" quotePrefix="1" applyNumberFormat="1" applyFont="1" applyBorder="1" applyProtection="1">
      <protection locked="0"/>
    </xf>
    <xf numFmtId="14" fontId="55" fillId="0" borderId="0" xfId="3" applyNumberFormat="1" applyFont="1" applyBorder="1" applyProtection="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8" fillId="0" borderId="0" xfId="3"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8" fillId="0" borderId="0" xfId="3" applyFont="1" applyBorder="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2"/>
    <cellStyle name="Normal 3 3" xfId="21"/>
    <cellStyle name="Normal 4" xfId="16"/>
    <cellStyle name="Normal 4 2" xfId="23"/>
    <cellStyle name="Normal 5" xfId="17"/>
    <cellStyle name="Normal 5 2" xfId="20"/>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3048001</xdr:colOff>
          <xdr:row>4</xdr:row>
          <xdr:rowOff>155864</xdr:rowOff>
        </xdr:from>
        <xdr:to>
          <xdr:col>1</xdr:col>
          <xdr:colOff>3959803</xdr:colOff>
          <xdr:row>9</xdr:row>
          <xdr:rowOff>115166</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1662545</xdr:colOff>
          <xdr:row>4</xdr:row>
          <xdr:rowOff>86590</xdr:rowOff>
        </xdr:from>
        <xdr:to>
          <xdr:col>1</xdr:col>
          <xdr:colOff>2574347</xdr:colOff>
          <xdr:row>9</xdr:row>
          <xdr:rowOff>45892</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6D87B58-FDE0-45E1-AA4A-46FD6EBEEFB5}"/>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A717AB3-9E56-453E-A08D-C86AB7F3B8C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inJ%0ale%20Audit%20Cove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J_x000a_le Audit Cover"/>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6" t="s">
        <v>425</v>
      </c>
      <c r="J1" s="2007"/>
      <c r="K1" s="2007"/>
      <c r="L1" s="2007"/>
      <c r="M1" s="2007"/>
      <c r="N1" s="2007"/>
      <c r="O1" s="2007"/>
      <c r="P1" s="2007"/>
      <c r="Q1" s="2007"/>
      <c r="R1" s="2007"/>
      <c r="S1" s="2007"/>
    </row>
    <row r="2" spans="1:28" ht="12" customHeight="1" x14ac:dyDescent="0.2">
      <c r="A2" s="47" t="s">
        <v>1683</v>
      </c>
      <c r="D2" s="48"/>
      <c r="I2" s="2008" t="s">
        <v>1036</v>
      </c>
      <c r="J2" s="2007"/>
      <c r="K2" s="2007"/>
      <c r="L2" s="2007"/>
      <c r="M2" s="2007"/>
      <c r="N2" s="2007"/>
      <c r="O2" s="2007"/>
      <c r="P2" s="2007"/>
      <c r="Q2" s="2007"/>
      <c r="R2" s="2007"/>
      <c r="S2" s="2007"/>
    </row>
    <row r="3" spans="1:28" ht="12" customHeight="1" x14ac:dyDescent="0.2">
      <c r="A3" s="155" t="s">
        <v>1684</v>
      </c>
      <c r="B3" s="156"/>
      <c r="C3" s="156"/>
      <c r="D3" s="157"/>
      <c r="I3" s="2008" t="s">
        <v>54</v>
      </c>
      <c r="J3" s="2007"/>
      <c r="K3" s="2007"/>
      <c r="L3" s="2007"/>
      <c r="M3" s="2007"/>
      <c r="N3" s="2007"/>
      <c r="O3" s="2007"/>
      <c r="P3" s="2007"/>
      <c r="Q3" s="2007"/>
      <c r="R3" s="2007"/>
      <c r="S3" s="2007"/>
    </row>
    <row r="4" spans="1:28" ht="12" customHeight="1" x14ac:dyDescent="0.2">
      <c r="A4" s="37"/>
      <c r="I4" s="2008" t="s">
        <v>545</v>
      </c>
      <c r="J4" s="2007"/>
      <c r="K4" s="2007"/>
      <c r="L4" s="2007"/>
      <c r="M4" s="2007"/>
      <c r="N4" s="2007"/>
      <c r="O4" s="2007"/>
      <c r="P4" s="2007"/>
      <c r="Q4" s="2007"/>
      <c r="R4" s="2007"/>
      <c r="S4" s="2007"/>
    </row>
    <row r="5" spans="1:28" ht="14.1" customHeight="1" x14ac:dyDescent="0.2">
      <c r="B5" s="104" t="s">
        <v>2072</v>
      </c>
      <c r="C5" s="26" t="s">
        <v>966</v>
      </c>
      <c r="D5" s="84"/>
      <c r="E5" s="84"/>
      <c r="H5" s="38"/>
      <c r="I5" s="2016" t="s">
        <v>701</v>
      </c>
      <c r="J5" s="2015"/>
      <c r="K5" s="2015"/>
      <c r="L5" s="2015"/>
      <c r="M5" s="2015"/>
      <c r="N5" s="2015"/>
      <c r="O5" s="2015"/>
      <c r="P5" s="2015"/>
      <c r="Q5" s="2015"/>
      <c r="R5" s="2015"/>
      <c r="S5" s="2015"/>
    </row>
    <row r="6" spans="1:28" ht="14.1" customHeight="1" x14ac:dyDescent="0.2">
      <c r="B6" s="104"/>
      <c r="C6" s="26" t="s">
        <v>967</v>
      </c>
      <c r="D6" s="84"/>
      <c r="E6" s="84"/>
      <c r="I6" s="2014" t="s">
        <v>938</v>
      </c>
      <c r="J6" s="2015"/>
      <c r="K6" s="2015"/>
      <c r="L6" s="2015"/>
      <c r="M6" s="2015"/>
      <c r="N6" s="2015"/>
      <c r="O6" s="2015"/>
      <c r="P6" s="2015"/>
      <c r="Q6" s="2015"/>
      <c r="R6" s="2015"/>
      <c r="S6" s="2015"/>
    </row>
    <row r="7" spans="1:28" ht="12.2" customHeight="1" x14ac:dyDescent="0.2">
      <c r="I7" s="2009">
        <v>43281</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695</v>
      </c>
      <c r="J9" s="2012"/>
      <c r="K9" s="2012"/>
      <c r="L9" s="2012"/>
      <c r="M9" s="2012"/>
      <c r="N9" s="2012"/>
      <c r="O9" s="2012"/>
      <c r="P9" s="2012"/>
      <c r="Q9" s="2012"/>
      <c r="R9" s="2012"/>
      <c r="S9" s="2013"/>
      <c r="T9" s="2027" t="s">
        <v>554</v>
      </c>
      <c r="U9" s="2028"/>
      <c r="V9" s="2028"/>
      <c r="W9" s="2028"/>
      <c r="X9" s="2028"/>
      <c r="Y9" s="2028"/>
      <c r="Z9" s="2028"/>
      <c r="AA9" s="2029"/>
    </row>
    <row r="10" spans="1:28" ht="13.5" customHeight="1" x14ac:dyDescent="0.2">
      <c r="A10" s="2034" t="s">
        <v>696</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1012</v>
      </c>
      <c r="B11" s="2038"/>
      <c r="C11" s="2038"/>
      <c r="D11" s="2038"/>
      <c r="E11" s="2038"/>
      <c r="F11" s="2038"/>
      <c r="G11" s="2038"/>
      <c r="H11" s="2039"/>
      <c r="I11" s="27"/>
      <c r="J11" s="74"/>
      <c r="K11" s="27"/>
      <c r="O11" s="148" t="s">
        <v>2072</v>
      </c>
      <c r="P11" s="100" t="s">
        <v>210</v>
      </c>
      <c r="Q11" s="30"/>
      <c r="R11" s="28"/>
      <c r="S11" s="27"/>
      <c r="T11" s="2031"/>
      <c r="U11" s="2032"/>
      <c r="V11" s="2032"/>
      <c r="W11" s="2032"/>
      <c r="X11" s="2032"/>
      <c r="Y11" s="2032"/>
      <c r="Z11" s="2032"/>
      <c r="AA11" s="203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1">
        <v>21028047004</v>
      </c>
      <c r="B13" s="2042"/>
      <c r="C13" s="2042"/>
      <c r="D13" s="2042"/>
      <c r="E13" s="2042"/>
      <c r="F13" s="2042"/>
      <c r="G13" s="2042"/>
      <c r="H13" s="2043"/>
      <c r="I13" s="31"/>
      <c r="J13" s="30"/>
      <c r="K13" s="28"/>
      <c r="L13" s="30"/>
      <c r="M13" s="30"/>
      <c r="N13" s="30"/>
      <c r="O13" s="30"/>
      <c r="P13" s="30"/>
      <c r="Q13" s="30"/>
      <c r="R13" s="30"/>
      <c r="S13" s="30"/>
      <c r="T13" s="2046" t="s">
        <v>2181</v>
      </c>
      <c r="U13" s="2047"/>
      <c r="V13" s="2047"/>
      <c r="W13" s="2047"/>
      <c r="X13" s="2047"/>
      <c r="Y13" s="2048"/>
      <c r="Z13" s="2048"/>
      <c r="AA13" s="20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0" t="s">
        <v>2080</v>
      </c>
      <c r="B15" s="2044"/>
      <c r="C15" s="2044"/>
      <c r="D15" s="2044"/>
      <c r="E15" s="2044"/>
      <c r="F15" s="2044"/>
      <c r="G15" s="2044"/>
      <c r="H15" s="2045"/>
      <c r="T15" s="2050" t="s">
        <v>2073</v>
      </c>
      <c r="U15" s="1994"/>
      <c r="V15" s="1994"/>
      <c r="W15" s="1994"/>
      <c r="X15" s="1994"/>
      <c r="Y15" s="2051"/>
      <c r="Z15" s="2051"/>
      <c r="AA15" s="20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0" t="s">
        <v>2184</v>
      </c>
      <c r="B17" s="2001"/>
      <c r="C17" s="2001"/>
      <c r="D17" s="2001"/>
      <c r="E17" s="2001"/>
      <c r="F17" s="2001"/>
      <c r="G17" s="2001"/>
      <c r="H17" s="2026"/>
      <c r="T17" s="2057" t="s">
        <v>2074</v>
      </c>
      <c r="U17" s="2058"/>
      <c r="V17" s="2058"/>
      <c r="W17" s="2058"/>
      <c r="X17" s="2058"/>
      <c r="Y17" s="2058"/>
      <c r="Z17" s="2058"/>
      <c r="AA17" s="2059"/>
    </row>
    <row r="18" spans="1:27" ht="13.5" customHeight="1" x14ac:dyDescent="0.2">
      <c r="A18" s="85" t="s">
        <v>551</v>
      </c>
      <c r="B18" s="76"/>
      <c r="C18" s="72"/>
      <c r="D18" s="76"/>
      <c r="E18" s="76"/>
      <c r="F18" s="76"/>
      <c r="G18" s="76"/>
      <c r="H18" s="56"/>
      <c r="I18" s="2025" t="s">
        <v>697</v>
      </c>
      <c r="J18" s="1976"/>
      <c r="K18" s="1976"/>
      <c r="L18" s="1976"/>
      <c r="M18" s="1976"/>
      <c r="N18" s="1976"/>
      <c r="O18" s="1976"/>
      <c r="P18" s="1976"/>
      <c r="Q18" s="1976"/>
      <c r="R18" s="1976"/>
      <c r="S18" s="1977"/>
      <c r="T18" s="85" t="s">
        <v>735</v>
      </c>
      <c r="U18" s="51"/>
      <c r="V18" s="72"/>
      <c r="W18" s="50"/>
      <c r="X18" s="85" t="s">
        <v>284</v>
      </c>
      <c r="Y18" s="81"/>
      <c r="Z18" s="159" t="s">
        <v>698</v>
      </c>
      <c r="AA18" s="46"/>
    </row>
    <row r="19" spans="1:27" ht="13.5" customHeight="1" x14ac:dyDescent="0.2">
      <c r="A19" s="2040" t="s">
        <v>2081</v>
      </c>
      <c r="B19" s="1986"/>
      <c r="C19" s="1986"/>
      <c r="D19" s="1986"/>
      <c r="E19" s="1986"/>
      <c r="F19" s="1986"/>
      <c r="G19" s="1986"/>
      <c r="H19" s="1966"/>
      <c r="I19" s="30"/>
      <c r="J19" s="99"/>
      <c r="K19" s="40"/>
      <c r="L19" s="38"/>
      <c r="M19" s="112" t="s">
        <v>333</v>
      </c>
      <c r="P19" s="27"/>
      <c r="Q19" s="27"/>
      <c r="R19" s="27"/>
      <c r="S19" s="31"/>
      <c r="T19" s="2040" t="s">
        <v>2075</v>
      </c>
      <c r="U19" s="1965"/>
      <c r="V19" s="1965"/>
      <c r="W19" s="1966"/>
      <c r="X19" s="2055" t="s">
        <v>2076</v>
      </c>
      <c r="Y19" s="2056"/>
      <c r="Z19" s="2053">
        <v>62959</v>
      </c>
      <c r="AA19" s="20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4" t="s">
        <v>2082</v>
      </c>
      <c r="B21" s="1965"/>
      <c r="C21" s="1965"/>
      <c r="D21" s="1965"/>
      <c r="E21" s="1965"/>
      <c r="F21" s="1965"/>
      <c r="G21" s="1965"/>
      <c r="H21" s="1966"/>
      <c r="I21" s="2020" t="s">
        <v>699</v>
      </c>
      <c r="J21" s="2015"/>
      <c r="K21" s="2015"/>
      <c r="L21" s="2015"/>
      <c r="M21" s="2015"/>
      <c r="N21" s="2015"/>
      <c r="O21" s="2015"/>
      <c r="P21" s="2015"/>
      <c r="Q21" s="2015"/>
      <c r="R21" s="2015"/>
      <c r="S21" s="2021"/>
      <c r="T21" s="2064" t="s">
        <v>2077</v>
      </c>
      <c r="U21" s="2065"/>
      <c r="V21" s="2065"/>
      <c r="W21" s="2065"/>
      <c r="X21" s="2070" t="s">
        <v>2078</v>
      </c>
      <c r="Y21" s="2071"/>
      <c r="Z21" s="2071"/>
      <c r="AA21" s="2072"/>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1595</v>
      </c>
      <c r="U22" s="51"/>
      <c r="V22" s="72"/>
      <c r="W22" s="51"/>
      <c r="X22" s="160" t="s">
        <v>1385</v>
      </c>
      <c r="Z22" s="45"/>
      <c r="AA22" s="46"/>
    </row>
    <row r="23" spans="1:27" ht="13.5" customHeight="1" x14ac:dyDescent="0.2">
      <c r="A23" s="2017" t="s">
        <v>2083</v>
      </c>
      <c r="B23" s="2018"/>
      <c r="C23" s="2018"/>
      <c r="D23" s="2018"/>
      <c r="E23" s="2018"/>
      <c r="F23" s="2018"/>
      <c r="G23" s="2018"/>
      <c r="H23" s="2019"/>
      <c r="T23" s="2000" t="s">
        <v>2079</v>
      </c>
      <c r="U23" s="2063"/>
      <c r="V23" s="2063"/>
      <c r="W23" s="2063"/>
      <c r="X23" s="2067">
        <v>43799</v>
      </c>
      <c r="Y23" s="2068"/>
      <c r="Z23" s="2068"/>
      <c r="AA23" s="2069"/>
    </row>
    <row r="24" spans="1:27" ht="14.1" customHeight="1" x14ac:dyDescent="0.2">
      <c r="A24" s="88" t="s">
        <v>698</v>
      </c>
      <c r="B24" s="49"/>
      <c r="C24" s="49"/>
      <c r="D24" s="49"/>
      <c r="E24" s="49"/>
      <c r="F24" s="49"/>
      <c r="G24" s="49"/>
      <c r="H24" s="61"/>
      <c r="J24" s="1987">
        <f>IF(B5="x",IF(AUDITCHECK!D29="AFR form Incomplete.","",IF(AUDITCHECK!D29="Deficit reduction plan is required.","School District must complete a deficit reduction plan in the 2018-2019 Budget",)),"")</f>
        <v>0</v>
      </c>
      <c r="K24" s="1987"/>
      <c r="L24" s="1987"/>
      <c r="M24" s="1987"/>
      <c r="N24" s="1987"/>
      <c r="O24" s="1987"/>
      <c r="P24" s="1987"/>
      <c r="Q24" s="1987"/>
      <c r="R24" s="1987"/>
      <c r="S24" s="1988"/>
      <c r="T24" s="105" t="s">
        <v>552</v>
      </c>
      <c r="U24" s="106"/>
      <c r="V24" s="106"/>
      <c r="W24" s="106"/>
      <c r="X24" s="107"/>
      <c r="Y24" s="107"/>
      <c r="Z24" s="107"/>
      <c r="AA24" s="108"/>
    </row>
    <row r="25" spans="1:27" ht="14.1" customHeight="1" x14ac:dyDescent="0.2">
      <c r="A25" s="1964">
        <v>62812</v>
      </c>
      <c r="B25" s="1965"/>
      <c r="C25" s="1965"/>
      <c r="D25" s="1965"/>
      <c r="E25" s="1965"/>
      <c r="F25" s="1965"/>
      <c r="G25" s="1965"/>
      <c r="H25" s="1966"/>
      <c r="I25" s="113"/>
      <c r="J25" s="1989"/>
      <c r="K25" s="1989"/>
      <c r="L25" s="1989"/>
      <c r="M25" s="1989"/>
      <c r="N25" s="1989"/>
      <c r="O25" s="1989"/>
      <c r="P25" s="1989"/>
      <c r="Q25" s="1989"/>
      <c r="R25" s="1989"/>
      <c r="S25" s="1990"/>
      <c r="T25" s="2060" t="s">
        <v>2182</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5" t="s">
        <v>1590</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2072</v>
      </c>
      <c r="F29" s="141" t="s">
        <v>1383</v>
      </c>
      <c r="G29" s="114"/>
      <c r="I29" s="54"/>
      <c r="J29" s="148" t="s">
        <v>2084</v>
      </c>
      <c r="K29" s="28" t="s">
        <v>597</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2084</v>
      </c>
      <c r="K30" s="28" t="s">
        <v>597</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2084</v>
      </c>
      <c r="K31" s="40" t="s">
        <v>940</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6"/>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0" t="s">
        <v>2085</v>
      </c>
      <c r="B38" s="2001"/>
      <c r="C38" s="2001"/>
      <c r="D38" s="2001"/>
      <c r="E38" s="2001"/>
      <c r="F38" s="1965"/>
      <c r="G38" s="1965"/>
      <c r="H38" s="1966"/>
      <c r="I38" s="1993"/>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552</v>
      </c>
      <c r="B39" s="1971"/>
      <c r="C39" s="72"/>
      <c r="D39" s="69"/>
      <c r="E39" s="69"/>
      <c r="F39" s="79"/>
      <c r="G39" s="69"/>
      <c r="H39" s="56"/>
      <c r="I39" s="1970" t="s">
        <v>552</v>
      </c>
      <c r="J39" s="1971"/>
      <c r="K39" s="1971"/>
      <c r="L39" s="1971"/>
      <c r="M39" s="1971"/>
      <c r="N39" s="67"/>
      <c r="O39" s="72"/>
      <c r="P39" s="72"/>
      <c r="Q39" s="78"/>
      <c r="R39" s="72"/>
      <c r="S39" s="56"/>
      <c r="T39" s="72" t="s">
        <v>552</v>
      </c>
      <c r="U39" s="51"/>
      <c r="V39" s="72"/>
      <c r="W39" s="50"/>
      <c r="X39" s="78"/>
      <c r="Y39" s="45"/>
      <c r="Z39" s="45"/>
      <c r="AA39" s="46"/>
    </row>
    <row r="40" spans="1:27" ht="13.5" customHeight="1" x14ac:dyDescent="0.2">
      <c r="A40" s="1978" t="s">
        <v>2083</v>
      </c>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2" t="s">
        <v>2086</v>
      </c>
      <c r="B42" s="1984"/>
      <c r="C42" s="1985"/>
      <c r="D42" s="1983" t="s">
        <v>2087</v>
      </c>
      <c r="E42" s="1984"/>
      <c r="F42" s="1984"/>
      <c r="G42" s="1984"/>
      <c r="H42" s="1985"/>
      <c r="I42" s="1967"/>
      <c r="J42" s="1968"/>
      <c r="K42" s="1968"/>
      <c r="L42" s="1968"/>
      <c r="M42" s="1968"/>
      <c r="N42" s="1968"/>
      <c r="O42" s="1969"/>
      <c r="P42" s="2002"/>
      <c r="Q42" s="1968"/>
      <c r="R42" s="1968"/>
      <c r="S42" s="1969"/>
      <c r="T42" s="1967"/>
      <c r="U42" s="1968"/>
      <c r="V42" s="1968"/>
      <c r="W42" s="1969"/>
      <c r="X42" s="2002"/>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1686</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6" t="s">
        <v>1900</v>
      </c>
      <c r="B2" s="1550" t="s">
        <v>2032</v>
      </c>
      <c r="C2" s="715" t="s">
        <v>1905</v>
      </c>
      <c r="D2" s="715" t="s">
        <v>1906</v>
      </c>
      <c r="E2" s="715" t="s">
        <v>1907</v>
      </c>
      <c r="F2" s="715" t="s">
        <v>1908</v>
      </c>
    </row>
    <row r="3" spans="1:6" ht="12" customHeight="1" x14ac:dyDescent="0.2">
      <c r="A3" s="2207"/>
      <c r="B3" s="1547"/>
      <c r="C3" s="1548"/>
      <c r="D3" s="1549" t="s">
        <v>274</v>
      </c>
      <c r="E3" s="1548"/>
      <c r="F3" s="1549" t="s">
        <v>275</v>
      </c>
    </row>
    <row r="4" spans="1:6" ht="13.7" customHeight="1" x14ac:dyDescent="0.2">
      <c r="A4" s="716" t="s">
        <v>1217</v>
      </c>
      <c r="B4" s="1771">
        <f>'Revenues 9-14'!C5</f>
        <v>1438248</v>
      </c>
      <c r="C4" s="1546"/>
      <c r="D4" s="1774">
        <f>B4-C4</f>
        <v>1438248</v>
      </c>
      <c r="E4" s="1546">
        <v>1494031</v>
      </c>
      <c r="F4" s="1774">
        <f>E4-C4</f>
        <v>1494031</v>
      </c>
    </row>
    <row r="5" spans="1:6" ht="13.7" customHeight="1" x14ac:dyDescent="0.2">
      <c r="A5" s="716" t="s">
        <v>925</v>
      </c>
      <c r="B5" s="1772">
        <f>'Revenues 9-14'!D5</f>
        <v>273321</v>
      </c>
      <c r="C5" s="585"/>
      <c r="D5" s="1775">
        <f t="shared" ref="D5:D18" si="0">B5-C5</f>
        <v>273321</v>
      </c>
      <c r="E5" s="585">
        <v>283948</v>
      </c>
      <c r="F5" s="1775">
        <f>E5-C5</f>
        <v>283948</v>
      </c>
    </row>
    <row r="6" spans="1:6" ht="13.7" customHeight="1" x14ac:dyDescent="0.2">
      <c r="A6" s="716" t="s">
        <v>431</v>
      </c>
      <c r="B6" s="1772">
        <f>'Revenues 9-14'!E5</f>
        <v>214817</v>
      </c>
      <c r="C6" s="585"/>
      <c r="D6" s="1775">
        <f t="shared" si="0"/>
        <v>214817</v>
      </c>
      <c r="E6" s="585">
        <v>215900</v>
      </c>
      <c r="F6" s="1775">
        <f t="shared" ref="F6:F18" si="1">E6-C6</f>
        <v>215900</v>
      </c>
    </row>
    <row r="7" spans="1:6" ht="13.7" customHeight="1" x14ac:dyDescent="0.2">
      <c r="A7" s="716" t="s">
        <v>157</v>
      </c>
      <c r="B7" s="1772">
        <f>'Revenues 9-14'!F5</f>
        <v>133426</v>
      </c>
      <c r="C7" s="585"/>
      <c r="D7" s="1775">
        <f t="shared" si="0"/>
        <v>133426</v>
      </c>
      <c r="E7" s="585">
        <v>138592</v>
      </c>
      <c r="F7" s="1775">
        <f t="shared" si="1"/>
        <v>138592</v>
      </c>
    </row>
    <row r="8" spans="1:6" ht="13.7" customHeight="1" x14ac:dyDescent="0.2">
      <c r="A8" s="716" t="s">
        <v>1241</v>
      </c>
      <c r="B8" s="1772">
        <f>'Revenues 9-14'!G5</f>
        <v>115120</v>
      </c>
      <c r="C8" s="585"/>
      <c r="D8" s="1775">
        <f t="shared" si="0"/>
        <v>115120</v>
      </c>
      <c r="E8" s="585">
        <v>119552</v>
      </c>
      <c r="F8" s="1775">
        <f t="shared" si="1"/>
        <v>119552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45571</v>
      </c>
      <c r="C10" s="585"/>
      <c r="D10" s="1775">
        <f t="shared" si="0"/>
        <v>45571</v>
      </c>
      <c r="E10" s="585">
        <v>47342</v>
      </c>
      <c r="F10" s="1775">
        <f t="shared" si="1"/>
        <v>47342</v>
      </c>
    </row>
    <row r="11" spans="1:6" x14ac:dyDescent="0.2">
      <c r="A11" s="716" t="s">
        <v>429</v>
      </c>
      <c r="B11" s="1772">
        <f>'Revenues 9-14'!J5</f>
        <v>155018</v>
      </c>
      <c r="C11" s="585"/>
      <c r="D11" s="1775">
        <f t="shared" si="0"/>
        <v>155018</v>
      </c>
      <c r="E11" s="585">
        <v>161067</v>
      </c>
      <c r="F11" s="1775">
        <f t="shared" si="1"/>
        <v>161067</v>
      </c>
    </row>
    <row r="12" spans="1:6" ht="13.7" customHeight="1" x14ac:dyDescent="0.2">
      <c r="A12" s="716" t="s">
        <v>159</v>
      </c>
      <c r="B12" s="1772">
        <f>'Revenues 9-14'!K5</f>
        <v>54625</v>
      </c>
      <c r="C12" s="585"/>
      <c r="D12" s="1775">
        <f t="shared" si="0"/>
        <v>54625</v>
      </c>
      <c r="E12" s="585">
        <v>56706</v>
      </c>
      <c r="F12" s="1775">
        <f t="shared" si="1"/>
        <v>56706</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23979</v>
      </c>
      <c r="C14" s="585"/>
      <c r="D14" s="1775">
        <f t="shared" si="0"/>
        <v>23979</v>
      </c>
      <c r="E14" s="585">
        <v>24868</v>
      </c>
      <c r="F14" s="1775">
        <f t="shared" si="1"/>
        <v>24868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115120</v>
      </c>
      <c r="C16" s="585"/>
      <c r="D16" s="1775">
        <f t="shared" si="0"/>
        <v>115120</v>
      </c>
      <c r="E16" s="585">
        <v>119552</v>
      </c>
      <c r="F16" s="1775">
        <f t="shared" si="1"/>
        <v>119552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2569245</v>
      </c>
      <c r="C19" s="1773">
        <f>SUM(C4:C18)</f>
        <v>0</v>
      </c>
      <c r="D19" s="1773">
        <f>SUM(D4:D18)</f>
        <v>2569245</v>
      </c>
      <c r="E19" s="1773">
        <f>SUM(E4:E18)</f>
        <v>2661558</v>
      </c>
      <c r="F19" s="1773">
        <f>SUM(F4:F18)</f>
        <v>2661558</v>
      </c>
    </row>
    <row r="20" spans="1:6" ht="13.5" thickTop="1" x14ac:dyDescent="0.2">
      <c r="B20" s="714"/>
      <c r="F20" s="717"/>
    </row>
    <row r="21" spans="1:6" x14ac:dyDescent="0.2">
      <c r="A21" s="718" t="s">
        <v>1910</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63" sqref="J6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6"/>
      <c r="C1" s="722"/>
    </row>
    <row r="2" spans="1:7" ht="33.75" x14ac:dyDescent="0.2">
      <c r="A2" s="2233" t="s">
        <v>1900</v>
      </c>
      <c r="B2" s="2234"/>
      <c r="C2" s="1909" t="s">
        <v>2033</v>
      </c>
      <c r="D2" s="724" t="s">
        <v>2040</v>
      </c>
      <c r="E2" s="724" t="s">
        <v>2041</v>
      </c>
      <c r="F2" s="1909" t="s">
        <v>2034</v>
      </c>
    </row>
    <row r="3" spans="1:7" ht="15.75" customHeight="1" x14ac:dyDescent="0.2">
      <c r="A3" s="2235" t="s">
        <v>1176</v>
      </c>
      <c r="B3" s="2236"/>
      <c r="C3" s="2229"/>
      <c r="D3" s="2230"/>
      <c r="E3" s="2230"/>
      <c r="F3" s="2231"/>
    </row>
    <row r="4" spans="1:7" ht="12.75" customHeight="1" thickBot="1" x14ac:dyDescent="0.25">
      <c r="A4" s="2223" t="s">
        <v>651</v>
      </c>
      <c r="B4" s="2224"/>
      <c r="C4" s="581"/>
      <c r="D4" s="581"/>
      <c r="E4" s="581"/>
      <c r="F4" s="1777">
        <f>SUM(C4+D4)-E4</f>
        <v>0</v>
      </c>
    </row>
    <row r="5" spans="1:7" ht="15.75" customHeight="1" thickTop="1" x14ac:dyDescent="0.2">
      <c r="A5" s="2227" t="s">
        <v>1172</v>
      </c>
      <c r="B5" s="2222"/>
      <c r="C5" s="2216"/>
      <c r="D5" s="2217"/>
      <c r="E5" s="2217"/>
      <c r="F5" s="221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9" t="s">
        <v>652</v>
      </c>
      <c r="B15" s="2220"/>
      <c r="C15" s="1777">
        <f>SUM(C6:C14)</f>
        <v>0</v>
      </c>
      <c r="D15" s="1777">
        <f>SUM(D6:D14)</f>
        <v>0</v>
      </c>
      <c r="E15" s="1777">
        <f>SUM(E6:E14)</f>
        <v>0</v>
      </c>
      <c r="F15" s="1777">
        <f>SUM(F6:F14)</f>
        <v>0</v>
      </c>
      <c r="G15" s="552"/>
    </row>
    <row r="16" spans="1:7" s="202" customFormat="1" ht="15.75" customHeight="1" thickTop="1" x14ac:dyDescent="0.2">
      <c r="A16" s="2232" t="s">
        <v>1173</v>
      </c>
      <c r="B16" s="2222"/>
      <c r="C16" s="2216"/>
      <c r="D16" s="2217"/>
      <c r="E16" s="2217"/>
      <c r="F16" s="2218"/>
    </row>
    <row r="17" spans="1:11" ht="12.75" customHeight="1" thickBot="1" x14ac:dyDescent="0.25">
      <c r="A17" s="2214" t="s">
        <v>66</v>
      </c>
      <c r="B17" s="2215"/>
      <c r="C17" s="727"/>
      <c r="D17" s="585"/>
      <c r="E17" s="727"/>
      <c r="F17" s="1777">
        <f>SUM(C17+D17)-E17</f>
        <v>0</v>
      </c>
    </row>
    <row r="18" spans="1:11" ht="12.75" customHeight="1" thickTop="1" thickBot="1" x14ac:dyDescent="0.25">
      <c r="A18" s="2214" t="s">
        <v>6</v>
      </c>
      <c r="B18" s="2215"/>
      <c r="C18" s="727"/>
      <c r="D18" s="585"/>
      <c r="E18" s="727"/>
      <c r="F18" s="1777">
        <f>SUM(C18+D18)-E18</f>
        <v>0</v>
      </c>
    </row>
    <row r="19" spans="1:11" ht="12.75" customHeight="1" thickTop="1" thickBot="1" x14ac:dyDescent="0.25">
      <c r="A19" s="2214" t="s">
        <v>406</v>
      </c>
      <c r="B19" s="2215"/>
      <c r="C19" s="727"/>
      <c r="D19" s="585"/>
      <c r="E19" s="727"/>
      <c r="F19" s="1777">
        <f>SUM(C19+D19)-E19</f>
        <v>0</v>
      </c>
    </row>
    <row r="20" spans="1:11" ht="12.75" customHeight="1" thickTop="1" thickBot="1" x14ac:dyDescent="0.25">
      <c r="A20" s="2214" t="s">
        <v>468</v>
      </c>
      <c r="B20" s="2215"/>
      <c r="C20" s="727"/>
      <c r="D20" s="585"/>
      <c r="E20" s="727"/>
      <c r="F20" s="1777">
        <f>SUM(C20+D20)-E20</f>
        <v>0</v>
      </c>
    </row>
    <row r="21" spans="1:11" ht="14.25" thickTop="1" thickBot="1" x14ac:dyDescent="0.25">
      <c r="A21" s="2219" t="s">
        <v>653</v>
      </c>
      <c r="B21" s="2220"/>
      <c r="C21" s="1777">
        <f>SUM(C17:C20)</f>
        <v>0</v>
      </c>
      <c r="D21" s="1777">
        <f>SUM(D17:D20)</f>
        <v>0</v>
      </c>
      <c r="E21" s="1777">
        <f>SUM(E17:E20)</f>
        <v>0</v>
      </c>
      <c r="F21" s="1777">
        <f>SUM(F17:F20)</f>
        <v>0</v>
      </c>
      <c r="G21" s="552"/>
    </row>
    <row r="22" spans="1:11" ht="15.75" customHeight="1" thickTop="1" x14ac:dyDescent="0.2">
      <c r="A22" s="2221" t="s">
        <v>1174</v>
      </c>
      <c r="B22" s="2222"/>
      <c r="C22" s="2216"/>
      <c r="D22" s="2217"/>
      <c r="E22" s="2217"/>
      <c r="F22" s="2218"/>
    </row>
    <row r="23" spans="1:11" ht="13.5" thickBot="1" x14ac:dyDescent="0.25">
      <c r="A23" s="2223" t="s">
        <v>654</v>
      </c>
      <c r="B23" s="2224"/>
      <c r="C23" s="581"/>
      <c r="D23" s="581"/>
      <c r="E23" s="581"/>
      <c r="F23" s="1777">
        <f>SUM(C23+D23)-E23</f>
        <v>0</v>
      </c>
      <c r="G23" s="552"/>
    </row>
    <row r="24" spans="1:11" ht="15.75" customHeight="1" thickTop="1" x14ac:dyDescent="0.2">
      <c r="A24" s="2221" t="s">
        <v>1175</v>
      </c>
      <c r="B24" s="2222"/>
      <c r="C24" s="2216"/>
      <c r="D24" s="2217"/>
      <c r="E24" s="2217"/>
      <c r="F24" s="2218"/>
    </row>
    <row r="25" spans="1:11" ht="13.5" thickBot="1" x14ac:dyDescent="0.25">
      <c r="A25" s="2223" t="s">
        <v>655</v>
      </c>
      <c r="B25" s="2224"/>
      <c r="C25" s="581"/>
      <c r="D25" s="581"/>
      <c r="E25" s="581"/>
      <c r="F25" s="1777">
        <f>SUM(C25+D25)-E25</f>
        <v>0</v>
      </c>
      <c r="G25" s="552"/>
    </row>
    <row r="26" spans="1:11" ht="15.75" customHeight="1" thickTop="1" x14ac:dyDescent="0.2">
      <c r="A26" s="2227" t="s">
        <v>678</v>
      </c>
      <c r="B26" s="2222"/>
      <c r="C26" s="728"/>
      <c r="D26" s="728"/>
      <c r="E26" s="728"/>
      <c r="F26" s="729"/>
    </row>
    <row r="27" spans="1:11" ht="13.5" thickBot="1" x14ac:dyDescent="0.25">
      <c r="A27" s="2219" t="s">
        <v>1130</v>
      </c>
      <c r="B27" s="2220"/>
      <c r="C27" s="585"/>
      <c r="D27" s="585"/>
      <c r="E27" s="585"/>
      <c r="F27" s="1777">
        <f>SUM(C27+D27)-E27</f>
        <v>0</v>
      </c>
      <c r="G27" s="552"/>
    </row>
    <row r="28" spans="1:11" ht="7.5" customHeight="1" thickTop="1" x14ac:dyDescent="0.2">
      <c r="A28" s="594"/>
    </row>
    <row r="29" spans="1:11" ht="23.25" customHeight="1" x14ac:dyDescent="0.2">
      <c r="A29" s="2225" t="s">
        <v>603</v>
      </c>
      <c r="B29" s="2226"/>
      <c r="C29" s="730"/>
      <c r="D29" s="730"/>
      <c r="E29" s="730"/>
      <c r="F29" s="730"/>
      <c r="G29" s="730"/>
      <c r="H29" s="730"/>
      <c r="I29" s="730"/>
      <c r="J29" s="730"/>
    </row>
    <row r="30" spans="1:11" ht="33.75" x14ac:dyDescent="0.2">
      <c r="A30" s="1551" t="s">
        <v>1131</v>
      </c>
      <c r="B30" s="731" t="s">
        <v>1186</v>
      </c>
      <c r="C30" s="1910" t="s">
        <v>604</v>
      </c>
      <c r="D30" s="1910" t="s">
        <v>1771</v>
      </c>
      <c r="E30" s="1910" t="s">
        <v>2035</v>
      </c>
      <c r="F30" s="1910" t="s">
        <v>2036</v>
      </c>
      <c r="G30" s="1910" t="s">
        <v>2039</v>
      </c>
      <c r="H30" s="1910" t="s">
        <v>2037</v>
      </c>
      <c r="I30" s="1910" t="s">
        <v>2038</v>
      </c>
      <c r="J30" s="1911" t="s">
        <v>2</v>
      </c>
      <c r="K30" s="732"/>
    </row>
    <row r="31" spans="1:11" ht="12" customHeight="1" x14ac:dyDescent="0.2">
      <c r="A31" s="733" t="s">
        <v>2089</v>
      </c>
      <c r="B31" s="734">
        <v>39128</v>
      </c>
      <c r="C31" s="735">
        <v>852184</v>
      </c>
      <c r="D31" s="736">
        <v>7</v>
      </c>
      <c r="E31" s="735">
        <v>776415</v>
      </c>
      <c r="F31" s="735"/>
      <c r="G31" s="735"/>
      <c r="H31" s="735">
        <v>132539</v>
      </c>
      <c r="I31" s="1778">
        <f>((E31+F31)-H31)+G31</f>
        <v>643876</v>
      </c>
      <c r="J31" s="735">
        <v>599816</v>
      </c>
      <c r="K31" s="737"/>
    </row>
    <row r="32" spans="1:11" ht="12" customHeight="1" x14ac:dyDescent="0.2">
      <c r="A32" s="733">
        <v>2011</v>
      </c>
      <c r="B32" s="734">
        <v>40887</v>
      </c>
      <c r="C32" s="735">
        <v>1250000</v>
      </c>
      <c r="D32" s="736">
        <v>8</v>
      </c>
      <c r="E32" s="735">
        <v>400000</v>
      </c>
      <c r="F32" s="735"/>
      <c r="G32" s="735"/>
      <c r="H32" s="735">
        <v>195000</v>
      </c>
      <c r="I32" s="1778">
        <f>((E32+F32)-H32)+G32</f>
        <v>205000</v>
      </c>
      <c r="J32" s="735">
        <v>205000</v>
      </c>
      <c r="K32" s="737"/>
    </row>
    <row r="33" spans="1:11" ht="12" customHeight="1" x14ac:dyDescent="0.2">
      <c r="A33" s="733">
        <v>2015</v>
      </c>
      <c r="B33" s="734">
        <v>42137</v>
      </c>
      <c r="C33" s="735">
        <v>3500000</v>
      </c>
      <c r="D33" s="736">
        <v>8</v>
      </c>
      <c r="E33" s="735">
        <v>3500000</v>
      </c>
      <c r="F33" s="735"/>
      <c r="G33" s="735"/>
      <c r="H33" s="735"/>
      <c r="I33" s="1778">
        <f t="shared" ref="I33:I48" si="1">((E33+F33)-H33)+G33</f>
        <v>3500000</v>
      </c>
      <c r="J33" s="735">
        <v>3500000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5602184</v>
      </c>
      <c r="D49" s="746"/>
      <c r="E49" s="1778">
        <f t="shared" ref="E49:J49" si="2">SUM(E31:E48)</f>
        <v>4676415</v>
      </c>
      <c r="F49" s="1778">
        <f t="shared" si="2"/>
        <v>0</v>
      </c>
      <c r="G49" s="1778">
        <f t="shared" si="2"/>
        <v>0</v>
      </c>
      <c r="H49" s="1778">
        <f t="shared" si="2"/>
        <v>327539</v>
      </c>
      <c r="I49" s="1778">
        <f t="shared" si="2"/>
        <v>4348876</v>
      </c>
      <c r="J49" s="1778">
        <f t="shared" si="2"/>
        <v>4304816</v>
      </c>
      <c r="K49" s="738"/>
    </row>
    <row r="50" spans="1:11" ht="6" customHeight="1" x14ac:dyDescent="0.2">
      <c r="A50" s="747"/>
      <c r="B50" s="737"/>
      <c r="C50" s="737"/>
      <c r="D50" s="737"/>
      <c r="E50" s="737"/>
      <c r="F50" s="737"/>
      <c r="G50" s="737"/>
      <c r="H50" s="737"/>
      <c r="I50" s="737"/>
      <c r="J50" s="747"/>
    </row>
    <row r="51" spans="1:11" x14ac:dyDescent="0.2">
      <c r="A51" s="748" t="s">
        <v>1909</v>
      </c>
      <c r="B51" s="747"/>
      <c r="C51" s="738"/>
      <c r="D51" s="738"/>
      <c r="E51" s="738"/>
      <c r="F51" s="738"/>
      <c r="G51" s="738"/>
      <c r="H51" s="737"/>
      <c r="I51" s="737"/>
      <c r="J51" s="747"/>
    </row>
    <row r="52" spans="1:11" ht="11.25" customHeight="1" x14ac:dyDescent="0.2">
      <c r="A52" s="749" t="s">
        <v>968</v>
      </c>
      <c r="B52" s="2208" t="s">
        <v>605</v>
      </c>
      <c r="C52" s="2209"/>
      <c r="D52" s="2209"/>
      <c r="E52" s="750" t="s">
        <v>900</v>
      </c>
      <c r="F52" s="2210" t="s">
        <v>2090</v>
      </c>
      <c r="G52" s="2211"/>
      <c r="H52" s="737"/>
      <c r="I52" s="737"/>
      <c r="J52" s="747"/>
    </row>
    <row r="53" spans="1:11" ht="11.25" customHeight="1" x14ac:dyDescent="0.2">
      <c r="A53" s="751" t="s">
        <v>969</v>
      </c>
      <c r="B53" s="752" t="s">
        <v>1008</v>
      </c>
      <c r="C53" s="747"/>
      <c r="D53" s="738"/>
      <c r="E53" s="750" t="s">
        <v>518</v>
      </c>
      <c r="F53" s="2212" t="s">
        <v>2091</v>
      </c>
      <c r="G53" s="2213"/>
      <c r="H53" s="737"/>
      <c r="I53" s="737"/>
      <c r="J53" s="747"/>
    </row>
    <row r="54" spans="1:11" ht="11.25" customHeight="1" x14ac:dyDescent="0.2">
      <c r="A54" s="753" t="s">
        <v>970</v>
      </c>
      <c r="B54" s="748" t="s">
        <v>1009</v>
      </c>
      <c r="C54" s="747"/>
      <c r="D54" s="738"/>
      <c r="E54" s="750" t="s">
        <v>519</v>
      </c>
      <c r="F54" s="2212"/>
      <c r="G54" s="221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911</v>
      </c>
      <c r="B1" s="2238"/>
      <c r="C1" s="2238"/>
      <c r="D1" s="2238"/>
      <c r="E1" s="2238"/>
      <c r="F1" s="2238"/>
      <c r="G1" s="2239"/>
      <c r="H1" s="1552"/>
      <c r="I1" s="761"/>
      <c r="J1" s="433"/>
    </row>
    <row r="2" spans="1:11" ht="26.25" x14ac:dyDescent="0.2">
      <c r="A2" s="2256" t="s">
        <v>1775</v>
      </c>
      <c r="B2" s="2257"/>
      <c r="C2" s="2257"/>
      <c r="D2" s="2257"/>
      <c r="E2" s="2258"/>
      <c r="F2" s="762" t="s">
        <v>960</v>
      </c>
      <c r="G2" s="763" t="s">
        <v>1772</v>
      </c>
      <c r="H2" s="763" t="s">
        <v>430</v>
      </c>
      <c r="I2" s="763" t="s">
        <v>1220</v>
      </c>
      <c r="J2" s="763" t="s">
        <v>1914</v>
      </c>
      <c r="K2" s="763" t="s">
        <v>140</v>
      </c>
    </row>
    <row r="3" spans="1:11" x14ac:dyDescent="0.2">
      <c r="A3" s="2259" t="s">
        <v>1697</v>
      </c>
      <c r="B3" s="2260"/>
      <c r="C3" s="2260"/>
      <c r="D3" s="2260"/>
      <c r="E3" s="2261"/>
      <c r="F3" s="764"/>
      <c r="G3" s="765"/>
      <c r="H3" s="765"/>
      <c r="I3" s="765"/>
      <c r="J3" s="766"/>
      <c r="K3" s="766"/>
    </row>
    <row r="4" spans="1:11" x14ac:dyDescent="0.2">
      <c r="A4" s="2262" t="s">
        <v>387</v>
      </c>
      <c r="B4" s="2263"/>
      <c r="C4" s="2263"/>
      <c r="D4" s="2263"/>
      <c r="E4" s="2209"/>
      <c r="F4" s="767"/>
      <c r="G4" s="768"/>
      <c r="H4" s="769"/>
      <c r="I4" s="768"/>
      <c r="J4" s="770"/>
      <c r="K4" s="770"/>
    </row>
    <row r="5" spans="1:11" x14ac:dyDescent="0.2">
      <c r="A5" s="2240" t="s">
        <v>1129</v>
      </c>
      <c r="B5" s="2241"/>
      <c r="C5" s="2241"/>
      <c r="D5" s="2241"/>
      <c r="E5" s="2242"/>
      <c r="F5" s="771" t="s">
        <v>903</v>
      </c>
      <c r="G5" s="772"/>
      <c r="H5" s="765">
        <v>24105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0" t="s">
        <v>1915</v>
      </c>
      <c r="B10" s="2241"/>
      <c r="C10" s="2241"/>
      <c r="D10" s="2241"/>
      <c r="E10" s="2243"/>
      <c r="F10" s="784" t="s">
        <v>917</v>
      </c>
      <c r="G10" s="783"/>
      <c r="H10" s="785"/>
      <c r="I10" s="765"/>
      <c r="J10" s="766"/>
      <c r="K10" s="766"/>
    </row>
    <row r="11" spans="1:11" x14ac:dyDescent="0.2">
      <c r="A11" s="2240" t="s">
        <v>162</v>
      </c>
      <c r="B11" s="2241"/>
      <c r="C11" s="2241"/>
      <c r="D11" s="2241"/>
      <c r="E11" s="2242"/>
      <c r="F11" s="771" t="s">
        <v>907</v>
      </c>
      <c r="G11" s="772"/>
      <c r="H11" s="765"/>
      <c r="I11" s="765"/>
      <c r="J11" s="766"/>
      <c r="K11" s="774"/>
    </row>
    <row r="12" spans="1:11" ht="13.5" thickBot="1" x14ac:dyDescent="0.25">
      <c r="A12" s="2267" t="s">
        <v>961</v>
      </c>
      <c r="B12" s="2268"/>
      <c r="C12" s="2268"/>
      <c r="D12" s="2268"/>
      <c r="E12" s="2269"/>
      <c r="F12" s="1779"/>
      <c r="G12" s="1780">
        <f>SUM(G5:G11)</f>
        <v>0</v>
      </c>
      <c r="H12" s="1780">
        <f>SUM(H5:H11)</f>
        <v>24105</v>
      </c>
      <c r="I12" s="1780">
        <f>SUM(I5:I11)</f>
        <v>0</v>
      </c>
      <c r="J12" s="1780">
        <f>SUM(J5:J11)</f>
        <v>0</v>
      </c>
      <c r="K12" s="1780">
        <f>SUM(K5:K11)</f>
        <v>0</v>
      </c>
    </row>
    <row r="13" spans="1:11" ht="13.5" thickTop="1" x14ac:dyDescent="0.2">
      <c r="A13" s="2264" t="s">
        <v>388</v>
      </c>
      <c r="B13" s="2265"/>
      <c r="C13" s="2265"/>
      <c r="D13" s="2265"/>
      <c r="E13" s="2266"/>
      <c r="F13" s="786"/>
      <c r="G13" s="787"/>
      <c r="H13" s="788"/>
      <c r="I13" s="789"/>
      <c r="J13" s="789"/>
      <c r="K13" s="789"/>
    </row>
    <row r="14" spans="1:11" x14ac:dyDescent="0.2">
      <c r="A14" s="2247" t="s">
        <v>476</v>
      </c>
      <c r="B14" s="2247"/>
      <c r="C14" s="2247"/>
      <c r="D14" s="2247"/>
      <c r="E14" s="2248"/>
      <c r="F14" s="790" t="s">
        <v>909</v>
      </c>
      <c r="G14" s="783"/>
      <c r="H14" s="765">
        <v>24105</v>
      </c>
      <c r="I14" s="772"/>
      <c r="J14" s="774"/>
      <c r="K14" s="766"/>
    </row>
    <row r="15" spans="1:11" x14ac:dyDescent="0.2">
      <c r="A15" s="2241" t="s">
        <v>4</v>
      </c>
      <c r="B15" s="2241"/>
      <c r="C15" s="2241"/>
      <c r="D15" s="2241"/>
      <c r="E15" s="2242"/>
      <c r="F15" s="790" t="s">
        <v>910</v>
      </c>
      <c r="G15" s="772"/>
      <c r="H15" s="765"/>
      <c r="I15" s="765"/>
      <c r="J15" s="766"/>
      <c r="K15" s="766"/>
    </row>
    <row r="16" spans="1:11" x14ac:dyDescent="0.2">
      <c r="A16" s="2241" t="s">
        <v>316</v>
      </c>
      <c r="B16" s="2241"/>
      <c r="C16" s="2241"/>
      <c r="D16" s="2241"/>
      <c r="E16" s="2242"/>
      <c r="F16" s="790" t="s">
        <v>980</v>
      </c>
      <c r="G16" s="773"/>
      <c r="H16" s="768"/>
      <c r="I16" s="768"/>
      <c r="J16" s="770"/>
      <c r="K16" s="770"/>
    </row>
    <row r="17" spans="1:11" x14ac:dyDescent="0.2">
      <c r="A17" s="2272" t="s">
        <v>992</v>
      </c>
      <c r="B17" s="2272"/>
      <c r="C17" s="2272"/>
      <c r="D17" s="2272"/>
      <c r="E17" s="2273"/>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49" t="s">
        <v>1911</v>
      </c>
      <c r="B19" s="2249"/>
      <c r="C19" s="2249"/>
      <c r="D19" s="2249"/>
      <c r="E19" s="2250"/>
      <c r="F19" s="790" t="s">
        <v>990</v>
      </c>
      <c r="G19" s="783"/>
      <c r="H19" s="783"/>
      <c r="I19" s="783"/>
      <c r="J19" s="766"/>
      <c r="K19" s="796"/>
    </row>
    <row r="20" spans="1:11" x14ac:dyDescent="0.2">
      <c r="A20" s="2251" t="s">
        <v>1916</v>
      </c>
      <c r="B20" s="2252"/>
      <c r="C20" s="2252"/>
      <c r="D20" s="2252"/>
      <c r="E20" s="2253"/>
      <c r="F20" s="790" t="s">
        <v>991</v>
      </c>
      <c r="G20" s="783"/>
      <c r="H20" s="783"/>
      <c r="I20" s="783"/>
      <c r="J20" s="766"/>
      <c r="K20" s="796"/>
    </row>
    <row r="21" spans="1:11" ht="13.5" thickBot="1" x14ac:dyDescent="0.25">
      <c r="A21" s="2270" t="s">
        <v>659</v>
      </c>
      <c r="B21" s="2270"/>
      <c r="C21" s="2270"/>
      <c r="D21" s="2270"/>
      <c r="E21" s="2270"/>
      <c r="F21" s="1781"/>
      <c r="G21" s="793"/>
      <c r="H21" s="797"/>
      <c r="I21" s="797"/>
      <c r="J21" s="1782">
        <f>SUM(J18:J20)</f>
        <v>0</v>
      </c>
      <c r="K21" s="794"/>
    </row>
    <row r="22" spans="1:11" ht="13.5" thickTop="1" x14ac:dyDescent="0.2">
      <c r="A22" s="2241" t="s">
        <v>1917</v>
      </c>
      <c r="B22" s="2241"/>
      <c r="C22" s="2241"/>
      <c r="D22" s="2241"/>
      <c r="E22" s="2242"/>
      <c r="F22" s="790" t="s">
        <v>917</v>
      </c>
      <c r="G22" s="783"/>
      <c r="H22" s="765"/>
      <c r="I22" s="765"/>
      <c r="J22" s="798"/>
      <c r="K22" s="766"/>
    </row>
    <row r="23" spans="1:11" ht="13.5" thickBot="1" x14ac:dyDescent="0.25">
      <c r="A23" s="2271" t="s">
        <v>962</v>
      </c>
      <c r="B23" s="2270"/>
      <c r="C23" s="2270"/>
      <c r="D23" s="2270"/>
      <c r="E23" s="2270"/>
      <c r="F23" s="1783"/>
      <c r="G23" s="1780">
        <f>SUM(G14:G16,G21,G22)</f>
        <v>0</v>
      </c>
      <c r="H23" s="1780">
        <f>SUM(H14:H16,H21,H22)</f>
        <v>24105</v>
      </c>
      <c r="I23" s="1780">
        <f>SUM(I14:I16,I21,I22)</f>
        <v>0</v>
      </c>
      <c r="J23" s="1780">
        <f>SUM(J14:J16,J21,J22)</f>
        <v>0</v>
      </c>
      <c r="K23" s="1780">
        <f>SUM(K14:K16,K21,K22)</f>
        <v>0</v>
      </c>
    </row>
    <row r="24" spans="1:11" ht="14.25" thickTop="1" thickBot="1" x14ac:dyDescent="0.25">
      <c r="A24" s="2271" t="s">
        <v>2021</v>
      </c>
      <c r="B24" s="2270"/>
      <c r="C24" s="2270"/>
      <c r="D24" s="2270"/>
      <c r="E24" s="227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2031</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4"/>
      <c r="I31" s="2245"/>
      <c r="J31" s="2245"/>
      <c r="K31" s="2245"/>
    </row>
    <row r="32" spans="1:11" x14ac:dyDescent="0.2">
      <c r="A32" s="810"/>
      <c r="B32" s="237"/>
      <c r="C32" s="237"/>
      <c r="D32" s="237"/>
      <c r="E32" s="806"/>
      <c r="F32" s="812" t="s">
        <v>561</v>
      </c>
      <c r="G32" s="765"/>
      <c r="H32" s="2246"/>
      <c r="I32" s="2245"/>
      <c r="J32" s="2245"/>
      <c r="K32" s="2245"/>
    </row>
    <row r="33" spans="1:11" ht="1.5" customHeight="1" x14ac:dyDescent="0.2">
      <c r="A33" s="813" t="s">
        <v>1231</v>
      </c>
      <c r="B33" s="364"/>
      <c r="C33" s="364"/>
      <c r="D33" s="364"/>
      <c r="E33" s="364"/>
      <c r="F33" s="364"/>
      <c r="G33" s="814"/>
      <c r="H33" s="2246"/>
      <c r="I33" s="2245"/>
      <c r="J33" s="2245"/>
      <c r="K33" s="2245"/>
    </row>
    <row r="34" spans="1:11" x14ac:dyDescent="0.2">
      <c r="A34" s="815" t="s">
        <v>1918</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54"/>
      <c r="C41" s="2254"/>
      <c r="D41" s="2254"/>
      <c r="E41" s="2254"/>
      <c r="F41" s="225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1912</v>
      </c>
      <c r="B46" s="408" t="s">
        <v>1773</v>
      </c>
    </row>
    <row r="47" spans="1:11" s="824" customFormat="1" ht="12.75" customHeight="1" x14ac:dyDescent="0.2">
      <c r="A47" s="822"/>
      <c r="B47" s="823" t="s">
        <v>1774</v>
      </c>
      <c r="E47" s="823"/>
      <c r="K47" s="825"/>
    </row>
    <row r="48" spans="1:11" ht="12.75" customHeight="1" x14ac:dyDescent="0.2">
      <c r="A48" s="1554" t="s">
        <v>1913</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8" sqref="I1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2030</v>
      </c>
      <c r="B1" s="2277"/>
      <c r="C1" s="2278"/>
      <c r="D1" s="827"/>
      <c r="E1" s="828"/>
      <c r="F1" s="828"/>
      <c r="G1" s="829"/>
      <c r="H1" s="830"/>
      <c r="I1" s="831"/>
      <c r="J1" s="2274"/>
      <c r="K1" s="2275"/>
      <c r="L1" s="2275"/>
    </row>
    <row r="2" spans="1:14" ht="69.75" customHeight="1" x14ac:dyDescent="0.2">
      <c r="A2" s="832" t="s">
        <v>1776</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137257</v>
      </c>
      <c r="D5" s="842"/>
      <c r="E5" s="842"/>
      <c r="F5" s="1782">
        <f>(C5+D5)-E5</f>
        <v>137257</v>
      </c>
      <c r="G5" s="838"/>
      <c r="H5" s="843"/>
      <c r="I5" s="843"/>
      <c r="J5" s="843"/>
      <c r="K5" s="794"/>
      <c r="L5" s="1791">
        <f>F5-K5</f>
        <v>137257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8447841</v>
      </c>
      <c r="D8" s="845">
        <v>4258032</v>
      </c>
      <c r="E8" s="845"/>
      <c r="F8" s="1782">
        <f>(C8+D8)-E8</f>
        <v>12705873</v>
      </c>
      <c r="G8" s="844">
        <v>50</v>
      </c>
      <c r="H8" s="766">
        <v>4434346</v>
      </c>
      <c r="I8" s="766">
        <v>254117</v>
      </c>
      <c r="J8" s="766"/>
      <c r="K8" s="1791">
        <f>(H8+I8)-J8</f>
        <v>4688463</v>
      </c>
      <c r="L8" s="1791">
        <f>F8-K8</f>
        <v>8017410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1089822</v>
      </c>
      <c r="D10" s="847">
        <v>215967</v>
      </c>
      <c r="E10" s="847"/>
      <c r="F10" s="1786">
        <f>(C10+D10)-E10</f>
        <v>1305789</v>
      </c>
      <c r="G10" s="844">
        <v>20</v>
      </c>
      <c r="H10" s="848">
        <v>150094</v>
      </c>
      <c r="I10" s="848">
        <v>61624</v>
      </c>
      <c r="J10" s="848"/>
      <c r="K10" s="1791">
        <f>(H10+I10)-J10</f>
        <v>211718</v>
      </c>
      <c r="L10" s="1791">
        <f>F10-K10</f>
        <v>1094071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108816</v>
      </c>
      <c r="D12" s="845">
        <v>26228</v>
      </c>
      <c r="E12" s="845"/>
      <c r="F12" s="1782">
        <f>(C12+D12)-E12</f>
        <v>135044</v>
      </c>
      <c r="G12" s="844">
        <v>10</v>
      </c>
      <c r="H12" s="766">
        <v>6124</v>
      </c>
      <c r="I12" s="766">
        <v>7575</v>
      </c>
      <c r="J12" s="766"/>
      <c r="K12" s="1791">
        <f>(H12+I12)-J12</f>
        <v>13699</v>
      </c>
      <c r="L12" s="1791">
        <f>F12-K12</f>
        <v>121345</v>
      </c>
    </row>
    <row r="13" spans="1:14" ht="14.25" thickTop="1" thickBot="1" x14ac:dyDescent="0.25">
      <c r="A13" s="849" t="s">
        <v>1184</v>
      </c>
      <c r="B13" s="841">
        <v>252</v>
      </c>
      <c r="C13" s="845"/>
      <c r="D13" s="845">
        <v>16177</v>
      </c>
      <c r="E13" s="845"/>
      <c r="F13" s="1782">
        <f>(C13+D13)-E13</f>
        <v>16177</v>
      </c>
      <c r="G13" s="844">
        <v>5</v>
      </c>
      <c r="H13" s="766">
        <v>0</v>
      </c>
      <c r="I13" s="766">
        <v>954</v>
      </c>
      <c r="J13" s="766"/>
      <c r="K13" s="1791">
        <f>(H13+I13)-J13</f>
        <v>954</v>
      </c>
      <c r="L13" s="1791">
        <f>F13-K13</f>
        <v>15223</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4215113</v>
      </c>
      <c r="D15" s="845">
        <v>49730</v>
      </c>
      <c r="E15" s="845">
        <v>4215113</v>
      </c>
      <c r="F15" s="1782">
        <f>(C15+D15)-E15</f>
        <v>49730</v>
      </c>
      <c r="G15" s="850" t="s">
        <v>917</v>
      </c>
      <c r="H15" s="782"/>
      <c r="I15" s="782"/>
      <c r="J15" s="782"/>
      <c r="K15" s="782"/>
      <c r="L15" s="1791">
        <f>F15-K15</f>
        <v>49730</v>
      </c>
    </row>
    <row r="16" spans="1:14" ht="15" customHeight="1" thickTop="1" thickBot="1" x14ac:dyDescent="0.25">
      <c r="A16" s="1787" t="s">
        <v>664</v>
      </c>
      <c r="B16" s="1788">
        <v>200</v>
      </c>
      <c r="C16" s="1782">
        <f>SUM(C3,C5:C6,C8:C10,C12:C15)</f>
        <v>13998849</v>
      </c>
      <c r="D16" s="1782">
        <f>SUM(D3,D5:D6,D8:D10,D12:D15)</f>
        <v>4566134</v>
      </c>
      <c r="E16" s="1782">
        <f>SUM(E3,E5:E6,E8:E10,E12:E15)</f>
        <v>4215113</v>
      </c>
      <c r="F16" s="1782">
        <f>SUM(F3,F5:F6,F8:F10,F12:F15)</f>
        <v>14349870</v>
      </c>
      <c r="G16" s="844"/>
      <c r="H16" s="1782">
        <f>SUM(H3,H6,H8:H10,H12:H14,)</f>
        <v>4590564</v>
      </c>
      <c r="I16" s="1782">
        <f>SUM(I3,I6,I8:I10,I12:I14,)</f>
        <v>324270</v>
      </c>
      <c r="J16" s="1782">
        <f>SUM(J3,J6,J8:J10,J12:J14,)</f>
        <v>0</v>
      </c>
      <c r="K16" s="1782">
        <f>(H16+I16)-J16</f>
        <v>4914834</v>
      </c>
      <c r="L16" s="1782">
        <f>F16-K16</f>
        <v>9435036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5001</v>
      </c>
      <c r="G17" s="838">
        <v>10</v>
      </c>
      <c r="H17" s="770"/>
      <c r="I17" s="1791">
        <f>F17/G17</f>
        <v>500.1</v>
      </c>
      <c r="J17" s="770"/>
      <c r="K17" s="796"/>
      <c r="L17" s="796"/>
    </row>
    <row r="18" spans="1:12" ht="14.25" thickTop="1" thickBot="1" x14ac:dyDescent="0.25">
      <c r="A18" s="1789" t="s">
        <v>706</v>
      </c>
      <c r="B18" s="1790"/>
      <c r="C18" s="772"/>
      <c r="D18" s="772"/>
      <c r="E18" s="772"/>
      <c r="F18" s="851"/>
      <c r="G18" s="852"/>
      <c r="H18" s="774"/>
      <c r="I18" s="1782">
        <f>SUM(I16,I17)</f>
        <v>324770.09999999998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4"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1698</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1543</v>
      </c>
      <c r="C8" s="872"/>
      <c r="D8" s="870" t="s">
        <v>522</v>
      </c>
      <c r="E8" s="869" t="s">
        <v>1015</v>
      </c>
      <c r="F8" s="1934">
        <f>'Expenditures 15-22'!K114</f>
        <v>8028937</v>
      </c>
      <c r="G8" s="866"/>
    </row>
    <row r="9" spans="1:7" x14ac:dyDescent="0.2">
      <c r="A9" s="870" t="s">
        <v>480</v>
      </c>
      <c r="B9" s="871" t="s">
        <v>1984</v>
      </c>
      <c r="C9" s="872"/>
      <c r="D9" s="870" t="s">
        <v>522</v>
      </c>
      <c r="E9" s="869"/>
      <c r="F9" s="1935">
        <f>'Expenditures 15-22'!K151</f>
        <v>437997</v>
      </c>
      <c r="G9" s="873"/>
    </row>
    <row r="10" spans="1:7" x14ac:dyDescent="0.2">
      <c r="A10" s="870" t="s">
        <v>520</v>
      </c>
      <c r="B10" s="871" t="s">
        <v>1985</v>
      </c>
      <c r="C10" s="872"/>
      <c r="D10" s="870" t="s">
        <v>522</v>
      </c>
      <c r="E10" s="869"/>
      <c r="F10" s="1935">
        <f>'Expenditures 15-22'!K174</f>
        <v>220500</v>
      </c>
      <c r="G10" s="873"/>
    </row>
    <row r="11" spans="1:7" x14ac:dyDescent="0.2">
      <c r="A11" s="870" t="s">
        <v>481</v>
      </c>
      <c r="B11" s="871" t="s">
        <v>1986</v>
      </c>
      <c r="C11" s="872"/>
      <c r="D11" s="870" t="s">
        <v>522</v>
      </c>
      <c r="E11" s="869"/>
      <c r="F11" s="1935">
        <f>'Expenditures 15-22'!K210</f>
        <v>482415</v>
      </c>
      <c r="G11" s="873"/>
    </row>
    <row r="12" spans="1:7" x14ac:dyDescent="0.2">
      <c r="A12" s="870" t="s">
        <v>482</v>
      </c>
      <c r="B12" s="871" t="s">
        <v>1987</v>
      </c>
      <c r="C12" s="872"/>
      <c r="D12" s="870" t="s">
        <v>522</v>
      </c>
      <c r="E12" s="869"/>
      <c r="F12" s="1935">
        <f>'Expenditures 15-22'!K295</f>
        <v>321780</v>
      </c>
      <c r="G12" s="873"/>
    </row>
    <row r="13" spans="1:7" x14ac:dyDescent="0.2">
      <c r="A13" s="870" t="s">
        <v>108</v>
      </c>
      <c r="B13" s="871" t="s">
        <v>1988</v>
      </c>
      <c r="C13" s="872"/>
      <c r="D13" s="870" t="s">
        <v>522</v>
      </c>
      <c r="E13" s="869"/>
      <c r="F13" s="1935">
        <f>'Expenditures 15-22'!K342</f>
        <v>89933</v>
      </c>
      <c r="G13" s="874"/>
    </row>
    <row r="14" spans="1:7" ht="12" customHeight="1" thickBot="1" x14ac:dyDescent="0.25">
      <c r="A14" s="1792"/>
      <c r="B14" s="1793"/>
      <c r="C14" s="1794"/>
      <c r="D14" s="1795" t="s">
        <v>522</v>
      </c>
      <c r="E14" s="1796" t="s">
        <v>1015</v>
      </c>
      <c r="F14" s="1797">
        <f>SUM(F8:F13)</f>
        <v>9581562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1682</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1544</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1545</v>
      </c>
      <c r="C35" s="887" t="str">
        <f>'Expenditures 15-22'!B9</f>
        <v>1225</v>
      </c>
      <c r="D35" s="888" t="str">
        <f>'Expenditures 15-22'!A9</f>
        <v>Special Education Programs Pre-K</v>
      </c>
      <c r="E35" s="869"/>
      <c r="F35" s="1939">
        <f>'Expenditures 15-22'!K9-SUM('Expenditures 15-22'!G9+'Expenditures 15-22'!I9)</f>
        <v>112523</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881</v>
      </c>
      <c r="G36" s="866"/>
    </row>
    <row r="37" spans="1:7" x14ac:dyDescent="0.2">
      <c r="A37" s="870" t="s">
        <v>479</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1547</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1549</v>
      </c>
      <c r="C52" s="890" t="str">
        <f>'Expenditures 15-22'!B75</f>
        <v>3000</v>
      </c>
      <c r="D52" s="889" t="s">
        <v>469</v>
      </c>
      <c r="E52" s="869"/>
      <c r="F52" s="1939">
        <f>'Expenditures 15-22'!K75-SUM('Expenditures 15-22'!G75,'Expenditures 15-22'!I75)</f>
        <v>3835</v>
      </c>
      <c r="G52" s="866"/>
    </row>
    <row r="53" spans="1:7" x14ac:dyDescent="0.2">
      <c r="A53" s="870" t="s">
        <v>479</v>
      </c>
      <c r="B53" s="870" t="s">
        <v>1550</v>
      </c>
      <c r="C53" s="890">
        <f>'Expenditures 15-22'!B102</f>
        <v>4000</v>
      </c>
      <c r="D53" s="889" t="str">
        <f>'Expenditures 15-22'!A102</f>
        <v>Total Payments to Other Govt Units</v>
      </c>
      <c r="E53" s="869"/>
      <c r="F53" s="1939">
        <f>'Expenditures 15-22'!K102</f>
        <v>235722</v>
      </c>
      <c r="G53" s="866"/>
    </row>
    <row r="54" spans="1:7" x14ac:dyDescent="0.2">
      <c r="A54" s="870" t="s">
        <v>479</v>
      </c>
      <c r="B54" s="870" t="s">
        <v>1551</v>
      </c>
      <c r="C54" s="890" t="s">
        <v>1039</v>
      </c>
      <c r="D54" s="886" t="s">
        <v>1157</v>
      </c>
      <c r="E54" s="869"/>
      <c r="F54" s="1939">
        <f>'Expenditures 15-22'!G114</f>
        <v>21115</v>
      </c>
      <c r="G54" s="866"/>
    </row>
    <row r="55" spans="1:7" x14ac:dyDescent="0.2">
      <c r="A55" s="870" t="s">
        <v>479</v>
      </c>
      <c r="B55" s="870" t="s">
        <v>1552</v>
      </c>
      <c r="C55" s="890" t="s">
        <v>1039</v>
      </c>
      <c r="D55" s="886" t="s">
        <v>309</v>
      </c>
      <c r="E55" s="869"/>
      <c r="F55" s="1939">
        <f>'Expenditures 15-22'!I114</f>
        <v>781</v>
      </c>
      <c r="G55" s="866"/>
    </row>
    <row r="56" spans="1:7" x14ac:dyDescent="0.2">
      <c r="A56" s="870" t="s">
        <v>480</v>
      </c>
      <c r="B56" s="870" t="s">
        <v>1553</v>
      </c>
      <c r="C56" s="887" t="str">
        <f>'Expenditures 15-22'!B130</f>
        <v>3000</v>
      </c>
      <c r="D56" s="893" t="s">
        <v>469</v>
      </c>
      <c r="E56" s="869"/>
      <c r="F56" s="1939">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9">
        <f>'Expenditures 15-22'!K139</f>
        <v>0</v>
      </c>
      <c r="G57" s="866"/>
    </row>
    <row r="58" spans="1:7" x14ac:dyDescent="0.2">
      <c r="A58" s="870" t="s">
        <v>480</v>
      </c>
      <c r="B58" s="870" t="s">
        <v>1990</v>
      </c>
      <c r="C58" s="887" t="s">
        <v>1039</v>
      </c>
      <c r="D58" s="886" t="s">
        <v>1157</v>
      </c>
      <c r="E58" s="869"/>
      <c r="F58" s="1941">
        <f>'Expenditures 15-22'!G151</f>
        <v>65196</v>
      </c>
      <c r="G58" s="866"/>
    </row>
    <row r="59" spans="1:7" x14ac:dyDescent="0.2">
      <c r="A59" s="894" t="s">
        <v>480</v>
      </c>
      <c r="B59" s="857" t="s">
        <v>1991</v>
      </c>
      <c r="C59" s="895" t="s">
        <v>1039</v>
      </c>
      <c r="D59" s="857" t="s">
        <v>309</v>
      </c>
      <c r="F59" s="1942">
        <f>'Expenditures 15-22'!I151</f>
        <v>4142</v>
      </c>
      <c r="G59" s="866"/>
    </row>
    <row r="60" spans="1:7" x14ac:dyDescent="0.2">
      <c r="A60" s="894" t="s">
        <v>520</v>
      </c>
      <c r="B60" s="857" t="s">
        <v>1992</v>
      </c>
      <c r="C60" s="895">
        <v>4000</v>
      </c>
      <c r="D60" s="857" t="s">
        <v>330</v>
      </c>
      <c r="F60" s="1940">
        <f>'Expenditures 15-22'!K160</f>
        <v>0</v>
      </c>
      <c r="G60" s="866"/>
    </row>
    <row r="61" spans="1:7" x14ac:dyDescent="0.2">
      <c r="A61" s="896" t="s">
        <v>520</v>
      </c>
      <c r="B61" s="896" t="s">
        <v>1993</v>
      </c>
      <c r="C61" s="897" t="str">
        <f>'Expenditures 15-22'!B170</f>
        <v>5300</v>
      </c>
      <c r="D61" s="898" t="s">
        <v>329</v>
      </c>
      <c r="E61" s="880"/>
      <c r="F61" s="1939">
        <f>'Expenditures 15-22'!K170</f>
        <v>132539</v>
      </c>
      <c r="G61" s="866"/>
    </row>
    <row r="62" spans="1:7" x14ac:dyDescent="0.2">
      <c r="A62" s="870" t="s">
        <v>481</v>
      </c>
      <c r="B62" s="870" t="s">
        <v>1994</v>
      </c>
      <c r="C62" s="887">
        <f>'Expenditures 15-22'!B185</f>
        <v>3000</v>
      </c>
      <c r="D62" s="877" t="s">
        <v>469</v>
      </c>
      <c r="E62" s="869"/>
      <c r="F62" s="1939">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1996</v>
      </c>
      <c r="C64" s="897" t="str">
        <f>'Expenditures 15-22'!B206</f>
        <v>5300</v>
      </c>
      <c r="D64" s="893" t="s">
        <v>329</v>
      </c>
      <c r="E64" s="869"/>
      <c r="F64" s="1939">
        <f>'Expenditures 15-22'!K206</f>
        <v>0</v>
      </c>
      <c r="G64" s="866"/>
    </row>
    <row r="65" spans="1:8" x14ac:dyDescent="0.2">
      <c r="A65" s="870" t="s">
        <v>481</v>
      </c>
      <c r="B65" s="870" t="s">
        <v>1997</v>
      </c>
      <c r="C65" s="887" t="s">
        <v>1039</v>
      </c>
      <c r="D65" s="886" t="s">
        <v>1157</v>
      </c>
      <c r="E65" s="869"/>
      <c r="F65" s="1939">
        <f>'Expenditures 15-22'!G210</f>
        <v>0</v>
      </c>
      <c r="G65" s="866"/>
    </row>
    <row r="66" spans="1:8" x14ac:dyDescent="0.2">
      <c r="A66" s="870" t="s">
        <v>481</v>
      </c>
      <c r="B66" s="870" t="s">
        <v>1998</v>
      </c>
      <c r="C66" s="887" t="s">
        <v>1039</v>
      </c>
      <c r="D66" s="886" t="s">
        <v>309</v>
      </c>
      <c r="E66" s="869"/>
      <c r="F66" s="1939">
        <f>'Expenditures 15-22'!I210</f>
        <v>0</v>
      </c>
      <c r="G66" s="866"/>
    </row>
    <row r="67" spans="1:8" x14ac:dyDescent="0.2">
      <c r="A67" s="870" t="s">
        <v>482</v>
      </c>
      <c r="B67" s="870" t="s">
        <v>1999</v>
      </c>
      <c r="C67" s="887" t="str">
        <f>'Expenditures 15-22'!B216</f>
        <v>1125</v>
      </c>
      <c r="D67" s="893" t="str">
        <f>'Expenditures 15-22'!A216</f>
        <v>Pre-K Programs</v>
      </c>
      <c r="E67" s="869"/>
      <c r="F67" s="1939">
        <f>'Expenditures 15-22'!K216</f>
        <v>0</v>
      </c>
      <c r="G67" s="866"/>
    </row>
    <row r="68" spans="1:8" x14ac:dyDescent="0.2">
      <c r="A68" s="870" t="s">
        <v>482</v>
      </c>
      <c r="B68" s="870" t="s">
        <v>1554</v>
      </c>
      <c r="C68" s="887" t="str">
        <f>'Expenditures 15-22'!B218</f>
        <v>1225</v>
      </c>
      <c r="D68" s="893" t="str">
        <f>'Expenditures 15-22'!A218</f>
        <v>Special Education Programs - Pre-K</v>
      </c>
      <c r="E68" s="869"/>
      <c r="F68" s="1939">
        <f>'Expenditures 15-22'!K218</f>
        <v>6265</v>
      </c>
      <c r="G68" s="866"/>
    </row>
    <row r="69" spans="1:8" x14ac:dyDescent="0.2">
      <c r="A69" s="870" t="s">
        <v>482</v>
      </c>
      <c r="B69" s="870" t="s">
        <v>2000</v>
      </c>
      <c r="C69" s="887" t="str">
        <f>'Expenditures 15-22'!B220</f>
        <v>1275</v>
      </c>
      <c r="D69" s="893" t="str">
        <f>'Expenditures 15-22'!A220</f>
        <v>Remedial and Supplemental Programs - Pre-K</v>
      </c>
      <c r="E69" s="869"/>
      <c r="F69" s="1939">
        <f>'Expenditures 15-22'!K220</f>
        <v>11</v>
      </c>
      <c r="G69" s="866"/>
    </row>
    <row r="70" spans="1:8" x14ac:dyDescent="0.2">
      <c r="A70" s="870" t="s">
        <v>482</v>
      </c>
      <c r="B70" s="870" t="s">
        <v>2001</v>
      </c>
      <c r="C70" s="887">
        <f>'Expenditures 15-22'!B221</f>
        <v>1300</v>
      </c>
      <c r="D70" s="888" t="str">
        <f>'Expenditures 15-22'!A221</f>
        <v>Adult/Continuing Education Programs</v>
      </c>
      <c r="E70" s="869"/>
      <c r="F70" s="1939">
        <f>'Expenditures 15-22'!K221</f>
        <v>0</v>
      </c>
      <c r="G70" s="866"/>
    </row>
    <row r="71" spans="1:8" x14ac:dyDescent="0.2">
      <c r="A71" s="870" t="s">
        <v>482</v>
      </c>
      <c r="B71" s="870" t="s">
        <v>2002</v>
      </c>
      <c r="C71" s="887">
        <f>'Expenditures 15-22'!B224</f>
        <v>1600</v>
      </c>
      <c r="D71" s="888" t="str">
        <f>'Expenditures 15-22'!A224</f>
        <v>Summer School Programs</v>
      </c>
      <c r="E71" s="869"/>
      <c r="F71" s="1939">
        <f>'Expenditures 15-22'!K224</f>
        <v>0</v>
      </c>
      <c r="G71" s="866"/>
    </row>
    <row r="72" spans="1:8" x14ac:dyDescent="0.2">
      <c r="A72" s="870" t="s">
        <v>482</v>
      </c>
      <c r="B72" s="870" t="s">
        <v>2003</v>
      </c>
      <c r="C72" s="887">
        <f>'Expenditures 15-22'!B280</f>
        <v>3000</v>
      </c>
      <c r="D72" s="877" t="s">
        <v>469</v>
      </c>
      <c r="E72" s="869"/>
      <c r="F72" s="1939">
        <f>'Expenditures 15-22'!K280</f>
        <v>309</v>
      </c>
      <c r="G72" s="866"/>
    </row>
    <row r="73" spans="1:8" x14ac:dyDescent="0.2">
      <c r="A73" s="870" t="s">
        <v>482</v>
      </c>
      <c r="B73" s="870" t="s">
        <v>2004</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2005</v>
      </c>
      <c r="C74" s="887" t="s">
        <v>915</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2006</v>
      </c>
      <c r="E76" s="1796" t="s">
        <v>1015</v>
      </c>
      <c r="F76" s="1800">
        <f>SUM(F18:F74)</f>
        <v>583319</v>
      </c>
      <c r="G76" s="866"/>
    </row>
    <row r="77" spans="1:8" s="894" customFormat="1" ht="12" customHeight="1" thickTop="1" thickBot="1" x14ac:dyDescent="0.25">
      <c r="A77" s="1801"/>
      <c r="B77" s="1798"/>
      <c r="C77" s="1794"/>
      <c r="D77" s="1799" t="s">
        <v>2007</v>
      </c>
      <c r="E77" s="1796"/>
      <c r="F77" s="1802">
        <f>(F14-F76)</f>
        <v>8998243</v>
      </c>
      <c r="G77" s="870"/>
    </row>
    <row r="78" spans="1:8" s="894" customFormat="1" ht="12" customHeight="1" thickTop="1" x14ac:dyDescent="0.2">
      <c r="A78" s="1803"/>
      <c r="B78" s="1798"/>
      <c r="C78" s="1794"/>
      <c r="D78" s="1799" t="s">
        <v>2054</v>
      </c>
      <c r="E78" s="1796"/>
      <c r="F78" s="899">
        <v>1023</v>
      </c>
      <c r="G78" s="900"/>
      <c r="H78" s="870"/>
    </row>
    <row r="79" spans="1:8" s="894" customFormat="1" ht="12" customHeight="1" thickBot="1" x14ac:dyDescent="0.25">
      <c r="A79" s="1804"/>
      <c r="B79" s="1798"/>
      <c r="C79" s="1794"/>
      <c r="D79" s="1799" t="s">
        <v>2008</v>
      </c>
      <c r="E79" s="1796" t="s">
        <v>1015</v>
      </c>
      <c r="F79" s="1805">
        <f>IF(F78&gt;0,F77/F78," Complete Line 78")</f>
        <v>8795.9364613880734</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19056</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11529</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194131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10056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326879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21430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19576</v>
      </c>
      <c r="G128" s="931"/>
    </row>
    <row r="129" spans="1:7" x14ac:dyDescent="0.2">
      <c r="A129" s="928" t="s">
        <v>685</v>
      </c>
      <c r="B129" s="928" t="s">
        <v>803</v>
      </c>
      <c r="C129" s="933">
        <v>4200</v>
      </c>
      <c r="D129" s="930" t="str">
        <f>'Revenues 9-14'!A201</f>
        <v>Total Food Service</v>
      </c>
      <c r="E129" s="907"/>
      <c r="F129" s="1811">
        <f>SUM('Revenues 9-14'!C201,'Revenues 9-14'!G201)</f>
        <v>567208</v>
      </c>
      <c r="G129" s="931"/>
    </row>
    <row r="130" spans="1:7" x14ac:dyDescent="0.2">
      <c r="A130" s="928" t="s">
        <v>689</v>
      </c>
      <c r="B130" s="928" t="s">
        <v>804</v>
      </c>
      <c r="C130" s="933">
        <v>4300</v>
      </c>
      <c r="D130" s="934" t="str">
        <f>'Revenues 9-14'!A211</f>
        <v>Total Title I</v>
      </c>
      <c r="E130" s="907"/>
      <c r="F130" s="1811">
        <f>SUM('Revenues 9-14'!C211,'Revenues 9-14'!D211,'Revenues 9-14'!F211,'Revenues 9-14'!G211)</f>
        <v>431425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85516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1563</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1540</v>
      </c>
      <c r="C163" s="941" t="s">
        <v>1541</v>
      </c>
      <c r="D163" s="942" t="s">
        <v>1542</v>
      </c>
      <c r="E163" s="943"/>
      <c r="F163" s="1811">
        <f>SUM('Revenues 9-14'!C261:H261,'Revenues 9-14'!J261:K261)</f>
        <v>0</v>
      </c>
      <c r="G163" s="906"/>
    </row>
    <row r="164" spans="1:7" x14ac:dyDescent="0.2">
      <c r="A164" s="928" t="s">
        <v>1067</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65515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8964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72291</v>
      </c>
      <c r="G173" s="948"/>
    </row>
    <row r="174" spans="1:7" x14ac:dyDescent="0.2">
      <c r="A174" s="949" t="s">
        <v>689</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2053</v>
      </c>
      <c r="C175" s="1946">
        <v>3100</v>
      </c>
      <c r="D175" s="1947" t="s">
        <v>2056</v>
      </c>
      <c r="E175" s="907"/>
      <c r="F175" s="1931">
        <v>405518</v>
      </c>
      <c r="G175" s="928"/>
    </row>
    <row r="176" spans="1:7" x14ac:dyDescent="0.2">
      <c r="A176" s="1944" t="s">
        <v>685</v>
      </c>
      <c r="B176" s="1945" t="s">
        <v>2053</v>
      </c>
      <c r="C176" s="1946">
        <v>3300</v>
      </c>
      <c r="D176" s="1947" t="s">
        <v>2057</v>
      </c>
      <c r="E176" s="907"/>
      <c r="F176" s="1931">
        <v>1178</v>
      </c>
      <c r="G176" s="928"/>
    </row>
    <row r="177" spans="1:7" ht="6" customHeight="1" x14ac:dyDescent="0.2">
      <c r="A177" s="928"/>
      <c r="B177" s="928"/>
      <c r="C177" s="950"/>
      <c r="D177" s="928"/>
      <c r="E177" s="907"/>
      <c r="F177" s="951"/>
      <c r="G177" s="948"/>
    </row>
    <row r="178" spans="1:7" x14ac:dyDescent="0.2">
      <c r="A178" s="1792"/>
      <c r="B178" s="1806"/>
      <c r="C178" s="1807"/>
      <c r="D178" s="1808" t="s">
        <v>2009</v>
      </c>
      <c r="E178" s="1809" t="s">
        <v>1015</v>
      </c>
      <c r="F178" s="1810">
        <f>SUM(F84:F136,F161:F176)</f>
        <v>2240272</v>
      </c>
    </row>
    <row r="179" spans="1:7" ht="12" customHeight="1" x14ac:dyDescent="0.2">
      <c r="A179" s="1792"/>
      <c r="B179" s="1806"/>
      <c r="C179" s="1807"/>
      <c r="D179" s="1808" t="s">
        <v>2010</v>
      </c>
      <c r="E179" s="1809"/>
      <c r="F179" s="1811">
        <f>'PCTC-OEPP 27-28'!F77-F178</f>
        <v>6757971</v>
      </c>
    </row>
    <row r="180" spans="1:7" ht="12" customHeight="1" x14ac:dyDescent="0.2">
      <c r="A180" s="1792"/>
      <c r="B180" s="1806"/>
      <c r="C180" s="1807"/>
      <c r="D180" s="1808" t="s">
        <v>1919</v>
      </c>
      <c r="E180" s="1809"/>
      <c r="F180" s="1811">
        <f>'Cap Outlay Deprec 26'!I18</f>
        <v>324770.09999999998</v>
      </c>
    </row>
    <row r="181" spans="1:7" ht="12" customHeight="1" x14ac:dyDescent="0.2">
      <c r="A181" s="1792"/>
      <c r="B181" s="1806"/>
      <c r="C181" s="1807"/>
      <c r="D181" s="1808" t="s">
        <v>2011</v>
      </c>
      <c r="E181" s="1809"/>
      <c r="F181" s="1811">
        <f>F179+F180</f>
        <v>7082741.0999999996</v>
      </c>
    </row>
    <row r="182" spans="1:7" ht="12" customHeight="1" x14ac:dyDescent="0.2">
      <c r="A182" s="1792"/>
      <c r="B182" s="1812"/>
      <c r="C182" s="1807"/>
      <c r="D182" s="1808" t="str">
        <f>D78</f>
        <v>9 Month ADA from District Average Daily Attendance/Prior General State Aid Inquiry 2017-2018</v>
      </c>
      <c r="E182" s="1809"/>
      <c r="F182" s="1813">
        <f>'PCTC-OEPP 27-28'!F78</f>
        <v>1023</v>
      </c>
      <c r="G182" s="931"/>
    </row>
    <row r="183" spans="1:7" ht="12" customHeight="1" thickBot="1" x14ac:dyDescent="0.25">
      <c r="A183" s="1792"/>
      <c r="B183" s="1812"/>
      <c r="C183" s="1807"/>
      <c r="D183" s="1808" t="s">
        <v>2012</v>
      </c>
      <c r="E183" s="1809" t="s">
        <v>1625</v>
      </c>
      <c r="F183" s="1814">
        <f>F181/F182</f>
        <v>6923.5005865102639</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8" customFormat="1" ht="12.2" customHeight="1" x14ac:dyDescent="0.2">
      <c r="A186" s="1948" t="s">
        <v>2060</v>
      </c>
      <c r="B186" s="1949"/>
      <c r="C186" s="1950"/>
      <c r="D186" s="1949"/>
      <c r="E186" s="1950"/>
      <c r="F186" s="1949"/>
      <c r="G186" s="1949"/>
    </row>
    <row r="187" spans="1:7" s="1948" customFormat="1" ht="12.2" customHeight="1" x14ac:dyDescent="0.2">
      <c r="A187" s="1951" t="s">
        <v>2061</v>
      </c>
      <c r="C187" s="1950"/>
      <c r="D187" s="1949"/>
      <c r="E187" s="1950"/>
      <c r="F187" s="1949"/>
      <c r="G187" s="1949"/>
    </row>
    <row r="188" spans="1:7" ht="12" customHeight="1" x14ac:dyDescent="0.2">
      <c r="C188" s="950"/>
      <c r="D188" s="931"/>
      <c r="E188" s="950"/>
      <c r="F188" s="931"/>
      <c r="G188" s="931"/>
    </row>
    <row r="189" spans="1:7" x14ac:dyDescent="0.2">
      <c r="A189" s="1952" t="s">
        <v>2059</v>
      </c>
      <c r="B189" s="1953"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1" sqref="B21"/>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1935</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3" t="s">
        <v>1920</v>
      </c>
      <c r="B4" s="2294"/>
      <c r="C4" s="2294"/>
      <c r="D4" s="2294"/>
      <c r="E4" s="2294"/>
      <c r="F4" s="2294"/>
      <c r="G4" s="2295"/>
    </row>
    <row r="5" spans="1:7" x14ac:dyDescent="0.25">
      <c r="A5" s="2296"/>
      <c r="B5" s="2297"/>
      <c r="C5" s="2297"/>
      <c r="D5" s="2297"/>
      <c r="E5" s="2297"/>
      <c r="F5" s="2297"/>
      <c r="G5" s="2298"/>
    </row>
    <row r="6" spans="1:7" ht="18.75" x14ac:dyDescent="0.25">
      <c r="A6" s="1556" t="s">
        <v>1921</v>
      </c>
      <c r="B6" s="1557"/>
      <c r="C6" s="1557"/>
      <c r="D6" s="1557"/>
      <c r="E6" s="1557"/>
      <c r="F6" s="1557"/>
      <c r="G6" s="1558"/>
    </row>
    <row r="7" spans="1:7" ht="30.75" customHeight="1" x14ac:dyDescent="0.25">
      <c r="A7" s="2299" t="s">
        <v>2070</v>
      </c>
      <c r="B7" s="2300"/>
      <c r="C7" s="2300"/>
      <c r="D7" s="2300"/>
      <c r="E7" s="2300"/>
      <c r="F7" s="2300"/>
      <c r="G7" s="2301"/>
    </row>
    <row r="8" spans="1:7" ht="15.75" customHeight="1" x14ac:dyDescent="0.25">
      <c r="A8" s="2302" t="s">
        <v>2019</v>
      </c>
      <c r="B8" s="2303"/>
      <c r="C8" s="2303"/>
      <c r="D8" s="2303"/>
      <c r="E8" s="2303"/>
      <c r="F8" s="2303"/>
      <c r="G8" s="2304"/>
    </row>
    <row r="9" spans="1:7" ht="35.25" customHeight="1" x14ac:dyDescent="0.25">
      <c r="A9" s="2299" t="s">
        <v>2018</v>
      </c>
      <c r="B9" s="2300"/>
      <c r="C9" s="2300"/>
      <c r="D9" s="2300"/>
      <c r="E9" s="2300"/>
      <c r="F9" s="2300"/>
      <c r="G9" s="2301"/>
    </row>
    <row r="10" spans="1:7" ht="15" customHeight="1" x14ac:dyDescent="0.25">
      <c r="A10" s="1559" t="s">
        <v>1922</v>
      </c>
      <c r="B10" s="1560"/>
      <c r="C10" s="1560"/>
      <c r="D10" s="1560"/>
      <c r="E10" s="1560"/>
      <c r="F10" s="1560"/>
      <c r="G10" s="1561"/>
    </row>
    <row r="11" spans="1:7" ht="17.25" customHeight="1" x14ac:dyDescent="0.25">
      <c r="A11" s="2299" t="s">
        <v>1936</v>
      </c>
      <c r="B11" s="2300"/>
      <c r="C11" s="2300"/>
      <c r="D11" s="2300"/>
      <c r="E11" s="2300"/>
      <c r="F11" s="2300"/>
      <c r="G11" s="2301"/>
    </row>
    <row r="12" spans="1:7" ht="15" customHeight="1" x14ac:dyDescent="0.25">
      <c r="A12" s="1559" t="s">
        <v>1927</v>
      </c>
      <c r="B12" s="1560"/>
      <c r="C12" s="1560"/>
      <c r="D12" s="1560"/>
      <c r="E12" s="1560"/>
      <c r="F12" s="1560"/>
      <c r="G12" s="1561"/>
    </row>
    <row r="13" spans="1:7" ht="32.25" customHeight="1" x14ac:dyDescent="0.25">
      <c r="A13" s="2290" t="s">
        <v>1928</v>
      </c>
      <c r="B13" s="2291"/>
      <c r="C13" s="2291"/>
      <c r="D13" s="2291"/>
      <c r="E13" s="2291"/>
      <c r="F13" s="2291"/>
      <c r="G13" s="2292"/>
    </row>
    <row r="14" spans="1:7" x14ac:dyDescent="0.25">
      <c r="A14" s="1683" t="s">
        <v>1937</v>
      </c>
      <c r="B14" s="1684"/>
      <c r="C14" s="1684"/>
      <c r="D14" s="1684"/>
      <c r="E14" s="1684"/>
      <c r="F14" s="1684"/>
      <c r="G14" s="1685"/>
    </row>
    <row r="15" spans="1:7" ht="61.5" customHeight="1" x14ac:dyDescent="0.25">
      <c r="A15" s="1568" t="s">
        <v>1929</v>
      </c>
      <c r="B15" s="1568" t="s">
        <v>1930</v>
      </c>
      <c r="C15" s="1568" t="s">
        <v>1931</v>
      </c>
      <c r="D15" s="1569" t="s">
        <v>1932</v>
      </c>
      <c r="E15" s="1569" t="s">
        <v>1923</v>
      </c>
      <c r="F15" s="1569" t="s">
        <v>1933</v>
      </c>
      <c r="G15" s="1569" t="s">
        <v>1934</v>
      </c>
    </row>
    <row r="16" spans="1:7" x14ac:dyDescent="0.25">
      <c r="A16" s="1670" t="s">
        <v>1938</v>
      </c>
      <c r="B16" s="1671" t="s">
        <v>1926</v>
      </c>
      <c r="C16" s="1672" t="s">
        <v>1924</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2092</v>
      </c>
      <c r="B17" s="1959" t="s">
        <v>2185</v>
      </c>
      <c r="C17" s="1957" t="s">
        <v>2093</v>
      </c>
      <c r="D17" s="1956">
        <v>332781</v>
      </c>
      <c r="E17" s="1562">
        <f t="shared" ref="E17:E141" si="1">IF(D17&lt;=25000,D17,IF(D17&gt;25000,25000,0))</f>
        <v>25000</v>
      </c>
      <c r="F17" s="1815">
        <f t="shared" si="0"/>
        <v>25000</v>
      </c>
      <c r="G17" s="1816">
        <f>IF(F17=0,0,D17-F17)</f>
        <v>307781</v>
      </c>
      <c r="H17" s="1669"/>
    </row>
    <row r="18" spans="1:8" x14ac:dyDescent="0.25">
      <c r="A18" s="1958" t="s">
        <v>2094</v>
      </c>
      <c r="B18" s="1959" t="s">
        <v>2185</v>
      </c>
      <c r="C18" s="1957" t="s">
        <v>2093</v>
      </c>
      <c r="D18" s="1956">
        <v>126436</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101436</v>
      </c>
    </row>
    <row r="19" spans="1:8" x14ac:dyDescent="0.25">
      <c r="A19" s="1958" t="s">
        <v>2095</v>
      </c>
      <c r="B19" s="1959" t="s">
        <v>2185</v>
      </c>
      <c r="C19" s="1957" t="s">
        <v>2093</v>
      </c>
      <c r="D19" s="1956">
        <v>16669</v>
      </c>
      <c r="E19" s="1562">
        <f t="shared" si="2"/>
        <v>16669</v>
      </c>
      <c r="F19" s="1815">
        <f t="shared" si="3"/>
        <v>16669</v>
      </c>
      <c r="G19" s="1816">
        <f t="shared" si="4"/>
        <v>0</v>
      </c>
    </row>
    <row r="20" spans="1:8" x14ac:dyDescent="0.25">
      <c r="A20" s="1958" t="s">
        <v>2096</v>
      </c>
      <c r="B20" s="1959" t="s">
        <v>2186</v>
      </c>
      <c r="C20" s="1957" t="s">
        <v>2097</v>
      </c>
      <c r="D20" s="1956">
        <v>322597</v>
      </c>
      <c r="E20" s="1562">
        <f t="shared" si="2"/>
        <v>25000</v>
      </c>
      <c r="F20" s="1815">
        <f t="shared" si="3"/>
        <v>25000</v>
      </c>
      <c r="G20" s="1816">
        <f t="shared" si="4"/>
        <v>297597</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798483</v>
      </c>
      <c r="E141" s="1563">
        <f t="shared" si="1"/>
        <v>25000</v>
      </c>
      <c r="F141" s="1817">
        <f>SUM(F17:F140)</f>
        <v>91669</v>
      </c>
      <c r="G141" s="1818">
        <f>SUM(G17:G140)</f>
        <v>706814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1777</v>
      </c>
      <c r="B5" s="2306"/>
      <c r="C5" s="2306"/>
      <c r="D5" s="2306"/>
      <c r="E5" s="2306"/>
      <c r="F5" s="2306"/>
      <c r="G5" s="230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v>211201</v>
      </c>
      <c r="F10" s="975"/>
      <c r="G10" s="976"/>
      <c r="H10" s="162"/>
      <c r="I10" s="162"/>
    </row>
    <row r="11" spans="1:9" s="669" customFormat="1" ht="22.5" customHeight="1" x14ac:dyDescent="0.2">
      <c r="A11" s="2310" t="s">
        <v>1940</v>
      </c>
      <c r="B11" s="2311"/>
      <c r="C11" s="2311"/>
      <c r="D11" s="2312"/>
      <c r="E11" s="978">
        <v>56045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5925152</v>
      </c>
      <c r="F19" s="1822"/>
      <c r="G19" s="1824">
        <f>'Expenditures 15-22'!K33-SUM('Expenditures 15-22'!G33,'Expenditures 15-22'!I33)+'Expenditures 15-22'!D229</f>
        <v>5925152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195605</v>
      </c>
      <c r="F21" s="1825"/>
      <c r="G21" s="1828">
        <f>'Expenditures 15-22'!K42-SUM('Expenditures 15-22'!G42,'Expenditures 15-22'!I42)+'Expenditures 15-22'!K120-SUM('Expenditures 15-22'!G120,'Expenditures 15-22'!I120)+'Expenditures 15-22'!K180-SUM('Expenditures 15-22'!G180,'Expenditures 15-22'!I180)+'Expenditures 15-22'!D238</f>
        <v>195605</v>
      </c>
      <c r="H21" s="988"/>
      <c r="I21" s="162"/>
    </row>
    <row r="22" spans="1:9" s="669" customFormat="1" ht="12" customHeight="1" x14ac:dyDescent="0.2">
      <c r="A22" s="995" t="s">
        <v>585</v>
      </c>
      <c r="B22" s="996"/>
      <c r="C22" s="994">
        <v>2200</v>
      </c>
      <c r="D22" s="1825"/>
      <c r="E22" s="1827">
        <f>'Expenditures 15-22'!K47-SUM('Expenditures 15-22'!G47,'Expenditures 15-22'!I47)+'Expenditures 15-22'!D243</f>
        <v>109667</v>
      </c>
      <c r="F22" s="1825"/>
      <c r="G22" s="1828">
        <f>'Expenditures 15-22'!K47-SUM('Expenditures 15-22'!G47,'Expenditures 15-22'!I47)+'Expenditures 15-22'!D243</f>
        <v>109667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568481</v>
      </c>
      <c r="F23" s="1825"/>
      <c r="G23" s="1827">
        <f>'Expenditures 15-22'!K53-SUM('Expenditures 15-22'!G53,'Expenditures 15-22'!I53)+'Expenditures 15-22'!D257+'Expenditures 15-22'!K330-SUM('Expenditures 15-22'!G330,'Expenditures 15-22'!I330)</f>
        <v>568481</v>
      </c>
      <c r="H23" s="988"/>
      <c r="I23" s="162"/>
    </row>
    <row r="24" spans="1:9" s="669" customFormat="1" ht="12" customHeight="1" x14ac:dyDescent="0.2">
      <c r="A24" s="995" t="s">
        <v>587</v>
      </c>
      <c r="B24" s="996"/>
      <c r="C24" s="994">
        <v>2400</v>
      </c>
      <c r="D24" s="1825"/>
      <c r="E24" s="1827">
        <f>'Expenditures 15-22'!K57-SUM('Expenditures 15-22'!G57,'Expenditures 15-22'!I57)+'Expenditures 15-22'!D261</f>
        <v>472636</v>
      </c>
      <c r="F24" s="1825"/>
      <c r="G24" s="1828">
        <f>'Expenditures 15-22'!K57-SUM('Expenditures 15-22'!G57,'Expenditures 15-22'!I57)+'Expenditures 15-22'!D261</f>
        <v>472636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84187</v>
      </c>
      <c r="E26" s="1827">
        <f>'Expenditures 15-22'!K122-SUM('Expenditures 15-22'!G122,'Expenditures 15-22'!I122)+E7</f>
        <v>0</v>
      </c>
      <c r="F26" s="1827">
        <f>'Expenditures 15-22'!K59-SUM('Expenditures 15-22'!G59,'Expenditures 15-22'!I59)+'Expenditures 15-22'!D263-E7</f>
        <v>84187</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778433</v>
      </c>
      <c r="F28" s="1829">
        <f>'Expenditures 15-22'!K61-SUM('Expenditures 15-22'!G61,'Expenditures 15-22'!I61)+'Expenditures 15-22'!K124-SUM('Expenditures 15-22'!G124,'Expenditures 15-22'!I124)+'Expenditures 15-22'!D266-E9</f>
        <v>778433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483645</v>
      </c>
      <c r="F29" s="1825"/>
      <c r="G29" s="1828">
        <f>'Expenditures 15-22'!K62-SUM('Expenditures 15-22'!G62,'Expenditures 15-22'!I62)+'Expenditures 15-22'!K125-SUM('Expenditures 15-22'!G125,'Expenditures 15-22'!I125)+'Expenditures 15-22'!K182-SUM('Expenditures 15-22'!G182,'Expenditures 15-22'!I182)+'Expenditures 15-22'!D267</f>
        <v>483645</v>
      </c>
      <c r="H29" s="986"/>
    </row>
    <row r="30" spans="1:9" ht="12" customHeight="1" x14ac:dyDescent="0.2">
      <c r="A30" s="995" t="s">
        <v>102</v>
      </c>
      <c r="B30" s="998"/>
      <c r="C30" s="994">
        <v>2560</v>
      </c>
      <c r="D30" s="1825"/>
      <c r="E30" s="1827">
        <f>'Expenditures 15-22'!K63-SUM('Expenditures 15-22'!G63,'Expenditures 15-22'!I63)+'Expenditures 15-22'!D268-E10</f>
        <v>184216</v>
      </c>
      <c r="F30" s="1825"/>
      <c r="G30" s="1827">
        <f>'Expenditures 15-22'!K63-SUM('Expenditures 15-22'!G63,'Expenditures 15-22'!I63)+'Expenditures 15-22'!D268-E10</f>
        <v>184216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6778</v>
      </c>
      <c r="F34" s="1825"/>
      <c r="G34" s="1827">
        <f>'Expenditures 15-22'!K68-SUM('Expenditures 15-22'!G68,'Expenditures 15-22'!I68)+'Expenditures 15-22'!D273</f>
        <v>6778</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9961</v>
      </c>
      <c r="F38" s="1825"/>
      <c r="G38" s="1827">
        <f>'Expenditures 15-22'!K73-SUM('Expenditures 15-22'!G73,'Expenditures 15-22'!I73)+'Expenditures 15-22'!K128-SUM('Expenditures 15-22'!G128,'Expenditures 15-22'!I128)+'Expenditures 15-22'!K183-SUM('Expenditures 15-22'!G183,'Expenditures 15-22'!I183)+'Expenditures 15-22'!D278</f>
        <v>9961</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4144</v>
      </c>
      <c r="F39" s="1825"/>
      <c r="G39" s="1827">
        <f>'Expenditures 15-22'!K75-SUM('Expenditures 15-22'!G75,'Expenditures 15-22'!I75)+'Expenditures 15-22'!K130-SUM('Expenditures 15-22'!G130,'Expenditures 15-22'!I130)+'Expenditures 15-22'!K185-SUM('Expenditures 15-22'!G185,'Expenditures 15-22'!I185)+'Expenditures 15-22'!D280</f>
        <v>4144</v>
      </c>
    </row>
    <row r="40" spans="1:7" ht="12" customHeight="1" x14ac:dyDescent="0.2">
      <c r="A40" s="991" t="s">
        <v>1925</v>
      </c>
      <c r="B40" s="992"/>
      <c r="C40" s="994"/>
      <c r="D40" s="1825"/>
      <c r="E40" s="1829">
        <f>-'Contracts Paid in CY 29'!G141</f>
        <v>-706814</v>
      </c>
      <c r="F40" s="1825"/>
      <c r="G40" s="1829">
        <f>-'Contracts Paid in CY 29'!G141</f>
        <v>-706814</v>
      </c>
    </row>
    <row r="41" spans="1:7" ht="12" customHeight="1" x14ac:dyDescent="0.2">
      <c r="A41" s="999" t="s">
        <v>158</v>
      </c>
      <c r="B41" s="1000"/>
      <c r="C41" s="1001"/>
      <c r="D41" s="1829">
        <f>SUM(D19:D39)</f>
        <v>84187</v>
      </c>
      <c r="E41" s="1829">
        <f>SUM(E19:E40)</f>
        <v>8031904</v>
      </c>
      <c r="F41" s="1829">
        <f>SUM(F19:F39)</f>
        <v>862620</v>
      </c>
      <c r="G41" s="1829">
        <f>SUM(G19:G40)</f>
        <v>7253471</v>
      </c>
    </row>
    <row r="42" spans="1:7" x14ac:dyDescent="0.2">
      <c r="A42" s="988"/>
      <c r="B42" s="162"/>
      <c r="C42" s="1002"/>
      <c r="D42" s="2308" t="s">
        <v>543</v>
      </c>
      <c r="E42" s="2309"/>
      <c r="F42" s="1003" t="s">
        <v>544</v>
      </c>
      <c r="G42" s="1004"/>
    </row>
    <row r="43" spans="1:7" ht="12" customHeight="1" x14ac:dyDescent="0.2">
      <c r="A43" s="988"/>
      <c r="B43" s="162"/>
      <c r="C43" s="1002"/>
      <c r="D43" s="1830" t="s">
        <v>493</v>
      </c>
      <c r="E43" s="1831">
        <f>D41</f>
        <v>84187</v>
      </c>
      <c r="F43" s="1830" t="s">
        <v>495</v>
      </c>
      <c r="G43" s="1831">
        <f>F41</f>
        <v>862620</v>
      </c>
    </row>
    <row r="44" spans="1:7" ht="12" customHeight="1" x14ac:dyDescent="0.2">
      <c r="A44" s="988"/>
      <c r="B44" s="162"/>
      <c r="C44" s="1002"/>
      <c r="D44" s="1830" t="s">
        <v>494</v>
      </c>
      <c r="E44" s="1831">
        <f>E41</f>
        <v>8031904</v>
      </c>
      <c r="F44" s="1830" t="s">
        <v>494</v>
      </c>
      <c r="G44" s="1831">
        <f>G41</f>
        <v>7253471</v>
      </c>
    </row>
    <row r="45" spans="1:7" ht="12" customHeight="1" x14ac:dyDescent="0.2">
      <c r="A45" s="988"/>
      <c r="B45" s="162"/>
      <c r="C45" s="162"/>
      <c r="D45" s="1832" t="s">
        <v>1063</v>
      </c>
      <c r="E45" s="1833">
        <f>(E43/E44)</f>
        <v>1.0481574480969893E-2</v>
      </c>
      <c r="F45" s="1832" t="s">
        <v>1063</v>
      </c>
      <c r="G45" s="1833">
        <f>(G43/G44)</f>
        <v>0.11892513253310036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7" t="s">
        <v>1446</v>
      </c>
      <c r="B1" s="2327"/>
      <c r="C1" s="2327"/>
      <c r="D1" s="2327"/>
      <c r="E1" s="2327"/>
      <c r="F1" s="2327"/>
    </row>
    <row r="2" spans="1:10" x14ac:dyDescent="0.2">
      <c r="A2" s="1912" t="s">
        <v>2043</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28" t="s">
        <v>1626</v>
      </c>
      <c r="B5" s="2329"/>
      <c r="C5" s="2330"/>
      <c r="D5" s="2330"/>
      <c r="E5" s="2330"/>
      <c r="F5" s="2330"/>
    </row>
    <row r="6" spans="1:10" ht="12" customHeight="1" x14ac:dyDescent="0.25">
      <c r="A6" s="1875"/>
      <c r="B6" s="1876"/>
      <c r="C6" s="2331" t="str">
        <f>COVER!A17</f>
        <v>Benton CCSD 47</v>
      </c>
      <c r="D6" s="2331"/>
      <c r="E6" s="2331"/>
      <c r="F6" s="1877"/>
    </row>
    <row r="7" spans="1:10" ht="11.25" customHeight="1" thickBot="1" x14ac:dyDescent="0.3">
      <c r="A7" s="1875"/>
      <c r="B7" s="1876"/>
      <c r="C7" s="2332">
        <f>COVER!A13</f>
        <v>21028047004</v>
      </c>
      <c r="D7" s="2332"/>
      <c r="E7" s="2332"/>
      <c r="F7" s="1877"/>
    </row>
    <row r="8" spans="1:10" ht="25.5" customHeight="1" thickBot="1" x14ac:dyDescent="0.25">
      <c r="A8" s="1918" t="s">
        <v>2020</v>
      </c>
      <c r="B8" s="1878" t="s">
        <v>2072</v>
      </c>
      <c r="C8" s="1914" t="s">
        <v>1779</v>
      </c>
      <c r="D8" s="1913" t="s">
        <v>1780</v>
      </c>
      <c r="E8" s="1915" t="s">
        <v>1447</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1607</v>
      </c>
      <c r="B19" s="1889"/>
      <c r="C19" s="1890"/>
      <c r="D19" s="1890"/>
      <c r="E19" s="1893"/>
      <c r="F19" s="1892"/>
      <c r="H19" s="1903">
        <f t="shared" si="0"/>
        <v>0</v>
      </c>
      <c r="I19" s="1903">
        <f t="shared" si="1"/>
        <v>0</v>
      </c>
      <c r="J19" s="1903">
        <f t="shared" si="2"/>
        <v>0</v>
      </c>
    </row>
    <row r="20" spans="1:12" ht="12" customHeight="1" x14ac:dyDescent="0.2">
      <c r="A20" s="1888" t="s">
        <v>1608</v>
      </c>
      <c r="B20" s="1889"/>
      <c r="C20" s="1890"/>
      <c r="D20" s="1890"/>
      <c r="E20" s="1893"/>
      <c r="F20" s="1892"/>
      <c r="H20" s="1903">
        <f t="shared" si="0"/>
        <v>0</v>
      </c>
      <c r="I20" s="1903">
        <f t="shared" si="1"/>
        <v>0</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c r="D26" s="1890"/>
      <c r="E26" s="1893"/>
      <c r="F26" s="1892"/>
      <c r="H26" s="1903">
        <f t="shared" si="0"/>
        <v>0</v>
      </c>
      <c r="I26" s="1903">
        <f t="shared" si="1"/>
        <v>0</v>
      </c>
      <c r="J26" s="1903">
        <f t="shared" si="2"/>
        <v>0</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c r="D30" s="1890"/>
      <c r="E30" s="1893"/>
      <c r="F30" s="1892"/>
      <c r="H30" s="1903">
        <f t="shared" si="0"/>
        <v>0</v>
      </c>
      <c r="I30" s="1903">
        <f t="shared" si="1"/>
        <v>0</v>
      </c>
      <c r="J30" s="1903">
        <f t="shared" si="2"/>
        <v>0</v>
      </c>
    </row>
    <row r="31" spans="1:12" ht="12" customHeight="1" x14ac:dyDescent="0.2">
      <c r="A31" s="1888" t="s">
        <v>1619</v>
      </c>
      <c r="B31" s="1889"/>
      <c r="C31" s="1890"/>
      <c r="D31" s="1890"/>
      <c r="E31" s="1893"/>
      <c r="F31" s="1892"/>
      <c r="H31" s="1903">
        <f t="shared" si="0"/>
        <v>0</v>
      </c>
      <c r="I31" s="1903">
        <f t="shared" si="1"/>
        <v>0</v>
      </c>
      <c r="J31" s="1903">
        <f t="shared" si="2"/>
        <v>0</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8"/>
      <c r="B39" s="1898"/>
      <c r="C39" s="1898"/>
      <c r="D39" s="1898"/>
      <c r="E39" s="1898"/>
      <c r="F39" s="1898"/>
    </row>
    <row r="40" spans="1:11" s="1895" customFormat="1" ht="12" customHeight="1" x14ac:dyDescent="0.25">
      <c r="A40" s="1899" t="s">
        <v>1458</v>
      </c>
      <c r="B40" s="1900"/>
      <c r="C40" s="2322"/>
      <c r="D40" s="2322"/>
      <c r="E40" s="2322"/>
      <c r="F40" s="2323"/>
      <c r="H40" s="1904"/>
      <c r="I40" s="1904"/>
      <c r="J40" s="1904"/>
      <c r="K40" s="1904"/>
    </row>
    <row r="41" spans="1:11" s="1895" customFormat="1" ht="12" customHeight="1" x14ac:dyDescent="0.25">
      <c r="A41" s="2324"/>
      <c r="B41" s="2325"/>
      <c r="C41" s="2325"/>
      <c r="D41" s="2325"/>
      <c r="E41" s="2325"/>
      <c r="F41" s="2326"/>
      <c r="H41" s="1904"/>
      <c r="I41" s="1904"/>
      <c r="J41" s="1904"/>
      <c r="K41" s="1904"/>
    </row>
    <row r="42" spans="1:11" s="1895" customFormat="1" ht="12" customHeight="1" x14ac:dyDescent="0.25">
      <c r="A42" s="2324"/>
      <c r="B42" s="2325"/>
      <c r="C42" s="2325"/>
      <c r="D42" s="2325"/>
      <c r="E42" s="2325"/>
      <c r="F42" s="2326"/>
      <c r="H42" s="1904"/>
      <c r="I42" s="1904"/>
      <c r="J42" s="1904"/>
      <c r="K42" s="1904"/>
    </row>
    <row r="43" spans="1:11" s="1895" customFormat="1" ht="15" x14ac:dyDescent="0.25">
      <c r="A43" s="2313"/>
      <c r="B43" s="2314"/>
      <c r="C43" s="2314"/>
      <c r="D43" s="2314"/>
      <c r="E43" s="2314"/>
      <c r="F43" s="2315"/>
      <c r="H43" s="1904"/>
      <c r="I43" s="1904"/>
      <c r="J43" s="1904"/>
      <c r="K43" s="1904"/>
    </row>
    <row r="44" spans="1:11" s="1895" customFormat="1" ht="12" hidden="1" customHeight="1" x14ac:dyDescent="0.25">
      <c r="A44" s="2313"/>
      <c r="B44" s="2314"/>
      <c r="C44" s="2314"/>
      <c r="D44" s="2314"/>
      <c r="E44" s="2314"/>
      <c r="F44" s="231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0" t="str">
        <f>COVER!A17</f>
        <v>Benton CCSD 47</v>
      </c>
      <c r="J6" s="2341"/>
      <c r="Q6" s="1686"/>
    </row>
    <row r="7" spans="1:17" x14ac:dyDescent="0.2">
      <c r="A7" s="2342" t="s">
        <v>924</v>
      </c>
      <c r="B7" s="2343"/>
      <c r="C7" s="2343"/>
      <c r="D7" s="2343"/>
      <c r="E7" s="2344"/>
      <c r="F7" s="1018"/>
      <c r="G7" s="1010"/>
      <c r="H7" s="1017" t="s">
        <v>390</v>
      </c>
      <c r="I7" s="2345">
        <f>COVER!A13</f>
        <v>21028047004</v>
      </c>
      <c r="J7" s="234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410870</v>
      </c>
      <c r="F12" s="1040"/>
      <c r="G12" s="1834">
        <f t="shared" ref="G12:G18" si="0">SUM(E12:F12)</f>
        <v>410870</v>
      </c>
      <c r="H12" s="1041">
        <v>433700</v>
      </c>
      <c r="I12" s="1040"/>
      <c r="J12" s="1834">
        <f t="shared" ref="J12:J18" si="1">SUM(H12:I12)</f>
        <v>433700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71211</v>
      </c>
      <c r="F15" s="1834">
        <f>'Expenditures 15-22'!K122</f>
        <v>0</v>
      </c>
      <c r="G15" s="1834">
        <f t="shared" si="0"/>
        <v>71211</v>
      </c>
      <c r="H15" s="1041">
        <v>74034</v>
      </c>
      <c r="I15" s="1041"/>
      <c r="J15" s="1834">
        <f t="shared" si="1"/>
        <v>74034</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9" t="s">
        <v>7</v>
      </c>
      <c r="C18" s="2350"/>
      <c r="D18" s="2351"/>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482081</v>
      </c>
      <c r="F19" s="1836">
        <f t="shared" si="2"/>
        <v>0</v>
      </c>
      <c r="G19" s="1836">
        <f t="shared" si="2"/>
        <v>482081</v>
      </c>
      <c r="H19" s="1836">
        <f t="shared" si="2"/>
        <v>507734</v>
      </c>
      <c r="I19" s="1836">
        <f t="shared" si="2"/>
        <v>0</v>
      </c>
      <c r="J19" s="1836">
        <f t="shared" si="2"/>
        <v>507734</v>
      </c>
    </row>
    <row r="20" spans="1:10" ht="13.5" thickTop="1" x14ac:dyDescent="0.2">
      <c r="A20" s="1036">
        <v>9</v>
      </c>
      <c r="B20" s="2352" t="s">
        <v>1702</v>
      </c>
      <c r="C20" s="2352"/>
      <c r="D20" s="2353"/>
      <c r="E20" s="1047"/>
      <c r="F20" s="1047"/>
      <c r="G20" s="1047"/>
      <c r="H20" s="1047"/>
      <c r="I20" s="1047"/>
      <c r="J20" s="1837">
        <f>IF(AND(G19&gt;0,J19&gt;0),(((J19-G19)/G19)),"Enter Budget Data")</f>
        <v>5.3213049259356833E-2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1588</v>
      </c>
      <c r="G27" s="2354"/>
    </row>
    <row r="28" spans="1:10" ht="28.5" customHeight="1" x14ac:dyDescent="0.2">
      <c r="B28" s="1048"/>
      <c r="C28" s="2356" t="s">
        <v>2098</v>
      </c>
      <c r="D28" s="2356"/>
      <c r="E28" s="1055"/>
      <c r="F28" s="2356" t="s">
        <v>2086</v>
      </c>
      <c r="G28" s="2356"/>
    </row>
    <row r="29" spans="1:10" x14ac:dyDescent="0.2">
      <c r="B29" s="1048"/>
      <c r="C29" s="1056" t="s">
        <v>1641</v>
      </c>
      <c r="E29" s="1057"/>
      <c r="F29" s="2355" t="s">
        <v>1589</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1939</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5" sqref="A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2100</v>
      </c>
    </row>
    <row r="6" spans="1:2" x14ac:dyDescent="0.2">
      <c r="A6" s="1069">
        <v>2</v>
      </c>
      <c r="B6" s="329" t="s">
        <v>2099</v>
      </c>
    </row>
    <row r="7" spans="1:2" x14ac:dyDescent="0.2">
      <c r="A7" s="1069">
        <v>3</v>
      </c>
      <c r="B7" s="329" t="s">
        <v>2101</v>
      </c>
    </row>
    <row r="8" spans="1:2" x14ac:dyDescent="0.2">
      <c r="A8" s="1069">
        <v>4</v>
      </c>
      <c r="B8" s="329" t="s">
        <v>2102</v>
      </c>
    </row>
    <row r="9" spans="1:2" x14ac:dyDescent="0.2">
      <c r="A9" s="1069">
        <v>5</v>
      </c>
      <c r="B9" s="329" t="s">
        <v>2103</v>
      </c>
    </row>
    <row r="10" spans="1:2" x14ac:dyDescent="0.2">
      <c r="A10" s="1069">
        <v>6</v>
      </c>
      <c r="B10" s="329" t="s">
        <v>2104</v>
      </c>
    </row>
    <row r="11" spans="1:2" x14ac:dyDescent="0.2">
      <c r="A11" s="1069">
        <v>7</v>
      </c>
      <c r="B11" s="329" t="s">
        <v>2105</v>
      </c>
    </row>
    <row r="12" spans="1:2" x14ac:dyDescent="0.2">
      <c r="A12" s="1069">
        <v>8</v>
      </c>
      <c r="B12" s="329" t="s">
        <v>2106</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Benton CCSD 47</v>
      </c>
    </row>
    <row r="65" spans="2:2" x14ac:dyDescent="0.2">
      <c r="B65" s="1071">
        <f>COVER!A13</f>
        <v>21028047004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1707</v>
      </c>
    </row>
    <row r="22" spans="1:5" x14ac:dyDescent="0.2">
      <c r="A22" s="168"/>
      <c r="B22" s="162" t="s">
        <v>1963</v>
      </c>
      <c r="C22" s="162" t="s">
        <v>1231</v>
      </c>
      <c r="D22" s="167" t="s">
        <v>1965</v>
      </c>
      <c r="E22" s="1859" t="s">
        <v>1708</v>
      </c>
    </row>
    <row r="23" spans="1:5" x14ac:dyDescent="0.2">
      <c r="A23" s="168"/>
      <c r="B23" s="162" t="s">
        <v>1964</v>
      </c>
      <c r="D23" s="167" t="s">
        <v>658</v>
      </c>
      <c r="E23" s="1859" t="s">
        <v>1016</v>
      </c>
    </row>
    <row r="24" spans="1:5" x14ac:dyDescent="0.2">
      <c r="A24" s="168" t="s">
        <v>1706</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1601</v>
      </c>
      <c r="C31" s="162" t="s">
        <v>1231</v>
      </c>
      <c r="D31" s="167"/>
      <c r="E31" s="171"/>
    </row>
    <row r="32" spans="1:5" x14ac:dyDescent="0.2">
      <c r="B32" s="167" t="s">
        <v>1983</v>
      </c>
      <c r="C32" s="162" t="s">
        <v>1231</v>
      </c>
      <c r="D32" s="169" t="s">
        <v>1602</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1705</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7" t="s">
        <v>1874</v>
      </c>
    </row>
    <row r="60" spans="1:3" x14ac:dyDescent="0.2">
      <c r="A60" s="196"/>
      <c r="B60" s="1507" t="s">
        <v>1875</v>
      </c>
    </row>
    <row r="61" spans="1:3" ht="6" customHeight="1" x14ac:dyDescent="0.2">
      <c r="A61" s="197"/>
      <c r="B61" s="189"/>
    </row>
    <row r="62" spans="1:3" x14ac:dyDescent="0.2">
      <c r="A62" s="169" t="s">
        <v>1713</v>
      </c>
      <c r="B62" s="198" t="s">
        <v>1871</v>
      </c>
    </row>
    <row r="63" spans="1:3" x14ac:dyDescent="0.2">
      <c r="A63" s="188"/>
      <c r="B63" s="169" t="s">
        <v>1886</v>
      </c>
    </row>
    <row r="64" spans="1:3" x14ac:dyDescent="0.2">
      <c r="A64" s="195"/>
      <c r="B64" s="1509"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8" t="s">
        <v>1716</v>
      </c>
    </row>
    <row r="72" spans="1:9" ht="9" customHeight="1" x14ac:dyDescent="0.2">
      <c r="A72" s="192"/>
      <c r="B72" s="199"/>
    </row>
    <row r="73" spans="1:9" x14ac:dyDescent="0.2">
      <c r="A73" s="189" t="s">
        <v>1717</v>
      </c>
      <c r="B73" s="169" t="s">
        <v>1882</v>
      </c>
    </row>
    <row r="74" spans="1:9" x14ac:dyDescent="0.2">
      <c r="A74" s="189"/>
      <c r="B74" s="169" t="s">
        <v>1881</v>
      </c>
    </row>
    <row r="75" spans="1:9" ht="8.25" customHeight="1" x14ac:dyDescent="0.2">
      <c r="A75" s="189"/>
      <c r="B75" s="189"/>
    </row>
    <row r="76" spans="1:9" ht="12.2" customHeight="1" x14ac:dyDescent="0.2">
      <c r="A76" s="189" t="s">
        <v>1718</v>
      </c>
      <c r="B76" s="198" t="s">
        <v>1883</v>
      </c>
    </row>
    <row r="77" spans="1:9" ht="12.2" customHeight="1" x14ac:dyDescent="0.2">
      <c r="A77" s="190"/>
      <c r="B77" s="169" t="s">
        <v>1719</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59" t="s">
        <v>1783</v>
      </c>
      <c r="B18" s="23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3048000</xdr:colOff>
                <xdr:row>4</xdr:row>
                <xdr:rowOff>152400</xdr:rowOff>
              </from>
              <to>
                <xdr:col>1</xdr:col>
                <xdr:colOff>3962400</xdr:colOff>
                <xdr:row>9</xdr:row>
                <xdr:rowOff>114300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7" r:id="rId6">
          <objectPr defaultSize="0" r:id="rId7">
            <anchor moveWithCells="1">
              <from>
                <xdr:col>1</xdr:col>
                <xdr:colOff>1666875</xdr:colOff>
                <xdr:row>4</xdr:row>
                <xdr:rowOff>85725</xdr:rowOff>
              </from>
              <to>
                <xdr:col>1</xdr:col>
                <xdr:colOff>2571750</xdr:colOff>
                <xdr:row>9</xdr:row>
                <xdr:rowOff>47625</xdr:rowOff>
              </to>
            </anchor>
          </objectPr>
        </oleObject>
      </mc:Choice>
      <mc:Fallback>
        <oleObject progId="Acrobat Document" dvAspect="DVASPECT_ICON" shapeId="36867"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1789</v>
      </c>
      <c r="B1" s="2361"/>
      <c r="C1" s="2361"/>
      <c r="D1" s="2361"/>
      <c r="E1" s="2361"/>
      <c r="F1" s="2362"/>
    </row>
    <row r="2" spans="1:8" ht="45" customHeight="1" x14ac:dyDescent="0.2">
      <c r="A2" s="2370" t="s">
        <v>1790</v>
      </c>
      <c r="B2" s="2371"/>
      <c r="C2" s="2371"/>
      <c r="D2" s="2371"/>
      <c r="E2" s="2371"/>
      <c r="F2" s="2372"/>
      <c r="G2" s="1075"/>
      <c r="H2" s="1075"/>
    </row>
    <row r="3" spans="1:8" ht="57" customHeight="1" x14ac:dyDescent="0.2">
      <c r="A3" s="2373" t="s">
        <v>1785</v>
      </c>
      <c r="B3" s="2374"/>
      <c r="C3" s="2374"/>
      <c r="D3" s="2374"/>
      <c r="E3" s="2374"/>
      <c r="F3" s="2375"/>
      <c r="G3" s="1075"/>
      <c r="H3" s="1075"/>
    </row>
    <row r="4" spans="1:8" ht="14.25" customHeight="1" x14ac:dyDescent="0.2">
      <c r="A4" s="2379" t="s">
        <v>2051</v>
      </c>
      <c r="B4" s="2380"/>
      <c r="C4" s="2380"/>
      <c r="D4" s="2380"/>
      <c r="E4" s="2380"/>
      <c r="F4" s="2381"/>
      <c r="G4" s="1075"/>
      <c r="H4" s="1075"/>
    </row>
    <row r="5" spans="1:8" ht="14.25" customHeight="1" x14ac:dyDescent="0.2">
      <c r="A5" s="2382" t="s">
        <v>2052</v>
      </c>
      <c r="B5" s="2383"/>
      <c r="C5" s="2383"/>
      <c r="D5" s="2383"/>
      <c r="E5" s="2383"/>
      <c r="F5" s="2384"/>
      <c r="G5" s="1075"/>
      <c r="H5" s="1075"/>
    </row>
    <row r="6" spans="1:8" s="1076" customFormat="1" ht="41.25" customHeight="1" x14ac:dyDescent="0.2">
      <c r="A6" s="2376" t="s">
        <v>1791</v>
      </c>
      <c r="B6" s="2377"/>
      <c r="C6" s="2377"/>
      <c r="D6" s="2377"/>
      <c r="E6" s="2377"/>
      <c r="F6" s="2378"/>
    </row>
    <row r="7" spans="1:8" ht="42" customHeight="1" x14ac:dyDescent="0.2">
      <c r="A7" s="1077" t="s">
        <v>502</v>
      </c>
      <c r="B7" s="1078" t="s">
        <v>1575</v>
      </c>
      <c r="C7" s="1078" t="s">
        <v>1576</v>
      </c>
      <c r="D7" s="1078" t="s">
        <v>1574</v>
      </c>
      <c r="E7" s="1078" t="s">
        <v>1577</v>
      </c>
      <c r="F7" s="1078" t="s">
        <v>1434</v>
      </c>
    </row>
    <row r="8" spans="1:8" s="1080" customFormat="1" ht="14.25" customHeight="1" x14ac:dyDescent="0.2">
      <c r="A8" s="1079" t="s">
        <v>1435</v>
      </c>
      <c r="B8" s="1838">
        <f>'Acct Summary 7-8'!C8</f>
        <v>9010388</v>
      </c>
      <c r="C8" s="1838">
        <f>'Acct Summary 7-8'!D8</f>
        <v>298860</v>
      </c>
      <c r="D8" s="1838">
        <f>'Acct Summary 7-8'!F8</f>
        <v>563724</v>
      </c>
      <c r="E8" s="1838">
        <f>'Acct Summary 7-8'!I8</f>
        <v>45810</v>
      </c>
      <c r="F8" s="1838">
        <f>SUM(B8:E8)</f>
        <v>9918782</v>
      </c>
    </row>
    <row r="9" spans="1:8" s="1080" customFormat="1" ht="14.25" customHeight="1" thickBot="1" x14ac:dyDescent="0.25">
      <c r="A9" s="1079" t="s">
        <v>1436</v>
      </c>
      <c r="B9" s="1839">
        <f>'Acct Summary 7-8'!C17</f>
        <v>8028937</v>
      </c>
      <c r="C9" s="1839">
        <f>'Acct Summary 7-8'!D17</f>
        <v>437997</v>
      </c>
      <c r="D9" s="1839">
        <f>'Acct Summary 7-8'!F17</f>
        <v>482415</v>
      </c>
      <c r="E9" s="1838"/>
      <c r="F9" s="1838">
        <f>SUM(B9:E9)</f>
        <v>8949349</v>
      </c>
    </row>
    <row r="10" spans="1:8" s="1080" customFormat="1" ht="14.25" thickTop="1" thickBot="1" x14ac:dyDescent="0.25">
      <c r="A10" s="1081" t="s">
        <v>1437</v>
      </c>
      <c r="B10" s="1840">
        <f>(B8-B9)</f>
        <v>981451</v>
      </c>
      <c r="C10" s="1840">
        <f>(C8-C9)</f>
        <v>-139137</v>
      </c>
      <c r="D10" s="1840">
        <f>(D8-D9)</f>
        <v>81309</v>
      </c>
      <c r="E10" s="1839">
        <f>(E8-E9)</f>
        <v>45810</v>
      </c>
      <c r="F10" s="1841">
        <f>SUM(F8-F9)</f>
        <v>969433</v>
      </c>
    </row>
    <row r="11" spans="1:8" s="1080" customFormat="1" ht="14.25" thickTop="1" thickBot="1" x14ac:dyDescent="0.25">
      <c r="A11" s="1082" t="s">
        <v>1784</v>
      </c>
      <c r="B11" s="1842">
        <f>'Acct Summary 7-8'!C81</f>
        <v>2049277</v>
      </c>
      <c r="C11" s="1842">
        <f>'Acct Summary 7-8'!D81</f>
        <v>168004</v>
      </c>
      <c r="D11" s="1842">
        <f>'Acct Summary 7-8'!F81</f>
        <v>185783</v>
      </c>
      <c r="E11" s="1842">
        <f>'Acct Summary 7-8'!I81</f>
        <v>734198</v>
      </c>
      <c r="F11" s="1843">
        <f>SUM(B11:E11)</f>
        <v>3137262</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1786</v>
      </c>
      <c r="B16" s="2363"/>
      <c r="C16" s="2363"/>
      <c r="D16" s="2363"/>
      <c r="E16" s="2363"/>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5" t="s">
        <v>686</v>
      </c>
      <c r="B3" s="2386"/>
      <c r="C3" s="2386"/>
      <c r="D3" s="2387"/>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6" t="s">
        <v>1583</v>
      </c>
      <c r="D7" s="2397"/>
    </row>
    <row r="8" spans="1:4" s="669" customFormat="1" ht="12.75" x14ac:dyDescent="0.2">
      <c r="A8" s="1139"/>
      <c r="B8" s="1094"/>
      <c r="C8" s="1097" t="s">
        <v>1582</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1584</v>
      </c>
      <c r="D14" s="1138"/>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400" t="s">
        <v>332</v>
      </c>
      <c r="D21" s="2401"/>
    </row>
    <row r="22" spans="1:10" ht="12.75" x14ac:dyDescent="0.2">
      <c r="A22" s="1140"/>
      <c r="B22" s="1141">
        <v>2</v>
      </c>
      <c r="C22" s="2398" t="s">
        <v>1604</v>
      </c>
      <c r="D22" s="239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2" t="s">
        <v>557</v>
      </c>
      <c r="D43" s="240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4" t="s">
        <v>817</v>
      </c>
      <c r="D56" s="239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ERROR!</v>
      </c>
    </row>
    <row r="70" spans="1:4" x14ac:dyDescent="0.2">
      <c r="A70" s="1099"/>
      <c r="B70" s="1121">
        <f>B66+1</f>
        <v>9</v>
      </c>
      <c r="C70" s="2394" t="s">
        <v>1796</v>
      </c>
      <c r="D70" s="239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landscape"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21028047004</v>
      </c>
    </row>
    <row r="3" spans="1:2" x14ac:dyDescent="0.2">
      <c r="A3" t="s">
        <v>1013</v>
      </c>
      <c r="B3" s="138" t="str">
        <f>COVER!A15</f>
        <v>Franklin County</v>
      </c>
    </row>
    <row r="4" spans="1:2" x14ac:dyDescent="0.2">
      <c r="A4" t="s">
        <v>1064</v>
      </c>
      <c r="B4" s="138" t="str">
        <f>COVER!A17</f>
        <v>Benton CCSD 47</v>
      </c>
    </row>
    <row r="5" spans="1:2" x14ac:dyDescent="0.2">
      <c r="A5" t="s">
        <v>728</v>
      </c>
      <c r="B5" s="138" t="str">
        <f>COVER!A38</f>
        <v>Steve Smith</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497</v>
      </c>
      <c r="B14" s="138" t="str">
        <f>IF(COVER!J31="x","Yes",IF(COVER!L31="x","No",0))</f>
        <v>Yes</v>
      </c>
    </row>
    <row r="15" spans="1:2" x14ac:dyDescent="0.2">
      <c r="A15" t="s">
        <v>598</v>
      </c>
      <c r="B15" s="138" t="str">
        <f>COVER!T23</f>
        <v>066-003689</v>
      </c>
    </row>
    <row r="16" spans="1:2" x14ac:dyDescent="0.2">
      <c r="A16" t="s">
        <v>442</v>
      </c>
      <c r="B16" s="138" t="str">
        <f>COVER!T13</f>
        <v>ATLAS CPAs &amp; Advisors, LLC</v>
      </c>
    </row>
    <row r="17" spans="1:2" x14ac:dyDescent="0.2">
      <c r="A17" t="s">
        <v>939</v>
      </c>
      <c r="B17" s="138" t="str">
        <f>COVER!T15</f>
        <v>Jalayne Luckett, CPA, PC</v>
      </c>
    </row>
    <row r="18" spans="1:2" x14ac:dyDescent="0.2">
      <c r="A18" t="s">
        <v>1212</v>
      </c>
      <c r="B18" s="138" t="str">
        <f>COVER!T17</f>
        <v>2602 W DeYoung, P.O. Box 1728</v>
      </c>
    </row>
    <row r="19" spans="1:2" x14ac:dyDescent="0.2">
      <c r="A19" t="s">
        <v>941</v>
      </c>
      <c r="B19" s="138" t="str">
        <f>COVER!T25</f>
        <v>jalayne.luckett@atlascpas.com</v>
      </c>
    </row>
    <row r="20" spans="1:2" x14ac:dyDescent="0.2">
      <c r="A20" t="s">
        <v>942</v>
      </c>
      <c r="B20" s="138" t="str">
        <f>COVER!T19</f>
        <v>Marion</v>
      </c>
    </row>
    <row r="21" spans="1:2" x14ac:dyDescent="0.2">
      <c r="A21" t="s">
        <v>500</v>
      </c>
      <c r="B21" s="138" t="str">
        <f>COVER!X19</f>
        <v>IL</v>
      </c>
    </row>
    <row r="22" spans="1:2" x14ac:dyDescent="0.2">
      <c r="A22" t="s">
        <v>943</v>
      </c>
      <c r="B22" s="138">
        <f>COVER!Z19</f>
        <v>62959</v>
      </c>
    </row>
    <row r="23" spans="1:2" x14ac:dyDescent="0.2">
      <c r="A23" t="s">
        <v>1214</v>
      </c>
      <c r="B23" s="138" t="str">
        <f>COVER!T21</f>
        <v>618-993-2647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35374</v>
      </c>
    </row>
    <row r="51" spans="1:4" x14ac:dyDescent="0.2">
      <c r="A51" s="1" t="s">
        <v>1560</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2049277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2048277</v>
      </c>
      <c r="D92" s="2" t="str">
        <f t="shared" si="0"/>
        <v>Error?</v>
      </c>
    </row>
    <row r="93" spans="1:4" x14ac:dyDescent="0.2">
      <c r="A93" s="5">
        <v>32</v>
      </c>
      <c r="B93" s="138">
        <f>'Assets-Liab 5-6'!C41</f>
        <v>2049277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168004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168004</v>
      </c>
      <c r="D123" s="2" t="str">
        <f t="shared" si="0"/>
        <v>Error?</v>
      </c>
    </row>
    <row r="124" spans="1:4" x14ac:dyDescent="0.2">
      <c r="A124" s="5">
        <v>63</v>
      </c>
      <c r="B124" s="138">
        <f>'Assets-Liab 5-6'!D41</f>
        <v>168004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44060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44060</v>
      </c>
      <c r="D140" s="2" t="str">
        <f t="shared" si="1"/>
        <v>Error?</v>
      </c>
    </row>
    <row r="141" spans="1:4" x14ac:dyDescent="0.2">
      <c r="A141" s="5">
        <v>80</v>
      </c>
      <c r="B141" s="138">
        <f>'Assets-Liab 5-6'!E41</f>
        <v>44060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185783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185783</v>
      </c>
      <c r="D170" s="2" t="str">
        <f t="shared" si="1"/>
        <v>Error?</v>
      </c>
    </row>
    <row r="171" spans="1:4" x14ac:dyDescent="0.2">
      <c r="A171" s="5">
        <v>110</v>
      </c>
      <c r="B171" s="138">
        <f>'Assets-Liab 5-6'!F41</f>
        <v>185783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44368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44368</v>
      </c>
      <c r="D189" s="2" t="str">
        <f t="shared" si="1"/>
        <v>Error?</v>
      </c>
    </row>
    <row r="190" spans="1:4" x14ac:dyDescent="0.2">
      <c r="A190" s="5">
        <v>129</v>
      </c>
      <c r="B190" s="138">
        <f>'Assets-Liab 5-6'!G41</f>
        <v>44368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219342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219342</v>
      </c>
      <c r="D212" s="2" t="str">
        <f t="shared" si="2"/>
        <v>Error?</v>
      </c>
    </row>
    <row r="213" spans="1:4" x14ac:dyDescent="0.2">
      <c r="A213" s="12">
        <v>152</v>
      </c>
      <c r="B213" s="138">
        <f>'Assets-Liab 5-6'!H41</f>
        <v>219342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137257</v>
      </c>
      <c r="D273" s="2" t="str">
        <f t="shared" si="3"/>
        <v>Error?</v>
      </c>
    </row>
    <row r="274" spans="1:4" x14ac:dyDescent="0.2">
      <c r="A274" s="5">
        <v>213</v>
      </c>
      <c r="B274" s="138">
        <f>'Assets-Liab 5-6'!M17</f>
        <v>8017410</v>
      </c>
      <c r="D274" s="2" t="str">
        <f t="shared" si="3"/>
        <v>Error?</v>
      </c>
    </row>
    <row r="275" spans="1:4" x14ac:dyDescent="0.2">
      <c r="A275" s="5">
        <v>214</v>
      </c>
      <c r="B275" s="138">
        <f>'Assets-Liab 5-6'!M18</f>
        <v>1094071</v>
      </c>
      <c r="D275" s="2" t="str">
        <f t="shared" si="3"/>
        <v>Error?</v>
      </c>
    </row>
    <row r="276" spans="1:4" x14ac:dyDescent="0.2">
      <c r="A276" s="5">
        <v>215</v>
      </c>
      <c r="B276" s="138">
        <f>'Assets-Liab 5-6'!M19</f>
        <v>136568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9435036</v>
      </c>
      <c r="C279" s="2" t="s">
        <v>594</v>
      </c>
      <c r="D279" s="2" t="str">
        <f t="shared" si="3"/>
        <v>Error?</v>
      </c>
    </row>
    <row r="280" spans="1:4" x14ac:dyDescent="0.2">
      <c r="A280" s="5">
        <v>219</v>
      </c>
      <c r="B280" s="138">
        <f>'Assets-Liab 5-6'!M40</f>
        <v>9435036</v>
      </c>
      <c r="D280" s="2" t="str">
        <f t="shared" si="3"/>
        <v>Error?</v>
      </c>
    </row>
    <row r="281" spans="1:4" x14ac:dyDescent="0.2">
      <c r="A281" s="5">
        <v>220</v>
      </c>
      <c r="B281" s="138">
        <f>'Assets-Liab 5-6'!M41</f>
        <v>9435036</v>
      </c>
      <c r="C281" s="2" t="s">
        <v>594</v>
      </c>
      <c r="D281" s="2" t="str">
        <f t="shared" si="3"/>
        <v>Error?</v>
      </c>
    </row>
    <row r="282" spans="1:4" x14ac:dyDescent="0.2">
      <c r="A282" s="5">
        <v>221</v>
      </c>
      <c r="B282" s="138">
        <f>'Assets-Liab 5-6'!N21</f>
        <v>44060</v>
      </c>
      <c r="D282" s="2" t="str">
        <f t="shared" si="3"/>
        <v>Error?</v>
      </c>
    </row>
    <row r="283" spans="1:4" x14ac:dyDescent="0.2">
      <c r="A283" s="5">
        <v>222</v>
      </c>
      <c r="B283" s="138">
        <f>'Assets-Liab 5-6'!N22</f>
        <v>4304816</v>
      </c>
      <c r="D283" s="2" t="str">
        <f t="shared" si="3"/>
        <v>Error?</v>
      </c>
    </row>
    <row r="284" spans="1:4" x14ac:dyDescent="0.2">
      <c r="A284" s="5">
        <v>223</v>
      </c>
      <c r="B284" s="138">
        <f>'Assets-Liab 5-6'!N23</f>
        <v>4348876</v>
      </c>
      <c r="C284" s="2" t="s">
        <v>594</v>
      </c>
      <c r="D284" s="2" t="str">
        <f t="shared" si="3"/>
        <v>Error?</v>
      </c>
    </row>
    <row r="285" spans="1:4" x14ac:dyDescent="0.2">
      <c r="A285" s="5">
        <v>224</v>
      </c>
      <c r="B285" s="138">
        <f>'Assets-Liab 5-6'!N36</f>
        <v>4348876</v>
      </c>
      <c r="D285" s="2" t="str">
        <f t="shared" si="3"/>
        <v>Error?</v>
      </c>
    </row>
    <row r="286" spans="1:4" x14ac:dyDescent="0.2">
      <c r="A286" s="10">
        <v>225</v>
      </c>
      <c r="D286" s="2" t="str">
        <f t="shared" si="3"/>
        <v>OK</v>
      </c>
    </row>
    <row r="287" spans="1:4" x14ac:dyDescent="0.2">
      <c r="A287" s="5">
        <v>226</v>
      </c>
      <c r="B287" s="138">
        <f>'Assets-Liab 5-6'!N37</f>
        <v>4348876</v>
      </c>
      <c r="C287" s="2" t="s">
        <v>594</v>
      </c>
      <c r="D287" s="2" t="str">
        <f t="shared" si="3"/>
        <v>Error?</v>
      </c>
    </row>
    <row r="288" spans="1:4" x14ac:dyDescent="0.2">
      <c r="A288" s="5">
        <v>227</v>
      </c>
      <c r="B288" s="138">
        <f>'Assets-Liab 5-6'!N41</f>
        <v>4348876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3086450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51919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4748684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44598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78839</v>
      </c>
      <c r="D725" s="2" t="str">
        <f t="shared" si="10"/>
        <v>Error?</v>
      </c>
    </row>
    <row r="726" spans="1:4" x14ac:dyDescent="0.2">
      <c r="A726" s="5">
        <v>665</v>
      </c>
      <c r="B726" s="138">
        <f>'Expenditures 15-22'!C41</f>
        <v>36903</v>
      </c>
      <c r="D726" s="2" t="str">
        <f t="shared" si="10"/>
        <v>Error?</v>
      </c>
    </row>
    <row r="727" spans="1:4" x14ac:dyDescent="0.2">
      <c r="A727" s="5">
        <v>666</v>
      </c>
      <c r="B727" s="138">
        <f>'Expenditures 15-22'!C42</f>
        <v>160340</v>
      </c>
      <c r="C727" s="2" t="s">
        <v>594</v>
      </c>
      <c r="D727" s="2" t="str">
        <f t="shared" si="10"/>
        <v>Error?</v>
      </c>
    </row>
    <row r="728" spans="1:4" x14ac:dyDescent="0.2">
      <c r="A728" s="5">
        <v>667</v>
      </c>
      <c r="B728" s="138">
        <f>'Expenditures 15-22'!C44</f>
        <v>36349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36349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296622</v>
      </c>
      <c r="D733" s="2" t="str">
        <f t="shared" si="10"/>
        <v>Error?</v>
      </c>
    </row>
    <row r="734" spans="1:4" x14ac:dyDescent="0.2">
      <c r="A734" s="5">
        <v>673</v>
      </c>
      <c r="B734" s="138">
        <f>'Expenditures 15-22'!C53</f>
        <v>296622</v>
      </c>
      <c r="C734" s="2" t="s">
        <v>594</v>
      </c>
      <c r="D734" s="2" t="str">
        <f t="shared" si="10"/>
        <v>Error?</v>
      </c>
    </row>
    <row r="735" spans="1:4" x14ac:dyDescent="0.2">
      <c r="A735" s="5">
        <v>674</v>
      </c>
      <c r="B735" s="138">
        <f>'Expenditures 15-22'!C55</f>
        <v>349322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349322</v>
      </c>
      <c r="C737" s="2" t="s">
        <v>594</v>
      </c>
      <c r="D737" s="2" t="str">
        <f t="shared" si="10"/>
        <v>Error?</v>
      </c>
    </row>
    <row r="738" spans="1:4" x14ac:dyDescent="0.2">
      <c r="A738" s="5">
        <v>677</v>
      </c>
      <c r="B738" s="138">
        <f>'Expenditures 15-22'!C59</f>
        <v>64451</v>
      </c>
      <c r="D738" s="2" t="str">
        <f t="shared" si="10"/>
        <v>Error?</v>
      </c>
    </row>
    <row r="739" spans="1:4" x14ac:dyDescent="0.2">
      <c r="A739" s="5">
        <v>678</v>
      </c>
      <c r="B739" s="138">
        <f>'Expenditures 15-22'!C60</f>
        <v>0</v>
      </c>
      <c r="D739" s="2" t="str">
        <f t="shared" si="10"/>
        <v>Error?</v>
      </c>
    </row>
    <row r="740" spans="1:4" x14ac:dyDescent="0.2">
      <c r="A740" s="5">
        <v>679</v>
      </c>
      <c r="B740" s="138">
        <f>'Expenditures 15-22'!C61</f>
        <v>57935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136297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258683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7442</v>
      </c>
      <c r="D754" s="2" t="str">
        <f t="shared" si="10"/>
        <v>Error?</v>
      </c>
    </row>
    <row r="755" spans="1:4" x14ac:dyDescent="0.2">
      <c r="A755" s="5">
        <v>694</v>
      </c>
      <c r="B755" s="138">
        <f>'Expenditures 15-22'!C74</f>
        <v>1108758</v>
      </c>
      <c r="C755" s="2" t="s">
        <v>594</v>
      </c>
      <c r="D755" s="2" t="str">
        <f t="shared" si="10"/>
        <v>Error?</v>
      </c>
    </row>
    <row r="756" spans="1:4" x14ac:dyDescent="0.2">
      <c r="A756" s="5">
        <v>695</v>
      </c>
      <c r="B756" s="138">
        <f>'Expenditures 15-22'!C75</f>
        <v>1500</v>
      </c>
      <c r="D756" s="2" t="str">
        <f t="shared" si="10"/>
        <v>Error?</v>
      </c>
    </row>
    <row r="757" spans="1:4" x14ac:dyDescent="0.2">
      <c r="A757" s="5">
        <v>696</v>
      </c>
      <c r="B757" s="138">
        <f>'Expenditures 15-22'!C114</f>
        <v>5858942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588649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5016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908659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4759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9096</v>
      </c>
      <c r="D783" s="2" t="str">
        <f t="shared" si="11"/>
        <v>Error?</v>
      </c>
    </row>
    <row r="784" spans="1:4" x14ac:dyDescent="0.2">
      <c r="A784" s="5">
        <v>723</v>
      </c>
      <c r="B784" s="138">
        <f>'Expenditures 15-22'!D41</f>
        <v>786</v>
      </c>
      <c r="D784" s="2" t="str">
        <f t="shared" si="11"/>
        <v>Error?</v>
      </c>
    </row>
    <row r="785" spans="1:4" x14ac:dyDescent="0.2">
      <c r="A785" s="5">
        <v>724</v>
      </c>
      <c r="B785" s="138">
        <f>'Expenditures 15-22'!D42</f>
        <v>14641</v>
      </c>
      <c r="C785" s="2" t="s">
        <v>594</v>
      </c>
      <c r="D785" s="2" t="str">
        <f t="shared" si="11"/>
        <v>Error?</v>
      </c>
    </row>
    <row r="786" spans="1:4" x14ac:dyDescent="0.2">
      <c r="A786" s="5">
        <v>725</v>
      </c>
      <c r="B786" s="138">
        <f>'Expenditures 15-22'!D44</f>
        <v>16565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16565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40611</v>
      </c>
      <c r="D791" s="2" t="str">
        <f t="shared" si="11"/>
        <v>Error?</v>
      </c>
    </row>
    <row r="792" spans="1:4" x14ac:dyDescent="0.2">
      <c r="A792" s="5">
        <v>731</v>
      </c>
      <c r="B792" s="138">
        <f>'Expenditures 15-22'!D53</f>
        <v>40611</v>
      </c>
      <c r="C792" s="2" t="s">
        <v>594</v>
      </c>
      <c r="D792" s="2" t="str">
        <f t="shared" si="11"/>
        <v>Error?</v>
      </c>
    </row>
    <row r="793" spans="1:4" x14ac:dyDescent="0.2">
      <c r="A793" s="5">
        <v>732</v>
      </c>
      <c r="B793" s="138">
        <f>'Expenditures 15-22'!D55</f>
        <v>60027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60027</v>
      </c>
      <c r="C795" s="2" t="s">
        <v>594</v>
      </c>
      <c r="D795" s="2" t="str">
        <f t="shared" si="11"/>
        <v>Error?</v>
      </c>
    </row>
    <row r="796" spans="1:4" x14ac:dyDescent="0.2">
      <c r="A796" s="5">
        <v>735</v>
      </c>
      <c r="B796" s="138">
        <f>'Expenditures 15-22'!D59</f>
        <v>4759</v>
      </c>
      <c r="D796" s="2" t="str">
        <f t="shared" si="11"/>
        <v>Error?</v>
      </c>
    </row>
    <row r="797" spans="1:4" x14ac:dyDescent="0.2">
      <c r="A797" s="5">
        <v>736</v>
      </c>
      <c r="B797" s="138">
        <f>'Expenditures 15-22'!D60</f>
        <v>0</v>
      </c>
      <c r="D797" s="2" t="str">
        <f t="shared" si="11"/>
        <v>Error?</v>
      </c>
    </row>
    <row r="798" spans="1:4" x14ac:dyDescent="0.2">
      <c r="A798" s="5">
        <v>737</v>
      </c>
      <c r="B798" s="138">
        <f>'Expenditures 15-22'!D61</f>
        <v>34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22787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27580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159424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1068083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2014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9629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20714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20714</v>
      </c>
      <c r="C847" s="2" t="s">
        <v>594</v>
      </c>
      <c r="D847" s="2" t="str">
        <f t="shared" si="12"/>
        <v>Error?</v>
      </c>
    </row>
    <row r="848" spans="1:4" x14ac:dyDescent="0.2">
      <c r="A848" s="5">
        <v>787</v>
      </c>
      <c r="B848" s="138">
        <f>'Expenditures 15-22'!E49</f>
        <v>30226</v>
      </c>
      <c r="D848" s="2" t="str">
        <f t="shared" si="12"/>
        <v>Error?</v>
      </c>
    </row>
    <row r="849" spans="1:4" x14ac:dyDescent="0.2">
      <c r="A849" s="5">
        <v>788</v>
      </c>
      <c r="B849" s="138">
        <f>'Expenditures 15-22'!E50</f>
        <v>31461</v>
      </c>
      <c r="D849" s="2" t="str">
        <f t="shared" si="12"/>
        <v>Error?</v>
      </c>
    </row>
    <row r="850" spans="1:4" x14ac:dyDescent="0.2">
      <c r="A850" s="5">
        <v>789</v>
      </c>
      <c r="B850" s="138">
        <f>'Expenditures 15-22'!E53</f>
        <v>61687</v>
      </c>
      <c r="C850" s="2" t="s">
        <v>594</v>
      </c>
      <c r="D850" s="2" t="str">
        <f t="shared" si="12"/>
        <v>Error?</v>
      </c>
    </row>
    <row r="851" spans="1:4" x14ac:dyDescent="0.2">
      <c r="A851" s="5">
        <v>790</v>
      </c>
      <c r="B851" s="138">
        <f>'Expenditures 15-22'!E55</f>
        <v>34915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34915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339222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339357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898</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898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457571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702922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33142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4560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57292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1555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1555</v>
      </c>
      <c r="C901" s="2" t="s">
        <v>594</v>
      </c>
      <c r="D901" s="2" t="str">
        <f t="shared" si="13"/>
        <v>Error?</v>
      </c>
    </row>
    <row r="902" spans="1:4" x14ac:dyDescent="0.2">
      <c r="A902" s="5">
        <v>841</v>
      </c>
      <c r="B902" s="138">
        <f>'Expenditures 15-22'!F44</f>
        <v>18875</v>
      </c>
      <c r="D902" s="2" t="str">
        <f t="shared" si="13"/>
        <v>Error?</v>
      </c>
    </row>
    <row r="903" spans="1:4" x14ac:dyDescent="0.2">
      <c r="A903" s="5">
        <v>842</v>
      </c>
      <c r="B903" s="138">
        <f>'Expenditures 15-22'!F45</f>
        <v>16673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35548</v>
      </c>
      <c r="C905" s="2" t="s">
        <v>594</v>
      </c>
      <c r="D905" s="2" t="str">
        <f t="shared" si="13"/>
        <v>Error?</v>
      </c>
    </row>
    <row r="906" spans="1:4" x14ac:dyDescent="0.2">
      <c r="A906" s="5">
        <v>845</v>
      </c>
      <c r="B906" s="138">
        <f>'Expenditures 15-22'!F49</f>
        <v>10</v>
      </c>
      <c r="D906" s="2" t="str">
        <f t="shared" si="13"/>
        <v>Error?</v>
      </c>
    </row>
    <row r="907" spans="1:4" x14ac:dyDescent="0.2">
      <c r="A907" s="5">
        <v>846</v>
      </c>
      <c r="B907" s="138">
        <f>'Expenditures 15-22'!F50</f>
        <v>14137</v>
      </c>
      <c r="D907" s="2" t="str">
        <f t="shared" si="13"/>
        <v>Error?</v>
      </c>
    </row>
    <row r="908" spans="1:4" x14ac:dyDescent="0.2">
      <c r="A908" s="5">
        <v>847</v>
      </c>
      <c r="B908" s="138">
        <f>'Expenditures 15-22'!F53</f>
        <v>14147</v>
      </c>
      <c r="C908" s="2" t="s">
        <v>594</v>
      </c>
      <c r="D908" s="2" t="str">
        <f t="shared" si="13"/>
        <v>Error?</v>
      </c>
    </row>
    <row r="909" spans="1:4" x14ac:dyDescent="0.2">
      <c r="A909" s="5">
        <v>848</v>
      </c>
      <c r="B909" s="138">
        <f>'Expenditures 15-22'!F55</f>
        <v>9724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9724</v>
      </c>
      <c r="C911" s="2" t="s">
        <v>594</v>
      </c>
      <c r="D911" s="2" t="str">
        <f t="shared" si="13"/>
        <v>Error?</v>
      </c>
    </row>
    <row r="912" spans="1:4" x14ac:dyDescent="0.2">
      <c r="A912" s="5">
        <v>851</v>
      </c>
      <c r="B912" s="138">
        <f>'Expenditures 15-22'!F59</f>
        <v>2001</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1031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211066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214098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5880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5880</v>
      </c>
      <c r="C927" s="2" t="s">
        <v>594</v>
      </c>
      <c r="D927" s="2" t="str">
        <f t="shared" si="13"/>
        <v>Error?</v>
      </c>
    </row>
    <row r="928" spans="1:4" x14ac:dyDescent="0.2">
      <c r="A928" s="5">
        <v>867</v>
      </c>
      <c r="B928" s="138">
        <f>'Expenditures 15-22'!F73</f>
        <v>988</v>
      </c>
      <c r="D928" s="2" t="str">
        <f t="shared" si="13"/>
        <v>Error?</v>
      </c>
    </row>
    <row r="929" spans="1:4" x14ac:dyDescent="0.2">
      <c r="A929" s="5">
        <v>868</v>
      </c>
      <c r="B929" s="138">
        <f>'Expenditures 15-22'!F74</f>
        <v>281940</v>
      </c>
      <c r="C929" s="2" t="s">
        <v>594</v>
      </c>
      <c r="D929" s="2" t="str">
        <f t="shared" si="13"/>
        <v>Error?</v>
      </c>
    </row>
    <row r="930" spans="1:4" x14ac:dyDescent="0.2">
      <c r="A930" s="5">
        <v>869</v>
      </c>
      <c r="B930" s="138">
        <f>'Expenditures 15-22'!F75</f>
        <v>2335</v>
      </c>
      <c r="D930" s="2" t="str">
        <f t="shared" si="13"/>
        <v>Error?</v>
      </c>
    </row>
    <row r="931" spans="1:4" x14ac:dyDescent="0.2">
      <c r="A931" s="5">
        <v>870</v>
      </c>
      <c r="B931" s="138">
        <f>'Expenditures 15-22'!F114</f>
        <v>341567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1650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1650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6667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6667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12798</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12798</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19465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21115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3500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3168</v>
      </c>
      <c r="D1022" s="2" t="str">
        <f t="shared" si="14"/>
        <v>Error?</v>
      </c>
    </row>
    <row r="1023" spans="1:4" x14ac:dyDescent="0.2">
      <c r="A1023" s="5">
        <v>962</v>
      </c>
      <c r="B1023" s="138">
        <f>'Expenditures 15-22'!H50</f>
        <v>28039</v>
      </c>
      <c r="D1023" s="2" t="str">
        <f t="shared" ref="D1023:D1086" si="15">IF(ISBLANK(B1023),"OK",IF(A1023-B1023=0,"OK","Error?"))</f>
        <v>Error?</v>
      </c>
    </row>
    <row r="1024" spans="1:4" x14ac:dyDescent="0.2">
      <c r="A1024" s="5">
        <v>963</v>
      </c>
      <c r="B1024" s="138">
        <f>'Expenditures 15-22'!H53</f>
        <v>31207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270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31477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35527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3713746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67009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5730336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50912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87935</v>
      </c>
      <c r="C1113" s="2" t="s">
        <v>594</v>
      </c>
      <c r="D1113" s="2" t="str">
        <f t="shared" si="16"/>
        <v>Error?</v>
      </c>
    </row>
    <row r="1114" spans="1:4" x14ac:dyDescent="0.2">
      <c r="A1114" s="5">
        <v>1053</v>
      </c>
      <c r="B1114" s="138">
        <f>'Expenditures 15-22'!K41</f>
        <v>37689</v>
      </c>
      <c r="C1114" s="2" t="s">
        <v>594</v>
      </c>
      <c r="D1114" s="2" t="str">
        <f t="shared" si="16"/>
        <v>Error?</v>
      </c>
    </row>
    <row r="1115" spans="1:4" x14ac:dyDescent="0.2">
      <c r="A1115" s="5">
        <v>1054</v>
      </c>
      <c r="B1115" s="138">
        <f>'Expenditures 15-22'!K42</f>
        <v>176536</v>
      </c>
      <c r="C1115" s="2" t="s">
        <v>594</v>
      </c>
      <c r="D1115" s="2" t="str">
        <f t="shared" si="16"/>
        <v>Error?</v>
      </c>
    </row>
    <row r="1116" spans="1:4" x14ac:dyDescent="0.2">
      <c r="A1116" s="5">
        <v>1055</v>
      </c>
      <c r="B1116" s="138">
        <f>'Expenditures 15-22'!K44</f>
        <v>99579</v>
      </c>
      <c r="C1116" s="2" t="s">
        <v>594</v>
      </c>
      <c r="D1116" s="2" t="str">
        <f t="shared" si="16"/>
        <v>Error?</v>
      </c>
    </row>
    <row r="1117" spans="1:4" x14ac:dyDescent="0.2">
      <c r="A1117" s="5">
        <v>1056</v>
      </c>
      <c r="B1117" s="138">
        <f>'Expenditures 15-22'!K45</f>
        <v>16673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116252</v>
      </c>
      <c r="C1119" s="2" t="s">
        <v>594</v>
      </c>
      <c r="D1119" s="2" t="str">
        <f t="shared" si="16"/>
        <v>Error?</v>
      </c>
    </row>
    <row r="1120" spans="1:4" x14ac:dyDescent="0.2">
      <c r="A1120" s="5">
        <v>1059</v>
      </c>
      <c r="B1120" s="138">
        <f>'Expenditures 15-22'!K49</f>
        <v>33404</v>
      </c>
      <c r="C1120" s="2" t="s">
        <v>594</v>
      </c>
      <c r="D1120" s="2" t="str">
        <f t="shared" si="16"/>
        <v>Error?</v>
      </c>
    </row>
    <row r="1121" spans="1:4" x14ac:dyDescent="0.2">
      <c r="A1121" s="5">
        <v>1060</v>
      </c>
      <c r="B1121" s="138">
        <f>'Expenditures 15-22'!K50</f>
        <v>410870</v>
      </c>
      <c r="C1121" s="2" t="s">
        <v>594</v>
      </c>
      <c r="D1121" s="2" t="str">
        <f t="shared" si="16"/>
        <v>Error?</v>
      </c>
    </row>
    <row r="1122" spans="1:4" x14ac:dyDescent="0.2">
      <c r="A1122" s="5">
        <v>1061</v>
      </c>
      <c r="B1122" s="138">
        <f>'Expenditures 15-22'!K53</f>
        <v>444274</v>
      </c>
      <c r="C1122" s="2" t="s">
        <v>594</v>
      </c>
      <c r="D1122" s="2" t="str">
        <f t="shared" si="16"/>
        <v>Error?</v>
      </c>
    </row>
    <row r="1123" spans="1:4" x14ac:dyDescent="0.2">
      <c r="A1123" s="5">
        <v>1062</v>
      </c>
      <c r="B1123" s="138">
        <f>'Expenditures 15-22'!K55</f>
        <v>453988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453988</v>
      </c>
      <c r="C1125" s="2" t="s">
        <v>594</v>
      </c>
      <c r="D1125" s="2" t="str">
        <f t="shared" si="16"/>
        <v>Error?</v>
      </c>
    </row>
    <row r="1126" spans="1:4" x14ac:dyDescent="0.2">
      <c r="A1126" s="5">
        <v>1065</v>
      </c>
      <c r="B1126" s="138">
        <f>'Expenditures 15-22'!K59</f>
        <v>71211</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398222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370555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839988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19576</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19576</v>
      </c>
      <c r="C1141" s="2" t="s">
        <v>594</v>
      </c>
      <c r="D1141" s="2" t="str">
        <f t="shared" si="16"/>
        <v>Error?</v>
      </c>
    </row>
    <row r="1142" spans="1:4" x14ac:dyDescent="0.2">
      <c r="A1142" s="5">
        <v>1081</v>
      </c>
      <c r="B1142" s="138">
        <f>'Expenditures 15-22'!K73</f>
        <v>8430</v>
      </c>
      <c r="C1142" s="2" t="s">
        <v>594</v>
      </c>
      <c r="D1142" s="2" t="str">
        <f t="shared" si="16"/>
        <v>Error?</v>
      </c>
    </row>
    <row r="1143" spans="1:4" x14ac:dyDescent="0.2">
      <c r="A1143" s="5">
        <v>1082</v>
      </c>
      <c r="B1143" s="138">
        <f>'Expenditures 15-22'!K74</f>
        <v>2059044</v>
      </c>
      <c r="C1143" s="2" t="s">
        <v>594</v>
      </c>
      <c r="D1143" s="2" t="str">
        <f t="shared" si="16"/>
        <v>Error?</v>
      </c>
    </row>
    <row r="1144" spans="1:4" x14ac:dyDescent="0.2">
      <c r="A1144" s="5">
        <v>1083</v>
      </c>
      <c r="B1144" s="138">
        <f>'Expenditures 15-22'!K75</f>
        <v>3835</v>
      </c>
      <c r="C1144" s="2" t="s">
        <v>594</v>
      </c>
      <c r="D1144" s="2" t="str">
        <f t="shared" si="16"/>
        <v>Error?</v>
      </c>
    </row>
    <row r="1145" spans="1:4" x14ac:dyDescent="0.2">
      <c r="A1145" s="5">
        <v>1084</v>
      </c>
      <c r="B1145" s="138">
        <f>'Expenditures 15-22'!K102</f>
        <v>235722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8028937</v>
      </c>
      <c r="C1152" s="2" t="s">
        <v>594</v>
      </c>
      <c r="D1152" s="2" t="str">
        <f t="shared" si="17"/>
        <v>Error?</v>
      </c>
    </row>
    <row r="1153" spans="1:4" x14ac:dyDescent="0.2">
      <c r="A1153" s="5">
        <v>1092</v>
      </c>
      <c r="B1153" s="138">
        <f>'Expenditures 15-22'!K115</f>
        <v>981451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160500</v>
      </c>
      <c r="D1237" s="2" t="str">
        <f t="shared" si="18"/>
        <v>Error?</v>
      </c>
    </row>
    <row r="1238" spans="1:4" x14ac:dyDescent="0.2">
      <c r="A1238" s="10">
        <v>1177</v>
      </c>
      <c r="D1238" s="2" t="str">
        <f t="shared" si="18"/>
        <v>OK</v>
      </c>
    </row>
    <row r="1239" spans="1:4" x14ac:dyDescent="0.2">
      <c r="A1239" s="5">
        <v>1178</v>
      </c>
      <c r="B1239" s="138">
        <f>'Expenditures 15-22'!E127</f>
        <v>160500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160500</v>
      </c>
      <c r="C1241" s="2" t="s">
        <v>594</v>
      </c>
      <c r="D1241" s="2" t="str">
        <f t="shared" si="18"/>
        <v>Error?</v>
      </c>
    </row>
    <row r="1242" spans="1:4" x14ac:dyDescent="0.2">
      <c r="A1242" s="5">
        <v>1181</v>
      </c>
      <c r="B1242" s="138">
        <f>'Expenditures 15-22'!E151</f>
        <v>160500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208159</v>
      </c>
      <c r="D1245" s="2" t="str">
        <f t="shared" si="18"/>
        <v>Error?</v>
      </c>
    </row>
    <row r="1246" spans="1:4" x14ac:dyDescent="0.2">
      <c r="A1246" s="10">
        <v>1185</v>
      </c>
      <c r="D1246" s="2" t="str">
        <f t="shared" si="18"/>
        <v>OK</v>
      </c>
    </row>
    <row r="1247" spans="1:4" x14ac:dyDescent="0.2">
      <c r="A1247" s="5">
        <v>1186</v>
      </c>
      <c r="B1247" s="138">
        <f>'Expenditures 15-22'!F127</f>
        <v>208159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208159</v>
      </c>
      <c r="C1249" s="2" t="s">
        <v>594</v>
      </c>
      <c r="D1249" s="2" t="str">
        <f t="shared" si="18"/>
        <v>Error?</v>
      </c>
    </row>
    <row r="1250" spans="1:4" x14ac:dyDescent="0.2">
      <c r="A1250" s="5">
        <v>1189</v>
      </c>
      <c r="B1250" s="138">
        <f>'Expenditures 15-22'!F151</f>
        <v>208159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65196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65196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65196</v>
      </c>
      <c r="C1258" s="2" t="s">
        <v>594</v>
      </c>
      <c r="D1258" s="2" t="str">
        <f t="shared" si="18"/>
        <v>Error?</v>
      </c>
    </row>
    <row r="1259" spans="1:4" x14ac:dyDescent="0.2">
      <c r="A1259" s="5">
        <v>1198</v>
      </c>
      <c r="B1259" s="138">
        <f>'Expenditures 15-22'!G151</f>
        <v>65196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437997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437997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437997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437997</v>
      </c>
      <c r="C1288" s="2" t="s">
        <v>594</v>
      </c>
      <c r="D1288" s="2" t="str">
        <f t="shared" si="19"/>
        <v>Error?</v>
      </c>
    </row>
    <row r="1289" spans="1:4" x14ac:dyDescent="0.2">
      <c r="A1289" s="5">
        <v>1228</v>
      </c>
      <c r="B1289" s="138">
        <f>'Expenditures 15-22'!K152</f>
        <v>-139137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87461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132539</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220500</v>
      </c>
      <c r="C1317" s="2" t="s">
        <v>594</v>
      </c>
      <c r="D1317" s="2" t="str">
        <f t="shared" si="19"/>
        <v>Error?</v>
      </c>
    </row>
    <row r="1318" spans="1:4" x14ac:dyDescent="0.2">
      <c r="A1318" s="5">
        <v>1257</v>
      </c>
      <c r="B1318" s="138">
        <f>'Expenditures 15-22'!H174</f>
        <v>220500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87461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132539</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220500</v>
      </c>
      <c r="C1331" s="2" t="s">
        <v>594</v>
      </c>
      <c r="D1331" s="2" t="str">
        <f t="shared" si="19"/>
        <v>Error?</v>
      </c>
    </row>
    <row r="1332" spans="1:4" x14ac:dyDescent="0.2">
      <c r="A1332" s="5">
        <v>1271</v>
      </c>
      <c r="B1332" s="138">
        <f>'Expenditures 15-22'!K174</f>
        <v>220500</v>
      </c>
      <c r="C1332" s="2" t="s">
        <v>594</v>
      </c>
      <c r="D1332" s="2" t="str">
        <f t="shared" si="19"/>
        <v>Error?</v>
      </c>
    </row>
    <row r="1333" spans="1:4" x14ac:dyDescent="0.2">
      <c r="A1333" s="5">
        <v>1272</v>
      </c>
      <c r="B1333" s="138">
        <f>'Expenditures 15-22'!K175</f>
        <v>-4556</v>
      </c>
      <c r="C1333" s="2" t="s">
        <v>594</v>
      </c>
      <c r="D1333" s="2" t="str">
        <f t="shared" si="19"/>
        <v>Error?</v>
      </c>
    </row>
    <row r="1334" spans="1:4" x14ac:dyDescent="0.2">
      <c r="A1334" s="10">
        <v>1273</v>
      </c>
      <c r="D1334" s="2" t="str">
        <f t="shared" si="19"/>
        <v>OK</v>
      </c>
    </row>
    <row r="1335" spans="1:4" x14ac:dyDescent="0.2">
      <c r="A1335" s="5">
        <v>1274</v>
      </c>
      <c r="B1335" s="138">
        <f>'Expenditures 15-22'!C182</f>
        <v>5977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5977</v>
      </c>
      <c r="C1339" s="2" t="s">
        <v>594</v>
      </c>
      <c r="D1339" s="2" t="str">
        <f t="shared" si="19"/>
        <v>Error?</v>
      </c>
    </row>
    <row r="1340" spans="1:4" x14ac:dyDescent="0.2">
      <c r="A1340" s="5">
        <v>1279</v>
      </c>
      <c r="B1340" s="138">
        <f>'Expenditures 15-22'!C210</f>
        <v>5977</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476438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476438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476438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482415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482415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482415</v>
      </c>
      <c r="C1388" s="2" t="s">
        <v>594</v>
      </c>
      <c r="D1388" s="2" t="str">
        <f t="shared" si="20"/>
        <v>Error?</v>
      </c>
    </row>
    <row r="1389" spans="1:4" x14ac:dyDescent="0.2">
      <c r="A1389" s="5">
        <v>1328</v>
      </c>
      <c r="B1389" s="138">
        <f>'Expenditures 15-22'!K211</f>
        <v>81309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1383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196838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7868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11201</v>
      </c>
      <c r="D1416" s="2" t="str">
        <f t="shared" si="21"/>
        <v>Error?</v>
      </c>
    </row>
    <row r="1417" spans="1:4" x14ac:dyDescent="0.2">
      <c r="A1417" s="5">
        <v>1356</v>
      </c>
      <c r="B1417" s="138">
        <f>'Expenditures 15-22'!D238</f>
        <v>19069</v>
      </c>
      <c r="C1417" s="2" t="s">
        <v>594</v>
      </c>
      <c r="D1417" s="2" t="str">
        <f t="shared" si="21"/>
        <v>Error?</v>
      </c>
    </row>
    <row r="1418" spans="1:4" x14ac:dyDescent="0.2">
      <c r="A1418" s="5">
        <v>1357</v>
      </c>
      <c r="B1418" s="138">
        <f>'Expenditures 15-22'!D240</f>
        <v>491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491</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34274</v>
      </c>
      <c r="D1423" s="2" t="str">
        <f t="shared" si="21"/>
        <v>Error?</v>
      </c>
    </row>
    <row r="1424" spans="1:4" x14ac:dyDescent="0.2">
      <c r="A1424" s="5">
        <v>1363</v>
      </c>
      <c r="B1424" s="138">
        <f>'Expenditures 15-22'!D257</f>
        <v>34274</v>
      </c>
      <c r="C1424" s="2" t="s">
        <v>594</v>
      </c>
      <c r="D1424" s="2" t="str">
        <f t="shared" si="21"/>
        <v>Error?</v>
      </c>
    </row>
    <row r="1425" spans="1:4" x14ac:dyDescent="0.2">
      <c r="A1425" s="5">
        <v>1364</v>
      </c>
      <c r="B1425" s="138">
        <f>'Expenditures 15-22'!D259</f>
        <v>18648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18648</v>
      </c>
      <c r="C1427" s="2" t="s">
        <v>594</v>
      </c>
      <c r="D1427" s="2" t="str">
        <f t="shared" si="21"/>
        <v>Error?</v>
      </c>
    </row>
    <row r="1428" spans="1:4" x14ac:dyDescent="0.2">
      <c r="A1428" s="5">
        <v>1367</v>
      </c>
      <c r="B1428" s="138">
        <f>'Expenditures 15-22'!D263</f>
        <v>12976</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11552</v>
      </c>
      <c r="D1431" s="2" t="str">
        <f t="shared" si="21"/>
        <v>Error?</v>
      </c>
    </row>
    <row r="1432" spans="1:4" x14ac:dyDescent="0.2">
      <c r="A1432" s="5">
        <v>1371</v>
      </c>
      <c r="B1432" s="138">
        <f>'Expenditures 15-22'!D267</f>
        <v>1230</v>
      </c>
      <c r="D1432" s="2" t="str">
        <f t="shared" si="21"/>
        <v>Error?</v>
      </c>
    </row>
    <row r="1433" spans="1:4" x14ac:dyDescent="0.2">
      <c r="A1433" s="5">
        <v>1372</v>
      </c>
      <c r="B1433" s="138">
        <f>'Expenditures 15-22'!D268</f>
        <v>24862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50620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1531</v>
      </c>
      <c r="D1445" s="2" t="str">
        <f t="shared" si="21"/>
        <v>Error?</v>
      </c>
    </row>
    <row r="1446" spans="1:4" x14ac:dyDescent="0.2">
      <c r="A1446" s="5">
        <v>1385</v>
      </c>
      <c r="B1446" s="138">
        <f>'Expenditures 15-22'!D279</f>
        <v>124633</v>
      </c>
      <c r="C1446" s="2" t="s">
        <v>594</v>
      </c>
      <c r="D1446" s="2" t="str">
        <f t="shared" si="21"/>
        <v>Error?</v>
      </c>
    </row>
    <row r="1447" spans="1:4" x14ac:dyDescent="0.2">
      <c r="A1447" s="5">
        <v>1386</v>
      </c>
      <c r="B1447" s="138">
        <f>'Expenditures 15-22'!D280</f>
        <v>309</v>
      </c>
      <c r="D1447" s="2" t="str">
        <f t="shared" si="21"/>
        <v>Error?</v>
      </c>
    </row>
    <row r="1448" spans="1:4" x14ac:dyDescent="0.2">
      <c r="A1448" s="5">
        <v>1387</v>
      </c>
      <c r="B1448" s="138">
        <f>'Expenditures 15-22'!D295</f>
        <v>321780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1383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196838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7868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11201</v>
      </c>
      <c r="C1480" s="2" t="s">
        <v>594</v>
      </c>
      <c r="D1480" s="2" t="str">
        <f t="shared" si="22"/>
        <v>Error?</v>
      </c>
    </row>
    <row r="1481" spans="1:4" x14ac:dyDescent="0.2">
      <c r="A1481" s="5">
        <v>1420</v>
      </c>
      <c r="B1481" s="138">
        <f>'Expenditures 15-22'!K238</f>
        <v>19069</v>
      </c>
      <c r="C1481" s="2" t="s">
        <v>594</v>
      </c>
      <c r="D1481" s="2" t="str">
        <f t="shared" si="22"/>
        <v>Error?</v>
      </c>
    </row>
    <row r="1482" spans="1:4" x14ac:dyDescent="0.2">
      <c r="A1482" s="5">
        <v>1421</v>
      </c>
      <c r="B1482" s="138">
        <f>'Expenditures 15-22'!K240</f>
        <v>491</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491</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34274</v>
      </c>
      <c r="C1487" s="2" t="s">
        <v>594</v>
      </c>
      <c r="D1487" s="2" t="str">
        <f t="shared" si="22"/>
        <v>Error?</v>
      </c>
    </row>
    <row r="1488" spans="1:4" x14ac:dyDescent="0.2">
      <c r="A1488" s="5">
        <v>1427</v>
      </c>
      <c r="B1488" s="138">
        <f>'Expenditures 15-22'!K257</f>
        <v>34274</v>
      </c>
      <c r="C1488" s="2" t="s">
        <v>594</v>
      </c>
      <c r="D1488" s="2" t="str">
        <f t="shared" si="22"/>
        <v>Error?</v>
      </c>
    </row>
    <row r="1489" spans="1:4" x14ac:dyDescent="0.2">
      <c r="A1489" s="5">
        <v>1428</v>
      </c>
      <c r="B1489" s="138">
        <f>'Expenditures 15-22'!K259</f>
        <v>18648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18648</v>
      </c>
      <c r="C1491" s="2" t="s">
        <v>594</v>
      </c>
      <c r="D1491" s="2" t="str">
        <f t="shared" si="22"/>
        <v>Error?</v>
      </c>
    </row>
    <row r="1492" spans="1:4" x14ac:dyDescent="0.2">
      <c r="A1492" s="5">
        <v>1431</v>
      </c>
      <c r="B1492" s="138">
        <f>'Expenditures 15-22'!K263</f>
        <v>12976</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11552</v>
      </c>
      <c r="C1495" s="2" t="s">
        <v>594</v>
      </c>
      <c r="D1495" s="2" t="str">
        <f t="shared" si="22"/>
        <v>Error?</v>
      </c>
    </row>
    <row r="1496" spans="1:4" x14ac:dyDescent="0.2">
      <c r="A1496" s="5">
        <v>1435</v>
      </c>
      <c r="B1496" s="138">
        <f>'Expenditures 15-22'!K267</f>
        <v>1230</v>
      </c>
      <c r="C1496" s="2" t="s">
        <v>594</v>
      </c>
      <c r="D1496" s="2" t="str">
        <f t="shared" si="22"/>
        <v>Error?</v>
      </c>
    </row>
    <row r="1497" spans="1:4" x14ac:dyDescent="0.2">
      <c r="A1497" s="5">
        <v>1436</v>
      </c>
      <c r="B1497" s="138">
        <f>'Expenditures 15-22'!K268</f>
        <v>24862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50620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1531</v>
      </c>
      <c r="C1509" s="2" t="s">
        <v>594</v>
      </c>
      <c r="D1509" s="2" t="str">
        <f t="shared" si="22"/>
        <v>Error?</v>
      </c>
    </row>
    <row r="1510" spans="1:4" x14ac:dyDescent="0.2">
      <c r="A1510" s="5">
        <v>1449</v>
      </c>
      <c r="B1510" s="138">
        <f>'Expenditures 15-22'!K279</f>
        <v>124633</v>
      </c>
      <c r="C1510" s="2" t="s">
        <v>594</v>
      </c>
      <c r="D1510" s="2" t="str">
        <f t="shared" si="22"/>
        <v>Error?</v>
      </c>
    </row>
    <row r="1511" spans="1:4" x14ac:dyDescent="0.2">
      <c r="A1511" s="5">
        <v>1450</v>
      </c>
      <c r="B1511" s="138">
        <f>'Expenditures 15-22'!K280</f>
        <v>309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321780</v>
      </c>
      <c r="C1517" s="2" t="s">
        <v>594</v>
      </c>
      <c r="D1517" s="2" t="str">
        <f t="shared" si="22"/>
        <v>Error?</v>
      </c>
    </row>
    <row r="1518" spans="1:4" x14ac:dyDescent="0.2">
      <c r="A1518" s="5">
        <v>1457</v>
      </c>
      <c r="B1518" s="138">
        <f>'Expenditures 15-22'!K296</f>
        <v>5284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2875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2875</v>
      </c>
      <c r="C1535" s="2" t="s">
        <v>594</v>
      </c>
      <c r="D1535" s="2" t="str">
        <f t="shared" ref="D1535:D1598" si="23">IF(ISBLANK(B1535),"OK",IF(A1535-B1535=0,"OK","Error?"))</f>
        <v>Error?</v>
      </c>
    </row>
    <row r="1536" spans="1:4" x14ac:dyDescent="0.2">
      <c r="A1536" s="5">
        <v>1475</v>
      </c>
      <c r="B1536" s="138">
        <f>'Expenditures 15-22'!E312</f>
        <v>2875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264710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264710</v>
      </c>
      <c r="C1547" s="2" t="s">
        <v>594</v>
      </c>
      <c r="D1547" s="2" t="str">
        <f t="shared" si="23"/>
        <v>Error?</v>
      </c>
    </row>
    <row r="1548" spans="1:4" x14ac:dyDescent="0.2">
      <c r="A1548" s="5">
        <v>1487</v>
      </c>
      <c r="B1548" s="138">
        <f>'Expenditures 15-22'!G312</f>
        <v>264710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267663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267663</v>
      </c>
      <c r="C1559" s="2" t="s">
        <v>594</v>
      </c>
      <c r="D1559" s="2" t="str">
        <f t="shared" si="23"/>
        <v>Error?</v>
      </c>
    </row>
    <row r="1560" spans="1:4" x14ac:dyDescent="0.2">
      <c r="A1560" s="5">
        <v>1499</v>
      </c>
      <c r="B1560" s="138">
        <f>'Expenditures 15-22'!K312</f>
        <v>267663</v>
      </c>
      <c r="C1560" s="2" t="s">
        <v>594</v>
      </c>
      <c r="D1560" s="2" t="str">
        <f t="shared" si="23"/>
        <v>Error?</v>
      </c>
    </row>
    <row r="1561" spans="1:4" x14ac:dyDescent="0.2">
      <c r="A1561" s="5">
        <v>1500</v>
      </c>
      <c r="B1561" s="138">
        <f>'Expenditures 15-22'!K313</f>
        <v>214690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1067826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2049277</v>
      </c>
      <c r="C1630" s="2" t="s">
        <v>594</v>
      </c>
      <c r="D1630" s="2" t="str">
        <f t="shared" si="24"/>
        <v>Error?</v>
      </c>
    </row>
    <row r="1631" spans="1:4" x14ac:dyDescent="0.2">
      <c r="A1631" s="5">
        <v>1570</v>
      </c>
      <c r="B1631" s="138">
        <f>'Acct Summary 7-8'!D79</f>
        <v>307141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168004</v>
      </c>
      <c r="C1644" s="2" t="s">
        <v>594</v>
      </c>
      <c r="D1644" s="2" t="str">
        <f t="shared" si="24"/>
        <v>Error?</v>
      </c>
    </row>
    <row r="1645" spans="1:4" x14ac:dyDescent="0.2">
      <c r="A1645" s="5">
        <v>1584</v>
      </c>
      <c r="B1645" s="138">
        <f>'Acct Summary 7-8'!E79</f>
        <v>48616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44060</v>
      </c>
      <c r="C1658" s="2" t="s">
        <v>594</v>
      </c>
      <c r="D1658" s="2" t="str">
        <f t="shared" si="24"/>
        <v>Error?</v>
      </c>
    </row>
    <row r="1659" spans="1:4" x14ac:dyDescent="0.2">
      <c r="A1659" s="5">
        <v>1598</v>
      </c>
      <c r="B1659" s="138">
        <f>'Acct Summary 7-8'!F79</f>
        <v>104474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185783</v>
      </c>
      <c r="C1672" s="2" t="s">
        <v>594</v>
      </c>
      <c r="D1672" s="2" t="str">
        <f t="shared" si="25"/>
        <v>Error?</v>
      </c>
    </row>
    <row r="1673" spans="1:4" x14ac:dyDescent="0.2">
      <c r="A1673" s="5">
        <v>1612</v>
      </c>
      <c r="B1673" s="138">
        <f>'Acct Summary 7-8'!G79</f>
        <v>39084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44368</v>
      </c>
      <c r="C1686" s="2" t="s">
        <v>594</v>
      </c>
      <c r="D1686" s="2" t="str">
        <f t="shared" si="25"/>
        <v>Error?</v>
      </c>
    </row>
    <row r="1687" spans="1:4" x14ac:dyDescent="0.2">
      <c r="A1687" s="5">
        <v>1626</v>
      </c>
      <c r="B1687" s="138">
        <f>'Acct Summary 7-8'!H79</f>
        <v>180290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219342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1438248</v>
      </c>
      <c r="C1744" s="2" t="s">
        <v>594</v>
      </c>
      <c r="D1744" s="2" t="str">
        <f t="shared" si="26"/>
        <v>Error?</v>
      </c>
    </row>
    <row r="1745" spans="1:5" x14ac:dyDescent="0.2">
      <c r="A1745" s="5">
        <v>1684</v>
      </c>
      <c r="B1745" s="138">
        <f>'Tax Sched 23'!B5</f>
        <v>273321</v>
      </c>
      <c r="C1745" s="2" t="s">
        <v>594</v>
      </c>
      <c r="D1745" s="2" t="str">
        <f t="shared" si="26"/>
        <v>Error?</v>
      </c>
    </row>
    <row r="1746" spans="1:5" x14ac:dyDescent="0.2">
      <c r="A1746" s="5">
        <v>1685</v>
      </c>
      <c r="B1746" s="138">
        <f>'Tax Sched 23'!B6</f>
        <v>214817</v>
      </c>
      <c r="C1746" s="2" t="s">
        <v>594</v>
      </c>
      <c r="D1746" s="2" t="str">
        <f t="shared" si="26"/>
        <v>Error?</v>
      </c>
    </row>
    <row r="1747" spans="1:5" x14ac:dyDescent="0.2">
      <c r="A1747" s="5">
        <v>1686</v>
      </c>
      <c r="B1747" s="138">
        <f>'Tax Sched 23'!B7</f>
        <v>133426</v>
      </c>
      <c r="C1747" s="2" t="s">
        <v>594</v>
      </c>
      <c r="D1747" s="2" t="str">
        <f t="shared" si="26"/>
        <v>Error?</v>
      </c>
    </row>
    <row r="1748" spans="1:5" x14ac:dyDescent="0.2">
      <c r="A1748" s="5">
        <v>1687</v>
      </c>
      <c r="B1748" s="138">
        <f>'Tax Sched 23'!B8</f>
        <v>115120</v>
      </c>
      <c r="C1748" s="2" t="s">
        <v>594</v>
      </c>
      <c r="D1748" s="2" t="str">
        <f t="shared" si="26"/>
        <v>Error?</v>
      </c>
    </row>
    <row r="1749" spans="1:5" x14ac:dyDescent="0.2">
      <c r="A1749" s="5">
        <v>1688</v>
      </c>
      <c r="B1749" s="138">
        <f>'Tax Sched 23'!B10</f>
        <v>45571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155018</v>
      </c>
      <c r="C1752" s="2" t="s">
        <v>594</v>
      </c>
      <c r="D1752" s="2" t="str">
        <f t="shared" si="26"/>
        <v>Error?</v>
      </c>
    </row>
    <row r="1753" spans="1:5" x14ac:dyDescent="0.2">
      <c r="A1753" s="5">
        <v>1692</v>
      </c>
      <c r="B1753" s="138">
        <f>'Tax Sched 23'!B12</f>
        <v>54625</v>
      </c>
      <c r="C1753" s="2" t="s">
        <v>594</v>
      </c>
      <c r="D1753" s="2" t="str">
        <f t="shared" si="26"/>
        <v>Error?</v>
      </c>
    </row>
    <row r="1754" spans="1:5" x14ac:dyDescent="0.2">
      <c r="A1754" s="5">
        <v>1693</v>
      </c>
      <c r="B1754" s="138">
        <f>'Tax Sched 23'!B14</f>
        <v>23979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2569245</v>
      </c>
      <c r="C1759" s="2" t="s">
        <v>594</v>
      </c>
      <c r="D1759" s="2" t="str">
        <f t="shared" si="26"/>
        <v>Error?</v>
      </c>
    </row>
    <row r="1760" spans="1:5" x14ac:dyDescent="0.2">
      <c r="A1760" s="5">
        <v>1699</v>
      </c>
      <c r="B1760" s="138">
        <f>'Tax Sched 23'!D4</f>
        <v>1438248</v>
      </c>
      <c r="C1760" s="2" t="s">
        <v>594</v>
      </c>
      <c r="D1760" s="2" t="str">
        <f t="shared" si="26"/>
        <v>Error?</v>
      </c>
    </row>
    <row r="1761" spans="1:5" x14ac:dyDescent="0.2">
      <c r="A1761" s="5">
        <v>1700</v>
      </c>
      <c r="B1761" s="138">
        <f>'Tax Sched 23'!D5</f>
        <v>273321</v>
      </c>
      <c r="C1761" s="2" t="s">
        <v>594</v>
      </c>
      <c r="D1761" s="2" t="str">
        <f t="shared" si="26"/>
        <v>Error?</v>
      </c>
    </row>
    <row r="1762" spans="1:5" s="8" customFormat="1" x14ac:dyDescent="0.2">
      <c r="A1762" s="5">
        <v>1701</v>
      </c>
      <c r="B1762" s="138">
        <f>'Tax Sched 23'!D6</f>
        <v>214817</v>
      </c>
      <c r="C1762" s="2" t="s">
        <v>594</v>
      </c>
      <c r="D1762" s="2" t="str">
        <f t="shared" si="26"/>
        <v>Error?</v>
      </c>
      <c r="E1762" s="9"/>
    </row>
    <row r="1763" spans="1:5" x14ac:dyDescent="0.2">
      <c r="A1763" s="5">
        <v>1702</v>
      </c>
      <c r="B1763" s="138">
        <f>'Tax Sched 23'!D7</f>
        <v>133426</v>
      </c>
      <c r="C1763" s="2" t="s">
        <v>594</v>
      </c>
      <c r="D1763" s="2" t="str">
        <f t="shared" si="26"/>
        <v>Error?</v>
      </c>
    </row>
    <row r="1764" spans="1:5" x14ac:dyDescent="0.2">
      <c r="A1764" s="5">
        <v>1703</v>
      </c>
      <c r="B1764" s="138">
        <f>'Tax Sched 23'!D8</f>
        <v>115120</v>
      </c>
      <c r="C1764" s="2" t="s">
        <v>594</v>
      </c>
      <c r="D1764" s="2" t="str">
        <f t="shared" si="26"/>
        <v>Error?</v>
      </c>
    </row>
    <row r="1765" spans="1:5" x14ac:dyDescent="0.2">
      <c r="A1765" s="5">
        <v>1704</v>
      </c>
      <c r="B1765" s="138">
        <f>'Tax Sched 23'!D10</f>
        <v>45571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155018</v>
      </c>
      <c r="C1768" s="2" t="s">
        <v>594</v>
      </c>
      <c r="D1768" s="2" t="str">
        <f t="shared" si="26"/>
        <v>Error?</v>
      </c>
    </row>
    <row r="1769" spans="1:5" x14ac:dyDescent="0.2">
      <c r="A1769" s="5">
        <v>1708</v>
      </c>
      <c r="B1769" s="138">
        <f>'Tax Sched 23'!D12</f>
        <v>54625</v>
      </c>
      <c r="C1769" s="2" t="s">
        <v>594</v>
      </c>
      <c r="D1769" s="2" t="str">
        <f t="shared" si="26"/>
        <v>Error?</v>
      </c>
    </row>
    <row r="1770" spans="1:5" x14ac:dyDescent="0.2">
      <c r="A1770" s="5">
        <v>1709</v>
      </c>
      <c r="B1770" s="138">
        <f>'Tax Sched 23'!D14</f>
        <v>23979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2569245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1494031</v>
      </c>
      <c r="C1792" s="2" t="s">
        <v>594</v>
      </c>
      <c r="D1792" s="2" t="str">
        <f t="shared" si="27"/>
        <v>Error?</v>
      </c>
    </row>
    <row r="1793" spans="1:4" x14ac:dyDescent="0.2">
      <c r="A1793" s="5">
        <v>1732</v>
      </c>
      <c r="B1793" s="138">
        <f>'Tax Sched 23'!F5</f>
        <v>283948</v>
      </c>
      <c r="C1793" s="2" t="s">
        <v>594</v>
      </c>
      <c r="D1793" s="2" t="str">
        <f t="shared" si="27"/>
        <v>Error?</v>
      </c>
    </row>
    <row r="1794" spans="1:4" x14ac:dyDescent="0.2">
      <c r="A1794" s="5">
        <v>1733</v>
      </c>
      <c r="B1794" s="138">
        <f>'Tax Sched 23'!F6</f>
        <v>215900</v>
      </c>
      <c r="C1794" s="2" t="s">
        <v>594</v>
      </c>
      <c r="D1794" s="2" t="str">
        <f t="shared" si="27"/>
        <v>Error?</v>
      </c>
    </row>
    <row r="1795" spans="1:4" x14ac:dyDescent="0.2">
      <c r="A1795" s="5">
        <v>1734</v>
      </c>
      <c r="B1795" s="138">
        <f>'Tax Sched 23'!F7</f>
        <v>138592</v>
      </c>
      <c r="C1795" s="2" t="s">
        <v>594</v>
      </c>
      <c r="D1795" s="2" t="str">
        <f t="shared" si="27"/>
        <v>Error?</v>
      </c>
    </row>
    <row r="1796" spans="1:4" x14ac:dyDescent="0.2">
      <c r="A1796" s="5">
        <v>1735</v>
      </c>
      <c r="B1796" s="138">
        <f>'Tax Sched 23'!F8</f>
        <v>119552</v>
      </c>
      <c r="C1796" s="2" t="s">
        <v>594</v>
      </c>
      <c r="D1796" s="2" t="str">
        <f t="shared" si="27"/>
        <v>Error?</v>
      </c>
    </row>
    <row r="1797" spans="1:4" x14ac:dyDescent="0.2">
      <c r="A1797" s="5">
        <v>1736</v>
      </c>
      <c r="B1797" s="138">
        <f>'Tax Sched 23'!F10</f>
        <v>47342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161067</v>
      </c>
      <c r="C1800" s="2" t="s">
        <v>594</v>
      </c>
      <c r="D1800" s="2" t="str">
        <f t="shared" si="27"/>
        <v>Error?</v>
      </c>
    </row>
    <row r="1801" spans="1:4" x14ac:dyDescent="0.2">
      <c r="A1801" s="5">
        <v>1740</v>
      </c>
      <c r="B1801" s="138">
        <f>'Tax Sched 23'!F12</f>
        <v>56706</v>
      </c>
      <c r="C1801" s="2" t="s">
        <v>594</v>
      </c>
      <c r="D1801" s="2" t="str">
        <f t="shared" si="27"/>
        <v>Error?</v>
      </c>
    </row>
    <row r="1802" spans="1:4" x14ac:dyDescent="0.2">
      <c r="A1802" s="5">
        <v>1741</v>
      </c>
      <c r="B1802" s="138">
        <f>'Tax Sched 23'!F14</f>
        <v>24868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2661558</v>
      </c>
      <c r="C1807" s="2" t="s">
        <v>594</v>
      </c>
      <c r="D1807" s="2" t="str">
        <f t="shared" si="27"/>
        <v>Error?</v>
      </c>
    </row>
    <row r="1808" spans="1:4" x14ac:dyDescent="0.2">
      <c r="A1808" s="5">
        <v>1747</v>
      </c>
      <c r="B1808" s="138">
        <f>'Tax Sched 23'!E4</f>
        <v>1494031</v>
      </c>
      <c r="D1808" s="2" t="str">
        <f t="shared" si="27"/>
        <v>Error?</v>
      </c>
    </row>
    <row r="1809" spans="1:4" x14ac:dyDescent="0.2">
      <c r="A1809" s="5">
        <v>1748</v>
      </c>
      <c r="B1809" s="138">
        <f>'Tax Sched 23'!E5</f>
        <v>283948</v>
      </c>
      <c r="D1809" s="2" t="str">
        <f t="shared" si="27"/>
        <v>Error?</v>
      </c>
    </row>
    <row r="1810" spans="1:4" x14ac:dyDescent="0.2">
      <c r="A1810" s="5">
        <v>1749</v>
      </c>
      <c r="B1810" s="138">
        <f>'Tax Sched 23'!E6</f>
        <v>215900</v>
      </c>
      <c r="D1810" s="2" t="str">
        <f t="shared" si="27"/>
        <v>Error?</v>
      </c>
    </row>
    <row r="1811" spans="1:4" x14ac:dyDescent="0.2">
      <c r="A1811" s="5">
        <v>1750</v>
      </c>
      <c r="B1811" s="138">
        <f>'Tax Sched 23'!E7</f>
        <v>138592</v>
      </c>
      <c r="D1811" s="2" t="str">
        <f t="shared" si="27"/>
        <v>Error?</v>
      </c>
    </row>
    <row r="1812" spans="1:4" x14ac:dyDescent="0.2">
      <c r="A1812" s="5">
        <v>1751</v>
      </c>
      <c r="B1812" s="138">
        <f>'Tax Sched 23'!E8</f>
        <v>119552</v>
      </c>
      <c r="D1812" s="2" t="str">
        <f t="shared" si="27"/>
        <v>Error?</v>
      </c>
    </row>
    <row r="1813" spans="1:4" x14ac:dyDescent="0.2">
      <c r="A1813" s="5">
        <v>1752</v>
      </c>
      <c r="B1813" s="138">
        <f>'Tax Sched 23'!E10</f>
        <v>47342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161067</v>
      </c>
      <c r="D1816" s="2" t="str">
        <f t="shared" si="27"/>
        <v>Error?</v>
      </c>
    </row>
    <row r="1817" spans="1:4" x14ac:dyDescent="0.2">
      <c r="A1817" s="5">
        <v>1756</v>
      </c>
      <c r="B1817" s="138">
        <f>'Tax Sched 23'!E12</f>
        <v>56706</v>
      </c>
      <c r="D1817" s="2" t="str">
        <f t="shared" si="27"/>
        <v>Error?</v>
      </c>
    </row>
    <row r="1818" spans="1:4" x14ac:dyDescent="0.2">
      <c r="A1818" s="5">
        <v>1757</v>
      </c>
      <c r="B1818" s="138">
        <f>'Tax Sched 23'!E14</f>
        <v>24868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2661558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4676415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24105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24105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24105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137257</v>
      </c>
      <c r="D2008" s="2" t="str">
        <f t="shared" si="30"/>
        <v>Error?</v>
      </c>
    </row>
    <row r="2009" spans="1:4" x14ac:dyDescent="0.2">
      <c r="A2009" s="5">
        <v>1948</v>
      </c>
      <c r="B2009" s="138">
        <f>'Cap Outlay Deprec 26'!C8</f>
        <v>8447841</v>
      </c>
      <c r="D2009" s="2" t="str">
        <f t="shared" si="30"/>
        <v>Error?</v>
      </c>
    </row>
    <row r="2010" spans="1:4" x14ac:dyDescent="0.2">
      <c r="A2010" s="5">
        <v>1949</v>
      </c>
      <c r="B2010" s="138">
        <f>'Cap Outlay Deprec 26'!C10</f>
        <v>1089822</v>
      </c>
      <c r="D2010" s="2" t="str">
        <f t="shared" si="30"/>
        <v>Error?</v>
      </c>
    </row>
    <row r="2011" spans="1:4" x14ac:dyDescent="0.2">
      <c r="A2011" s="5">
        <v>1950</v>
      </c>
      <c r="B2011" s="138">
        <f>'Cap Outlay Deprec 26'!C12</f>
        <v>108816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13998849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4258032</v>
      </c>
      <c r="D2015" s="2" t="str">
        <f t="shared" si="30"/>
        <v>Error?</v>
      </c>
    </row>
    <row r="2016" spans="1:4" x14ac:dyDescent="0.2">
      <c r="A2016" s="5">
        <v>1955</v>
      </c>
      <c r="B2016" s="138">
        <f>'Cap Outlay Deprec 26'!D10</f>
        <v>215967</v>
      </c>
      <c r="D2016" s="2" t="str">
        <f t="shared" si="30"/>
        <v>Error?</v>
      </c>
    </row>
    <row r="2017" spans="1:4" x14ac:dyDescent="0.2">
      <c r="A2017" s="5">
        <v>1956</v>
      </c>
      <c r="B2017" s="138">
        <f>'Cap Outlay Deprec 26'!D12</f>
        <v>26228</v>
      </c>
      <c r="D2017" s="2" t="str">
        <f t="shared" si="30"/>
        <v>Error?</v>
      </c>
    </row>
    <row r="2018" spans="1:4" x14ac:dyDescent="0.2">
      <c r="A2018" s="5">
        <v>1957</v>
      </c>
      <c r="B2018" s="138">
        <f>'Cap Outlay Deprec 26'!D13</f>
        <v>16177</v>
      </c>
      <c r="D2018" s="2" t="str">
        <f t="shared" si="30"/>
        <v>Error?</v>
      </c>
    </row>
    <row r="2019" spans="1:4" x14ac:dyDescent="0.2">
      <c r="A2019" s="5">
        <v>1958</v>
      </c>
      <c r="B2019" s="138">
        <f>'Cap Outlay Deprec 26'!D16</f>
        <v>4566134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4215113</v>
      </c>
      <c r="C2025" s="2" t="s">
        <v>594</v>
      </c>
      <c r="D2025" s="2" t="str">
        <f t="shared" si="30"/>
        <v>Error?</v>
      </c>
    </row>
    <row r="2026" spans="1:4" x14ac:dyDescent="0.2">
      <c r="A2026" s="5">
        <v>1965</v>
      </c>
      <c r="B2026" s="138">
        <f>'Cap Outlay Deprec 26'!F5</f>
        <v>137257</v>
      </c>
      <c r="C2026" s="2" t="s">
        <v>594</v>
      </c>
      <c r="D2026" s="2" t="str">
        <f t="shared" si="30"/>
        <v>Error?</v>
      </c>
    </row>
    <row r="2027" spans="1:4" x14ac:dyDescent="0.2">
      <c r="A2027" s="5">
        <v>1966</v>
      </c>
      <c r="B2027" s="138">
        <f>'Cap Outlay Deprec 26'!F8</f>
        <v>12705873</v>
      </c>
      <c r="C2027" s="2" t="s">
        <v>594</v>
      </c>
      <c r="D2027" s="2" t="str">
        <f t="shared" si="30"/>
        <v>Error?</v>
      </c>
    </row>
    <row r="2028" spans="1:4" x14ac:dyDescent="0.2">
      <c r="A2028" s="5">
        <v>1967</v>
      </c>
      <c r="B2028" s="138">
        <f>'Cap Outlay Deprec 26'!F10</f>
        <v>1305789</v>
      </c>
      <c r="C2028" s="2" t="s">
        <v>594</v>
      </c>
      <c r="D2028" s="2" t="str">
        <f t="shared" si="30"/>
        <v>Error?</v>
      </c>
    </row>
    <row r="2029" spans="1:4" x14ac:dyDescent="0.2">
      <c r="A2029" s="5">
        <v>1968</v>
      </c>
      <c r="B2029" s="138">
        <f>'Cap Outlay Deprec 26'!F12</f>
        <v>135044</v>
      </c>
      <c r="C2029" s="2" t="s">
        <v>594</v>
      </c>
      <c r="D2029" s="2" t="str">
        <f t="shared" si="30"/>
        <v>Error?</v>
      </c>
    </row>
    <row r="2030" spans="1:4" x14ac:dyDescent="0.2">
      <c r="A2030" s="5">
        <v>1969</v>
      </c>
      <c r="B2030" s="138">
        <f>'Cap Outlay Deprec 26'!F13</f>
        <v>16177</v>
      </c>
      <c r="C2030" s="2" t="s">
        <v>594</v>
      </c>
      <c r="D2030" s="2" t="str">
        <f t="shared" si="30"/>
        <v>Error?</v>
      </c>
    </row>
    <row r="2031" spans="1:4" x14ac:dyDescent="0.2">
      <c r="A2031" s="5">
        <v>1970</v>
      </c>
      <c r="B2031" s="138">
        <f>'Cap Outlay Deprec 26'!F16</f>
        <v>14349870</v>
      </c>
      <c r="C2031" s="2" t="s">
        <v>594</v>
      </c>
      <c r="D2031" s="2" t="str">
        <f t="shared" si="30"/>
        <v>Error?</v>
      </c>
    </row>
    <row r="2032" spans="1:4" x14ac:dyDescent="0.2">
      <c r="A2032" s="10">
        <v>1971</v>
      </c>
      <c r="D2032" s="2" t="str">
        <f t="shared" si="30"/>
        <v>OK</v>
      </c>
    </row>
    <row r="2033" spans="1:4" x14ac:dyDescent="0.2">
      <c r="A2033" s="5">
        <v>1972</v>
      </c>
      <c r="B2033" s="138">
        <f>'Cap Outlay Deprec 26'!H8</f>
        <v>4434346</v>
      </c>
      <c r="D2033" s="2" t="str">
        <f t="shared" si="30"/>
        <v>Error?</v>
      </c>
    </row>
    <row r="2034" spans="1:4" x14ac:dyDescent="0.2">
      <c r="A2034" s="5">
        <v>1973</v>
      </c>
      <c r="B2034" s="138">
        <f>'Cap Outlay Deprec 26'!H10</f>
        <v>150094</v>
      </c>
      <c r="D2034" s="2" t="str">
        <f t="shared" si="30"/>
        <v>Error?</v>
      </c>
    </row>
    <row r="2035" spans="1:4" x14ac:dyDescent="0.2">
      <c r="A2035" s="5">
        <v>1974</v>
      </c>
      <c r="B2035" s="138">
        <f>'Cap Outlay Deprec 26'!H12</f>
        <v>6124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4590564</v>
      </c>
      <c r="C2037" s="2" t="s">
        <v>594</v>
      </c>
      <c r="D2037" s="2" t="str">
        <f t="shared" si="30"/>
        <v>Error?</v>
      </c>
    </row>
    <row r="2038" spans="1:4" x14ac:dyDescent="0.2">
      <c r="A2038" s="10">
        <v>1977</v>
      </c>
      <c r="D2038" s="2" t="str">
        <f t="shared" si="30"/>
        <v>OK</v>
      </c>
    </row>
    <row r="2039" spans="1:4" x14ac:dyDescent="0.2">
      <c r="A2039" s="5">
        <v>1978</v>
      </c>
      <c r="B2039" s="138">
        <f>'Cap Outlay Deprec 26'!I8</f>
        <v>254117</v>
      </c>
      <c r="D2039" s="2" t="str">
        <f t="shared" si="30"/>
        <v>Error?</v>
      </c>
    </row>
    <row r="2040" spans="1:4" x14ac:dyDescent="0.2">
      <c r="A2040" s="5">
        <v>1979</v>
      </c>
      <c r="B2040" s="138">
        <f>'Cap Outlay Deprec 26'!I10</f>
        <v>61624</v>
      </c>
      <c r="D2040" s="2" t="str">
        <f t="shared" si="30"/>
        <v>Error?</v>
      </c>
    </row>
    <row r="2041" spans="1:4" x14ac:dyDescent="0.2">
      <c r="A2041" s="5">
        <v>1980</v>
      </c>
      <c r="B2041" s="138">
        <f>'Cap Outlay Deprec 26'!I12</f>
        <v>7575</v>
      </c>
      <c r="D2041" s="2" t="str">
        <f t="shared" si="30"/>
        <v>Error?</v>
      </c>
    </row>
    <row r="2042" spans="1:4" x14ac:dyDescent="0.2">
      <c r="A2042" s="5">
        <v>1981</v>
      </c>
      <c r="B2042" s="138">
        <f>'Cap Outlay Deprec 26'!I13</f>
        <v>954</v>
      </c>
      <c r="D2042" s="2" t="str">
        <f t="shared" si="30"/>
        <v>Error?</v>
      </c>
    </row>
    <row r="2043" spans="1:4" x14ac:dyDescent="0.2">
      <c r="A2043" s="5">
        <v>1982</v>
      </c>
      <c r="B2043" s="138">
        <f>'Cap Outlay Deprec 26'!I16</f>
        <v>324270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4688463</v>
      </c>
      <c r="C2051" s="2" t="s">
        <v>594</v>
      </c>
      <c r="D2051" s="2" t="str">
        <f t="shared" si="31"/>
        <v>Error?</v>
      </c>
    </row>
    <row r="2052" spans="1:4" x14ac:dyDescent="0.2">
      <c r="A2052" s="5">
        <v>1991</v>
      </c>
      <c r="B2052" s="138">
        <f>'Cap Outlay Deprec 26'!K10</f>
        <v>211718</v>
      </c>
      <c r="C2052" s="2" t="s">
        <v>594</v>
      </c>
      <c r="D2052" s="2" t="str">
        <f t="shared" si="31"/>
        <v>Error?</v>
      </c>
    </row>
    <row r="2053" spans="1:4" x14ac:dyDescent="0.2">
      <c r="A2053" s="5">
        <v>1992</v>
      </c>
      <c r="B2053" s="138">
        <f>'Cap Outlay Deprec 26'!K12</f>
        <v>13699</v>
      </c>
      <c r="C2053" s="2" t="s">
        <v>594</v>
      </c>
      <c r="D2053" s="2" t="str">
        <f t="shared" si="31"/>
        <v>Error?</v>
      </c>
    </row>
    <row r="2054" spans="1:4" x14ac:dyDescent="0.2">
      <c r="A2054" s="5">
        <v>1993</v>
      </c>
      <c r="B2054" s="138">
        <f>'Cap Outlay Deprec 26'!K13</f>
        <v>954</v>
      </c>
      <c r="C2054" s="2" t="s">
        <v>594</v>
      </c>
      <c r="D2054" s="2" t="str">
        <f t="shared" si="31"/>
        <v>Error?</v>
      </c>
    </row>
    <row r="2055" spans="1:4" x14ac:dyDescent="0.2">
      <c r="A2055" s="5">
        <v>1994</v>
      </c>
      <c r="B2055" s="138">
        <f>'Cap Outlay Deprec 26'!K16</f>
        <v>4914834</v>
      </c>
      <c r="C2055" s="2" t="s">
        <v>594</v>
      </c>
      <c r="D2055" s="2" t="str">
        <f t="shared" si="31"/>
        <v>Error?</v>
      </c>
    </row>
    <row r="2056" spans="1:4" x14ac:dyDescent="0.2">
      <c r="A2056" s="5">
        <v>1995</v>
      </c>
      <c r="B2056" s="138">
        <f>'Cap Outlay Deprec 26'!L5</f>
        <v>137257</v>
      </c>
      <c r="C2056" s="2" t="s">
        <v>594</v>
      </c>
      <c r="D2056" s="2" t="str">
        <f t="shared" si="31"/>
        <v>Error?</v>
      </c>
    </row>
    <row r="2057" spans="1:4" x14ac:dyDescent="0.2">
      <c r="A2057" s="5">
        <v>1996</v>
      </c>
      <c r="B2057" s="138">
        <f>'Cap Outlay Deprec 26'!L8</f>
        <v>8017410</v>
      </c>
      <c r="C2057" s="2" t="s">
        <v>594</v>
      </c>
      <c r="D2057" s="2" t="str">
        <f t="shared" si="31"/>
        <v>Error?</v>
      </c>
    </row>
    <row r="2058" spans="1:4" x14ac:dyDescent="0.2">
      <c r="A2058" s="5">
        <v>1997</v>
      </c>
      <c r="B2058" s="138">
        <f>'Cap Outlay Deprec 26'!L10</f>
        <v>1094071</v>
      </c>
      <c r="C2058" s="2" t="s">
        <v>594</v>
      </c>
      <c r="D2058" s="2" t="str">
        <f t="shared" si="31"/>
        <v>Error?</v>
      </c>
    </row>
    <row r="2059" spans="1:4" x14ac:dyDescent="0.2">
      <c r="A2059" s="5">
        <v>1998</v>
      </c>
      <c r="B2059" s="138">
        <f>'Cap Outlay Deprec 26'!L12</f>
        <v>121345</v>
      </c>
      <c r="C2059" s="2" t="s">
        <v>594</v>
      </c>
      <c r="D2059" s="2" t="str">
        <f t="shared" si="31"/>
        <v>Error?</v>
      </c>
    </row>
    <row r="2060" spans="1:4" x14ac:dyDescent="0.2">
      <c r="A2060" s="5">
        <v>1999</v>
      </c>
      <c r="B2060" s="138">
        <f>'Cap Outlay Deprec 26'!L13</f>
        <v>15223</v>
      </c>
      <c r="C2060" s="2" t="s">
        <v>594</v>
      </c>
      <c r="D2060" s="2" t="str">
        <f t="shared" si="31"/>
        <v>Error?</v>
      </c>
    </row>
    <row r="2061" spans="1:4" x14ac:dyDescent="0.2">
      <c r="A2061" s="5">
        <v>2000</v>
      </c>
      <c r="B2061" s="138">
        <f>'Cap Outlay Deprec 26'!L16</f>
        <v>9435036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235722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175000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1000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1764492</v>
      </c>
      <c r="C2551" s="2" t="s">
        <v>594</v>
      </c>
      <c r="D2551" s="2" t="str">
        <f t="shared" si="38"/>
        <v>Error?</v>
      </c>
    </row>
    <row r="2552" spans="1:4" x14ac:dyDescent="0.2">
      <c r="A2552" s="10">
        <v>2491</v>
      </c>
      <c r="D2552" s="2" t="str">
        <f t="shared" si="38"/>
        <v>OK</v>
      </c>
    </row>
    <row r="2553" spans="1:4" x14ac:dyDescent="0.2">
      <c r="A2553" s="5">
        <v>2492</v>
      </c>
      <c r="B2553" s="138">
        <f>'Acct Summary 7-8'!C6</f>
        <v>5995401</v>
      </c>
      <c r="C2553" s="2" t="s">
        <v>594</v>
      </c>
      <c r="D2553" s="2" t="str">
        <f t="shared" si="38"/>
        <v>Error?</v>
      </c>
    </row>
    <row r="2554" spans="1:4" x14ac:dyDescent="0.2">
      <c r="A2554" s="5">
        <v>2493</v>
      </c>
      <c r="B2554" s="138">
        <f>'Acct Summary 7-8'!C7</f>
        <v>1250495</v>
      </c>
      <c r="C2554" s="2" t="s">
        <v>594</v>
      </c>
      <c r="D2554" s="2" t="str">
        <f t="shared" si="38"/>
        <v>Error?</v>
      </c>
    </row>
    <row r="2555" spans="1:4" x14ac:dyDescent="0.2">
      <c r="A2555" s="5">
        <v>2494</v>
      </c>
      <c r="B2555" s="138">
        <f>'Acct Summary 7-8'!C8</f>
        <v>9010388</v>
      </c>
      <c r="C2555" s="2" t="s">
        <v>594</v>
      </c>
      <c r="D2555" s="2" t="str">
        <f t="shared" si="38"/>
        <v>Error?</v>
      </c>
    </row>
    <row r="2556" spans="1:4" x14ac:dyDescent="0.2">
      <c r="A2556" s="5">
        <v>2495</v>
      </c>
      <c r="B2556" s="138">
        <f>'Acct Summary 7-8'!C12</f>
        <v>5730336</v>
      </c>
      <c r="C2556" s="2" t="s">
        <v>594</v>
      </c>
      <c r="D2556" s="2" t="str">
        <f t="shared" si="38"/>
        <v>Error?</v>
      </c>
    </row>
    <row r="2557" spans="1:4" x14ac:dyDescent="0.2">
      <c r="A2557" s="5">
        <v>2496</v>
      </c>
      <c r="B2557" s="138">
        <f>'Acct Summary 7-8'!C13</f>
        <v>2059044</v>
      </c>
      <c r="C2557" s="2" t="s">
        <v>594</v>
      </c>
      <c r="D2557" s="2" t="str">
        <f t="shared" si="38"/>
        <v>Error?</v>
      </c>
    </row>
    <row r="2558" spans="1:4" x14ac:dyDescent="0.2">
      <c r="A2558" s="5">
        <v>2497</v>
      </c>
      <c r="B2558" s="138">
        <f>'Acct Summary 7-8'!C14</f>
        <v>3835</v>
      </c>
      <c r="C2558" s="2" t="s">
        <v>594</v>
      </c>
      <c r="D2558" s="2" t="str">
        <f t="shared" si="38"/>
        <v>Error?</v>
      </c>
    </row>
    <row r="2559" spans="1:4" x14ac:dyDescent="0.2">
      <c r="A2559" s="5">
        <v>2498</v>
      </c>
      <c r="B2559" s="138">
        <f>'Acct Summary 7-8'!C15</f>
        <v>235722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8028937</v>
      </c>
      <c r="C2561" s="2" t="s">
        <v>594</v>
      </c>
      <c r="D2561" s="2" t="str">
        <f t="shared" si="39"/>
        <v>Error?</v>
      </c>
    </row>
    <row r="2562" spans="1:4" x14ac:dyDescent="0.2">
      <c r="A2562" s="5">
        <v>2501</v>
      </c>
      <c r="B2562" s="138">
        <f>'Acct Summary 7-8'!C20</f>
        <v>981451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298860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298860</v>
      </c>
      <c r="C2568" s="2" t="s">
        <v>594</v>
      </c>
      <c r="D2568" s="2" t="str">
        <f t="shared" si="39"/>
        <v>Error?</v>
      </c>
    </row>
    <row r="2569" spans="1:4" x14ac:dyDescent="0.2">
      <c r="A2569" s="5">
        <v>2508</v>
      </c>
      <c r="B2569" s="138">
        <f>'Acct Summary 7-8'!D13</f>
        <v>437997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437997</v>
      </c>
      <c r="C2573" s="2" t="s">
        <v>594</v>
      </c>
      <c r="D2573" s="2" t="str">
        <f t="shared" si="39"/>
        <v>Error?</v>
      </c>
    </row>
    <row r="2574" spans="1:4" x14ac:dyDescent="0.2">
      <c r="A2574" s="5">
        <v>2513</v>
      </c>
      <c r="B2574" s="138">
        <f>'Acct Summary 7-8'!D20</f>
        <v>-139137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136845</v>
      </c>
      <c r="C2591" s="2" t="s">
        <v>594</v>
      </c>
      <c r="D2591" s="2" t="str">
        <f t="shared" si="39"/>
        <v>Error?</v>
      </c>
    </row>
    <row r="2592" spans="1:4" x14ac:dyDescent="0.2">
      <c r="A2592" s="10">
        <v>2531</v>
      </c>
      <c r="D2592" s="2" t="str">
        <f t="shared" si="39"/>
        <v>OK</v>
      </c>
    </row>
    <row r="2593" spans="1:4" x14ac:dyDescent="0.2">
      <c r="A2593" s="5">
        <v>2532</v>
      </c>
      <c r="B2593" s="138">
        <f>'Acct Summary 7-8'!F6</f>
        <v>426879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563724</v>
      </c>
      <c r="C2595" s="2" t="s">
        <v>594</v>
      </c>
      <c r="D2595" s="2" t="str">
        <f t="shared" si="39"/>
        <v>Error?</v>
      </c>
    </row>
    <row r="2596" spans="1:4" x14ac:dyDescent="0.2">
      <c r="A2596" s="5">
        <v>2535</v>
      </c>
      <c r="B2596" s="138">
        <f>'Acct Summary 7-8'!F13</f>
        <v>482415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482415</v>
      </c>
      <c r="C2600" s="2" t="s">
        <v>594</v>
      </c>
      <c r="D2600" s="2" t="str">
        <f t="shared" si="39"/>
        <v>Error?</v>
      </c>
    </row>
    <row r="2601" spans="1:4" x14ac:dyDescent="0.2">
      <c r="A2601" s="5">
        <v>2540</v>
      </c>
      <c r="B2601" s="138">
        <f>'Acct Summary 7-8'!F20</f>
        <v>81309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252064</v>
      </c>
      <c r="C2603" s="2" t="s">
        <v>594</v>
      </c>
      <c r="D2603" s="2" t="str">
        <f t="shared" si="39"/>
        <v>Error?</v>
      </c>
    </row>
    <row r="2604" spans="1:4" x14ac:dyDescent="0.2">
      <c r="A2604" s="5">
        <v>2543</v>
      </c>
      <c r="B2604" s="138">
        <f>'Acct Summary 7-8'!G6</f>
        <v>75000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327064</v>
      </c>
      <c r="C2606" s="2" t="s">
        <v>594</v>
      </c>
      <c r="D2606" s="2" t="str">
        <f t="shared" si="39"/>
        <v>Error?</v>
      </c>
    </row>
    <row r="2607" spans="1:4" x14ac:dyDescent="0.2">
      <c r="A2607" s="5">
        <v>2546</v>
      </c>
      <c r="B2607" s="138">
        <f>'Acct Summary 7-8'!G12</f>
        <v>196838</v>
      </c>
      <c r="C2607" s="2" t="s">
        <v>594</v>
      </c>
      <c r="D2607" s="2" t="str">
        <f t="shared" si="39"/>
        <v>Error?</v>
      </c>
    </row>
    <row r="2608" spans="1:4" x14ac:dyDescent="0.2">
      <c r="A2608" s="5">
        <v>2547</v>
      </c>
      <c r="B2608" s="138">
        <f>'Acct Summary 7-8'!G13</f>
        <v>124633</v>
      </c>
      <c r="C2608" s="2" t="s">
        <v>594</v>
      </c>
      <c r="D2608" s="2" t="str">
        <f t="shared" si="39"/>
        <v>Error?</v>
      </c>
    </row>
    <row r="2609" spans="1:4" x14ac:dyDescent="0.2">
      <c r="A2609" s="5">
        <v>2548</v>
      </c>
      <c r="B2609" s="138">
        <f>'Acct Summary 7-8'!G14</f>
        <v>309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321780</v>
      </c>
      <c r="C2612" s="2" t="s">
        <v>594</v>
      </c>
      <c r="D2612" s="2" t="str">
        <f t="shared" si="39"/>
        <v>Error?</v>
      </c>
    </row>
    <row r="2613" spans="1:4" x14ac:dyDescent="0.2">
      <c r="A2613" s="5">
        <v>2552</v>
      </c>
      <c r="B2613" s="138">
        <f>'Acct Summary 7-8'!G20</f>
        <v>5284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215944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215944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220500</v>
      </c>
      <c r="C2634" s="2" t="s">
        <v>594</v>
      </c>
      <c r="D2634" s="2" t="str">
        <f t="shared" si="40"/>
        <v>Error?</v>
      </c>
    </row>
    <row r="2635" spans="1:4" x14ac:dyDescent="0.2">
      <c r="A2635" s="5">
        <v>2574</v>
      </c>
      <c r="B2635" s="138">
        <f>'Acct Summary 7-8'!E17</f>
        <v>220500</v>
      </c>
      <c r="C2635" s="2" t="s">
        <v>594</v>
      </c>
      <c r="D2635" s="2" t="str">
        <f t="shared" si="40"/>
        <v>Error?</v>
      </c>
    </row>
    <row r="2636" spans="1:4" x14ac:dyDescent="0.2">
      <c r="A2636" s="5">
        <v>2575</v>
      </c>
      <c r="B2636" s="138">
        <f>'Acct Summary 7-8'!E20</f>
        <v>-4556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482353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482353</v>
      </c>
      <c r="C2658" s="2" t="s">
        <v>594</v>
      </c>
      <c r="D2658" s="2" t="str">
        <f t="shared" si="40"/>
        <v>Error?</v>
      </c>
    </row>
    <row r="2659" spans="1:4" x14ac:dyDescent="0.2">
      <c r="A2659" s="5">
        <v>2598</v>
      </c>
      <c r="B2659" s="138">
        <f>'Acct Summary 7-8'!H13</f>
        <v>267663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267663</v>
      </c>
      <c r="C2661" s="2" t="s">
        <v>594</v>
      </c>
      <c r="D2661" s="2" t="str">
        <f t="shared" si="40"/>
        <v>Error?</v>
      </c>
    </row>
    <row r="2662" spans="1:4" x14ac:dyDescent="0.2">
      <c r="A2662" s="5">
        <v>2601</v>
      </c>
      <c r="B2662" s="138">
        <f>'Acct Summary 7-8'!H20</f>
        <v>214690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235722</v>
      </c>
      <c r="C2789" s="2" t="s">
        <v>594</v>
      </c>
      <c r="D2789" s="2" t="str">
        <f t="shared" si="42"/>
        <v>Error?</v>
      </c>
    </row>
    <row r="2790" spans="1:4" x14ac:dyDescent="0.2">
      <c r="A2790" s="5">
        <v>2729</v>
      </c>
      <c r="B2790" s="138">
        <f>'Expenditures 15-22'!E102</f>
        <v>235722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49730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734198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48564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734198</v>
      </c>
      <c r="D2912" s="2" t="str">
        <f t="shared" si="44"/>
        <v>Error?</v>
      </c>
    </row>
    <row r="2913" spans="1:4" x14ac:dyDescent="0.2">
      <c r="A2913" s="5">
        <v>2852</v>
      </c>
      <c r="B2913" s="138">
        <f>'Assets-Liab 5-6'!I41</f>
        <v>734198</v>
      </c>
      <c r="C2913" s="2" t="s">
        <v>594</v>
      </c>
      <c r="D2913" s="2" t="str">
        <f t="shared" si="44"/>
        <v>Error?</v>
      </c>
    </row>
    <row r="2914" spans="1:4" x14ac:dyDescent="0.2">
      <c r="A2914" s="5">
        <v>2853</v>
      </c>
      <c r="B2914" s="138">
        <f>'Assets-Liab 5-6'!L33</f>
        <v>48564</v>
      </c>
      <c r="D2914" s="2" t="str">
        <f t="shared" si="44"/>
        <v>Error?</v>
      </c>
    </row>
    <row r="2915" spans="1:4" x14ac:dyDescent="0.2">
      <c r="A2915" s="10">
        <v>2854</v>
      </c>
      <c r="D2915" s="2" t="str">
        <f t="shared" si="44"/>
        <v>OK</v>
      </c>
    </row>
    <row r="2916" spans="1:4" x14ac:dyDescent="0.2">
      <c r="A2916" s="5">
        <v>2855</v>
      </c>
      <c r="B2916" s="138">
        <f>'Assets-Liab 5-6'!L34</f>
        <v>48564</v>
      </c>
      <c r="C2916" s="2" t="s">
        <v>594</v>
      </c>
      <c r="D2916" s="2" t="str">
        <f t="shared" si="44"/>
        <v>Error?</v>
      </c>
    </row>
    <row r="2917" spans="1:4" x14ac:dyDescent="0.2">
      <c r="A2917" s="5">
        <v>2856</v>
      </c>
      <c r="B2917" s="138">
        <f>'Assets-Liab 5-6'!L41</f>
        <v>48564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235722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235722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300277</v>
      </c>
      <c r="D3055" s="2" t="str">
        <f t="shared" si="46"/>
        <v>Error?</v>
      </c>
    </row>
    <row r="3056" spans="1:4" x14ac:dyDescent="0.2">
      <c r="A3056" s="5">
        <v>2995</v>
      </c>
      <c r="B3056" s="138">
        <f>'Expenditures 15-22'!D10</f>
        <v>63796</v>
      </c>
      <c r="D3056" s="2" t="str">
        <f t="shared" si="46"/>
        <v>Error?</v>
      </c>
    </row>
    <row r="3057" spans="1:4" x14ac:dyDescent="0.2">
      <c r="A3057" s="5">
        <v>2996</v>
      </c>
      <c r="B3057" s="138">
        <f>'Expenditures 15-22'!E10</f>
        <v>4682</v>
      </c>
      <c r="D3057" s="2" t="str">
        <f t="shared" si="46"/>
        <v>Error?</v>
      </c>
    </row>
    <row r="3058" spans="1:4" x14ac:dyDescent="0.2">
      <c r="A3058" s="5">
        <v>2997</v>
      </c>
      <c r="B3058" s="138">
        <f>'Expenditures 15-22'!F10</f>
        <v>19414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388169</v>
      </c>
      <c r="C3062" s="2" t="s">
        <v>594</v>
      </c>
      <c r="D3062" s="2" t="str">
        <f t="shared" si="46"/>
        <v>Error?</v>
      </c>
    </row>
    <row r="3063" spans="1:4" x14ac:dyDescent="0.2">
      <c r="A3063" s="10">
        <v>3002</v>
      </c>
      <c r="D3063" s="2" t="str">
        <f t="shared" si="46"/>
        <v>OK</v>
      </c>
    </row>
    <row r="3064" spans="1:4" x14ac:dyDescent="0.2">
      <c r="A3064" s="5">
        <v>3003</v>
      </c>
      <c r="B3064" s="138">
        <f>'Expenditures 15-22'!D219</f>
        <v>54826</v>
      </c>
      <c r="D3064" s="2" t="str">
        <f t="shared" si="46"/>
        <v>Error?</v>
      </c>
    </row>
    <row r="3065" spans="1:4" x14ac:dyDescent="0.2">
      <c r="A3065" s="5">
        <v>3004</v>
      </c>
      <c r="B3065" s="138">
        <f>'Expenditures 15-22'!K219</f>
        <v>54826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45810</v>
      </c>
      <c r="C3225" s="2" t="s">
        <v>594</v>
      </c>
      <c r="D3225" s="2" t="str">
        <f t="shared" si="49"/>
        <v>Error?</v>
      </c>
    </row>
    <row r="3226" spans="1:4" x14ac:dyDescent="0.2">
      <c r="A3226" s="5">
        <v>3165</v>
      </c>
      <c r="B3226" s="138">
        <f>'Acct Summary 7-8'!I8</f>
        <v>45810</v>
      </c>
      <c r="C3226" s="2" t="s">
        <v>594</v>
      </c>
      <c r="D3226" s="2" t="str">
        <f t="shared" si="49"/>
        <v>Error?</v>
      </c>
    </row>
    <row r="3227" spans="1:4" x14ac:dyDescent="0.2">
      <c r="A3227" s="5">
        <v>3166</v>
      </c>
      <c r="B3227" s="138">
        <f>'Acct Summary 7-8'!I20</f>
        <v>45810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981451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-139137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81309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5284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350638</v>
      </c>
      <c r="C3274" s="2" t="s">
        <v>594</v>
      </c>
      <c r="D3274" s="2" t="str">
        <f t="shared" si="50"/>
        <v>Error?</v>
      </c>
    </row>
    <row r="3275" spans="1:4" x14ac:dyDescent="0.2">
      <c r="A3275" s="5">
        <v>3214</v>
      </c>
      <c r="B3275" s="138">
        <f>'Acct Summary 7-8'!E75</f>
        <v>350638</v>
      </c>
      <c r="D3275" s="2" t="str">
        <f t="shared" si="50"/>
        <v>Error?</v>
      </c>
    </row>
    <row r="3276" spans="1:4" x14ac:dyDescent="0.2">
      <c r="A3276" s="5">
        <v>3215</v>
      </c>
      <c r="B3276" s="138">
        <f>'Acct Summary 7-8'!E76</f>
        <v>350638</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-4556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175000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350638</v>
      </c>
      <c r="C3298" s="2" t="s">
        <v>594</v>
      </c>
      <c r="D3298" s="2" t="str">
        <f t="shared" si="50"/>
        <v>Error?</v>
      </c>
    </row>
    <row r="3299" spans="1:4" x14ac:dyDescent="0.2">
      <c r="A3299" s="5">
        <v>3238</v>
      </c>
      <c r="B3299" s="138">
        <f>'Acct Summary 7-8'!H77</f>
        <v>-175638</v>
      </c>
      <c r="C3299" s="2" t="s">
        <v>594</v>
      </c>
      <c r="D3299" s="2" t="str">
        <f t="shared" si="50"/>
        <v>Error?</v>
      </c>
    </row>
    <row r="3300" spans="1:4" x14ac:dyDescent="0.2">
      <c r="A3300" s="5">
        <v>3239</v>
      </c>
      <c r="B3300" s="138">
        <f>'Acct Summary 7-8'!H78</f>
        <v>39052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175000</v>
      </c>
      <c r="C3318" s="2" t="s">
        <v>594</v>
      </c>
      <c r="D3318" s="2" t="str">
        <f t="shared" si="50"/>
        <v>Error?</v>
      </c>
    </row>
    <row r="3319" spans="1:4" x14ac:dyDescent="0.2">
      <c r="A3319" s="5">
        <v>3258</v>
      </c>
      <c r="B3319" s="138">
        <f>'Acct Summary 7-8'!I77</f>
        <v>-175000</v>
      </c>
      <c r="C3319" s="2" t="s">
        <v>594</v>
      </c>
      <c r="D3319" s="2" t="str">
        <f t="shared" si="50"/>
        <v>Error?</v>
      </c>
    </row>
    <row r="3320" spans="1:4" x14ac:dyDescent="0.2">
      <c r="A3320" s="5">
        <v>3259</v>
      </c>
      <c r="B3320" s="138">
        <f>'Acct Summary 7-8'!I78</f>
        <v>-129190</v>
      </c>
      <c r="C3320" s="2" t="s">
        <v>594</v>
      </c>
      <c r="D3320" s="2" t="str">
        <f t="shared" si="50"/>
        <v>Error?</v>
      </c>
    </row>
    <row r="3321" spans="1:4" x14ac:dyDescent="0.2">
      <c r="A3321" s="5">
        <v>3260</v>
      </c>
      <c r="B3321" s="138">
        <f>'Acct Summary 7-8'!I79</f>
        <v>863388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734198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1214790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233049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1448008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45195</v>
      </c>
      <c r="D3387" s="2" t="str">
        <f t="shared" si="51"/>
        <v>Error?</v>
      </c>
    </row>
    <row r="3388" spans="1:4" x14ac:dyDescent="0.2">
      <c r="A3388" s="5">
        <v>3327</v>
      </c>
      <c r="B3388" s="138">
        <f>'Expenditures 15-22'!D217</f>
        <v>89158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45195</v>
      </c>
      <c r="C3390" s="2" t="s">
        <v>594</v>
      </c>
      <c r="D3390" s="2" t="str">
        <f t="shared" si="51"/>
        <v>Error?</v>
      </c>
    </row>
    <row r="3391" spans="1:4" x14ac:dyDescent="0.2">
      <c r="A3391" s="5">
        <v>3330</v>
      </c>
      <c r="B3391" s="138">
        <f>'Expenditures 15-22'!K217</f>
        <v>89158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2049277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168004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44060</v>
      </c>
      <c r="D3417" s="2" t="str">
        <f t="shared" si="52"/>
        <v>Error?</v>
      </c>
    </row>
    <row r="3418" spans="1:4" x14ac:dyDescent="0.2">
      <c r="A3418" s="10">
        <v>3357</v>
      </c>
      <c r="D3418" s="2" t="str">
        <f t="shared" si="52"/>
        <v>OK</v>
      </c>
    </row>
    <row r="3419" spans="1:4" x14ac:dyDescent="0.2">
      <c r="A3419" s="5">
        <v>3358</v>
      </c>
      <c r="B3419" s="138">
        <f>'Assets-Liab 5-6'!F4</f>
        <v>185783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44368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219342</v>
      </c>
      <c r="D3425" s="2" t="str">
        <f t="shared" si="52"/>
        <v>Error?</v>
      </c>
    </row>
    <row r="3426" spans="1:4" x14ac:dyDescent="0.2">
      <c r="A3426" s="10">
        <v>3365</v>
      </c>
      <c r="D3426" s="2" t="str">
        <f t="shared" si="52"/>
        <v>OK</v>
      </c>
    </row>
    <row r="3427" spans="1:4" x14ac:dyDescent="0.2">
      <c r="A3427" s="5">
        <v>3366</v>
      </c>
      <c r="B3427" s="138">
        <f>'Assets-Liab 5-6'!I4</f>
        <v>734198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48564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115120</v>
      </c>
      <c r="C3446" s="2" t="s">
        <v>594</v>
      </c>
      <c r="D3446" s="2" t="str">
        <f t="shared" si="52"/>
        <v>Error?</v>
      </c>
    </row>
    <row r="3447" spans="1:4" x14ac:dyDescent="0.2">
      <c r="A3447" s="5">
        <v>3386</v>
      </c>
      <c r="B3447" s="138">
        <f>'Tax Sched 23'!D16</f>
        <v>115120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119552</v>
      </c>
      <c r="C3449" s="2" t="s">
        <v>594</v>
      </c>
      <c r="D3449" s="2" t="str">
        <f t="shared" si="52"/>
        <v>Error?</v>
      </c>
    </row>
    <row r="3450" spans="1:4" x14ac:dyDescent="0.2">
      <c r="A3450" s="5">
        <v>3389</v>
      </c>
      <c r="B3450" s="138">
        <f>'Tax Sched 23'!E16</f>
        <v>119552</v>
      </c>
      <c r="D3450" s="2" t="str">
        <f t="shared" si="52"/>
        <v>Error?</v>
      </c>
    </row>
    <row r="3451" spans="1:4" x14ac:dyDescent="0.2">
      <c r="A3451" s="5">
        <v>3390</v>
      </c>
      <c r="B3451" s="138">
        <f>'Cap Outlay Deprec 26'!C15</f>
        <v>4215113</v>
      </c>
      <c r="D3451" s="2" t="str">
        <f t="shared" si="52"/>
        <v>Error?</v>
      </c>
    </row>
    <row r="3452" spans="1:4" x14ac:dyDescent="0.2">
      <c r="A3452" s="5">
        <v>3391</v>
      </c>
      <c r="B3452" s="138">
        <f>'Cap Outlay Deprec 26'!D15</f>
        <v>49730</v>
      </c>
      <c r="D3452" s="2" t="str">
        <f t="shared" si="52"/>
        <v>Error?</v>
      </c>
    </row>
    <row r="3453" spans="1:4" x14ac:dyDescent="0.2">
      <c r="A3453" s="5">
        <v>3392</v>
      </c>
      <c r="B3453" s="138">
        <f>'Cap Outlay Deprec 26'!E15</f>
        <v>4215113</v>
      </c>
      <c r="D3453" s="2" t="str">
        <f t="shared" si="52"/>
        <v>Error?</v>
      </c>
    </row>
    <row r="3454" spans="1:4" x14ac:dyDescent="0.2">
      <c r="A3454" s="5">
        <v>3393</v>
      </c>
      <c r="B3454" s="138">
        <f>'Cap Outlay Deprec 26'!F15</f>
        <v>49730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49730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339164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339164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339164</v>
      </c>
      <c r="D3567" s="2" t="str">
        <f t="shared" si="54"/>
        <v>Error?</v>
      </c>
    </row>
    <row r="3568" spans="1:4" x14ac:dyDescent="0.2">
      <c r="A3568" s="5">
        <v>3507</v>
      </c>
      <c r="B3568" s="138">
        <f>'Assets-Liab 5-6'!K41</f>
        <v>339164</v>
      </c>
      <c r="C3568" s="2" t="s">
        <v>594</v>
      </c>
      <c r="D3568" s="2" t="str">
        <f t="shared" si="54"/>
        <v>Error?</v>
      </c>
    </row>
    <row r="3569" spans="1:4" x14ac:dyDescent="0.2">
      <c r="A3569" s="5">
        <v>3508</v>
      </c>
      <c r="B3569" s="138">
        <f>'Acct Summary 7-8'!K4</f>
        <v>54912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54912</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54912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54912</v>
      </c>
      <c r="C3588" s="2" t="s">
        <v>594</v>
      </c>
      <c r="D3588" s="2" t="str">
        <f t="shared" si="55"/>
        <v>Error?</v>
      </c>
    </row>
    <row r="3589" spans="1:4" x14ac:dyDescent="0.2">
      <c r="A3589" s="5">
        <v>3528</v>
      </c>
      <c r="B3589" s="138">
        <f>'Acct Summary 7-8'!K79</f>
        <v>284252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339164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54912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211201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3596846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12607234</v>
      </c>
      <c r="C4122" s="2" t="s">
        <v>594</v>
      </c>
      <c r="D4122" s="2" t="str">
        <f t="shared" si="63"/>
        <v>Error?</v>
      </c>
    </row>
    <row r="4123" spans="1:4" x14ac:dyDescent="0.2">
      <c r="A4123" s="5">
        <v>4062</v>
      </c>
      <c r="B4123" s="138">
        <f>'Acct Summary 7-8'!D10</f>
        <v>298860</v>
      </c>
      <c r="C4123" s="2" t="s">
        <v>594</v>
      </c>
      <c r="D4123" s="2" t="str">
        <f t="shared" si="63"/>
        <v>Error?</v>
      </c>
    </row>
    <row r="4124" spans="1:4" x14ac:dyDescent="0.2">
      <c r="A4124" s="5">
        <v>4063</v>
      </c>
      <c r="B4124" s="138">
        <f>'Acct Summary 7-8'!E10</f>
        <v>215944</v>
      </c>
      <c r="C4124" s="2" t="s">
        <v>594</v>
      </c>
      <c r="D4124" s="2" t="str">
        <f t="shared" si="63"/>
        <v>Error?</v>
      </c>
    </row>
    <row r="4125" spans="1:4" x14ac:dyDescent="0.2">
      <c r="A4125" s="5">
        <v>4064</v>
      </c>
      <c r="B4125" s="138">
        <f>'Acct Summary 7-8'!F10</f>
        <v>563724</v>
      </c>
      <c r="C4125" s="2" t="s">
        <v>594</v>
      </c>
      <c r="D4125" s="2" t="str">
        <f t="shared" si="63"/>
        <v>Error?</v>
      </c>
    </row>
    <row r="4126" spans="1:4" x14ac:dyDescent="0.2">
      <c r="A4126" s="5">
        <v>4065</v>
      </c>
      <c r="B4126" s="138">
        <f>'Acct Summary 7-8'!G10</f>
        <v>327064</v>
      </c>
      <c r="C4126" s="2" t="s">
        <v>594</v>
      </c>
      <c r="D4126" s="2" t="str">
        <f t="shared" si="63"/>
        <v>Error?</v>
      </c>
    </row>
    <row r="4127" spans="1:4" x14ac:dyDescent="0.2">
      <c r="A4127" s="5">
        <v>4066</v>
      </c>
      <c r="B4127" s="138">
        <f>'Acct Summary 7-8'!H10</f>
        <v>482353</v>
      </c>
      <c r="C4127" s="2" t="s">
        <v>594</v>
      </c>
      <c r="D4127" s="2" t="str">
        <f t="shared" si="63"/>
        <v>Error?</v>
      </c>
    </row>
    <row r="4128" spans="1:4" x14ac:dyDescent="0.2">
      <c r="A4128" s="5">
        <v>4067</v>
      </c>
      <c r="B4128" s="138">
        <f>'Acct Summary 7-8'!I10</f>
        <v>45810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54912</v>
      </c>
      <c r="C4130" s="2" t="s">
        <v>594</v>
      </c>
      <c r="D4130" s="2" t="str">
        <f t="shared" si="63"/>
        <v>Error?</v>
      </c>
    </row>
    <row r="4131" spans="1:4" x14ac:dyDescent="0.2">
      <c r="A4131" s="5">
        <v>4070</v>
      </c>
      <c r="B4131" s="138">
        <f>'Acct Summary 7-8'!C18</f>
        <v>3596846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11625783</v>
      </c>
      <c r="C4136" s="2" t="s">
        <v>594</v>
      </c>
      <c r="D4136" s="2" t="str">
        <f t="shared" si="63"/>
        <v>Error?</v>
      </c>
    </row>
    <row r="4137" spans="1:4" x14ac:dyDescent="0.2">
      <c r="A4137" s="5">
        <v>4076</v>
      </c>
      <c r="B4137" s="138">
        <f>'Acct Summary 7-8'!D19</f>
        <v>437997</v>
      </c>
      <c r="C4137" s="2" t="s">
        <v>594</v>
      </c>
      <c r="D4137" s="2" t="str">
        <f t="shared" si="63"/>
        <v>Error?</v>
      </c>
    </row>
    <row r="4138" spans="1:4" x14ac:dyDescent="0.2">
      <c r="A4138" s="5">
        <v>4077</v>
      </c>
      <c r="B4138" s="138">
        <f>'Acct Summary 7-8'!E19</f>
        <v>220500</v>
      </c>
      <c r="C4138" s="2" t="s">
        <v>594</v>
      </c>
      <c r="D4138" s="2" t="str">
        <f t="shared" si="63"/>
        <v>Error?</v>
      </c>
    </row>
    <row r="4139" spans="1:4" x14ac:dyDescent="0.2">
      <c r="A4139" s="5">
        <v>4078</v>
      </c>
      <c r="B4139" s="138">
        <f>'Acct Summary 7-8'!F19</f>
        <v>482415</v>
      </c>
      <c r="C4139" s="2" t="s">
        <v>594</v>
      </c>
      <c r="D4139" s="2" t="str">
        <f t="shared" si="63"/>
        <v>Error?</v>
      </c>
    </row>
    <row r="4140" spans="1:4" x14ac:dyDescent="0.2">
      <c r="A4140" s="5">
        <v>4079</v>
      </c>
      <c r="B4140" s="138">
        <f>'Acct Summary 7-8'!G19</f>
        <v>321780</v>
      </c>
      <c r="C4140" s="2" t="s">
        <v>594</v>
      </c>
      <c r="D4140" s="2" t="str">
        <f t="shared" si="63"/>
        <v>Error?</v>
      </c>
    </row>
    <row r="4141" spans="1:4" x14ac:dyDescent="0.2">
      <c r="A4141" s="5">
        <v>4080</v>
      </c>
      <c r="B4141" s="138">
        <f>'Acct Summary 7-8'!H19</f>
        <v>267663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4348876</v>
      </c>
      <c r="C4171" s="2" t="s">
        <v>594</v>
      </c>
      <c r="D4171" s="2" t="str">
        <f t="shared" si="64"/>
        <v>Error?</v>
      </c>
    </row>
    <row r="4172" spans="1:4" x14ac:dyDescent="0.2">
      <c r="A4172" s="5">
        <v>4111</v>
      </c>
      <c r="B4172" s="138">
        <f>'Short-Term Long-Term Debt 24'!J49</f>
        <v>4304816</v>
      </c>
      <c r="C4172" s="2" t="s">
        <v>594</v>
      </c>
      <c r="D4172" s="2" t="str">
        <f t="shared" si="64"/>
        <v>Error?</v>
      </c>
    </row>
    <row r="4173" spans="1:4" x14ac:dyDescent="0.2">
      <c r="A4173" s="5">
        <v>4112</v>
      </c>
      <c r="B4173" s="138">
        <f>'Short-Term Long-Term Debt 24'!H49</f>
        <v>327539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1435.9</v>
      </c>
      <c r="C4265" s="2" t="s">
        <v>594</v>
      </c>
      <c r="D4265" s="2" t="str">
        <f t="shared" si="65"/>
        <v>Error?</v>
      </c>
      <c r="E4265" s="128"/>
    </row>
    <row r="4266" spans="1:5" x14ac:dyDescent="0.2">
      <c r="A4266" s="12">
        <v>4205</v>
      </c>
      <c r="B4266" s="138">
        <f>('FP Info 3'!F10)*100000</f>
        <v>272.90000000000003</v>
      </c>
      <c r="C4266" s="2" t="s">
        <v>594</v>
      </c>
      <c r="D4266" s="2" t="str">
        <f t="shared" si="65"/>
        <v>Error?</v>
      </c>
      <c r="E4266" s="128"/>
    </row>
    <row r="4267" spans="1:5" x14ac:dyDescent="0.2">
      <c r="A4267" s="12">
        <v>4206</v>
      </c>
      <c r="B4267" s="138">
        <f>('FP Info 3'!H10)*100000</f>
        <v>133.20000000000002</v>
      </c>
      <c r="C4267" s="2" t="s">
        <v>594</v>
      </c>
      <c r="D4267" s="2" t="str">
        <f t="shared" si="65"/>
        <v>Error?</v>
      </c>
      <c r="E4267" s="128"/>
    </row>
    <row r="4268" spans="1:5" x14ac:dyDescent="0.2">
      <c r="A4268" s="12">
        <v>4207</v>
      </c>
      <c r="B4268" s="138">
        <f>('FP Info 3'!J10)*100000</f>
        <v>1842</v>
      </c>
      <c r="C4268" s="2" t="s">
        <v>594</v>
      </c>
      <c r="D4268" s="2" t="str">
        <f t="shared" si="65"/>
        <v>Error?</v>
      </c>
    </row>
    <row r="4269" spans="1:5" x14ac:dyDescent="0.2">
      <c r="A4269" s="12">
        <v>4208</v>
      </c>
      <c r="B4269" s="138">
        <f>'FP Info 3'!J16</f>
        <v>3137262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8964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72291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19576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19576</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65515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21430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106020610</v>
      </c>
      <c r="D4995" s="2" t="str">
        <f t="shared" si="77"/>
        <v>Error?</v>
      </c>
    </row>
    <row r="4996" spans="1:4" x14ac:dyDescent="0.2">
      <c r="A4996" s="12">
        <v>4935</v>
      </c>
      <c r="B4996" s="138">
        <f>'FP Info 3'!H31</f>
        <v>7315422.0900000008</v>
      </c>
      <c r="D4996" s="2" t="str">
        <f t="shared" si="77"/>
        <v>Error?</v>
      </c>
    </row>
    <row r="4997" spans="1:4" x14ac:dyDescent="0.2">
      <c r="A4997" s="12">
        <v>4936</v>
      </c>
      <c r="B4997" s="138">
        <f>'FP Info 3'!H37</f>
        <v>4348876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1438248</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1438248</v>
      </c>
      <c r="C5066" s="2" t="s">
        <v>594</v>
      </c>
      <c r="D5066" s="2" t="str">
        <f t="shared" si="78"/>
        <v>Error?</v>
      </c>
    </row>
    <row r="5067" spans="1:4" x14ac:dyDescent="0.2">
      <c r="A5067" s="5">
        <v>5006</v>
      </c>
      <c r="B5067" s="138">
        <f>'Revenues 9-14'!C14</f>
        <v>4141</v>
      </c>
      <c r="D5067" s="2" t="str">
        <f t="shared" si="78"/>
        <v>Error?</v>
      </c>
    </row>
    <row r="5068" spans="1:4" x14ac:dyDescent="0.2">
      <c r="A5068" s="5">
        <v>5007</v>
      </c>
      <c r="B5068" s="138">
        <f>'Revenues 9-14'!C15</f>
        <v>2575</v>
      </c>
      <c r="D5068" s="2" t="str">
        <f t="shared" si="78"/>
        <v>Error?</v>
      </c>
    </row>
    <row r="5069" spans="1:4" x14ac:dyDescent="0.2">
      <c r="A5069" s="5">
        <v>5008</v>
      </c>
      <c r="B5069" s="138">
        <f>'Revenues 9-14'!C16</f>
        <v>177817</v>
      </c>
      <c r="D5069" s="2" t="str">
        <f t="shared" si="78"/>
        <v>Error?</v>
      </c>
    </row>
    <row r="5070" spans="1:4" x14ac:dyDescent="0.2">
      <c r="A5070" s="5">
        <v>5009</v>
      </c>
      <c r="B5070" s="138">
        <f>'Revenues 9-14'!C17</f>
        <v>662</v>
      </c>
      <c r="D5070" s="2" t="str">
        <f t="shared" si="78"/>
        <v>Error?</v>
      </c>
    </row>
    <row r="5071" spans="1:4" x14ac:dyDescent="0.2">
      <c r="A5071" s="5">
        <v>5010</v>
      </c>
      <c r="B5071" s="138">
        <f>'Revenues 9-14'!C18</f>
        <v>185195</v>
      </c>
      <c r="C5071" s="2" t="s">
        <v>594</v>
      </c>
      <c r="D5071" s="2" t="str">
        <f t="shared" si="78"/>
        <v>Error?</v>
      </c>
    </row>
    <row r="5072" spans="1:4" x14ac:dyDescent="0.2">
      <c r="A5072" s="5">
        <v>5011</v>
      </c>
      <c r="B5072" s="138">
        <f>'Revenues 9-14'!C20</f>
        <v>83659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83659</v>
      </c>
      <c r="C5087" s="2" t="s">
        <v>594</v>
      </c>
      <c r="D5087" s="2" t="str">
        <f t="shared" si="78"/>
        <v>Error?</v>
      </c>
    </row>
    <row r="5088" spans="1:4" x14ac:dyDescent="0.2">
      <c r="A5088" s="5">
        <v>5027</v>
      </c>
      <c r="B5088" s="138">
        <f>'Revenues 9-14'!C65</f>
        <v>170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14548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4066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19056</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11529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11529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817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25018</v>
      </c>
      <c r="D5119" s="2" t="str">
        <f t="shared" ref="D5119:D5182" si="79">IF(ISBLANK(B5119),"OK",IF(A5119-B5119=0,"OK","Error?"))</f>
        <v>Error?</v>
      </c>
    </row>
    <row r="5120" spans="1:4" x14ac:dyDescent="0.2">
      <c r="A5120" s="5">
        <v>5059</v>
      </c>
      <c r="B5120" s="138">
        <f>'Revenues 9-14'!C108</f>
        <v>26635</v>
      </c>
      <c r="C5120" s="2" t="s">
        <v>594</v>
      </c>
      <c r="D5120" s="2" t="str">
        <f t="shared" si="79"/>
        <v>Error?</v>
      </c>
    </row>
    <row r="5121" spans="1:4" x14ac:dyDescent="0.2">
      <c r="A5121" s="5">
        <v>5060</v>
      </c>
      <c r="B5121" s="138">
        <f>'Revenues 9-14'!C109</f>
        <v>1764492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5769784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5769784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81553</v>
      </c>
      <c r="D5134" s="2" t="str">
        <f t="shared" si="79"/>
        <v>Error?</v>
      </c>
    </row>
    <row r="5135" spans="1:4" x14ac:dyDescent="0.2">
      <c r="A5135" s="5">
        <v>5074</v>
      </c>
      <c r="B5135" s="138">
        <f>'Revenues 9-14'!C126</f>
        <v>103309</v>
      </c>
      <c r="D5135" s="2" t="str">
        <f t="shared" si="79"/>
        <v>Error?</v>
      </c>
    </row>
    <row r="5136" spans="1:4" x14ac:dyDescent="0.2">
      <c r="A5136" s="10">
        <v>5075</v>
      </c>
      <c r="D5136" s="2" t="str">
        <f t="shared" si="79"/>
        <v>OK</v>
      </c>
    </row>
    <row r="5137" spans="1:4" x14ac:dyDescent="0.2">
      <c r="A5137" s="5">
        <v>5076</v>
      </c>
      <c r="B5137" s="138">
        <f>'Revenues 9-14'!C127</f>
        <v>9269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194131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10056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225617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5995401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412955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154253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567208</v>
      </c>
      <c r="C5246" s="2" t="s">
        <v>594</v>
      </c>
      <c r="D5246" s="2" t="str">
        <f t="shared" si="80"/>
        <v>Error?</v>
      </c>
    </row>
    <row r="5247" spans="1:4" x14ac:dyDescent="0.2">
      <c r="A5247" s="5">
        <v>5186</v>
      </c>
      <c r="B5247" s="138">
        <f>'Revenues 9-14'!C203</f>
        <v>431425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431425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85516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85516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1250495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1250495</v>
      </c>
      <c r="C5326" s="2" t="s">
        <v>594</v>
      </c>
      <c r="D5326" s="2" t="str">
        <f t="shared" si="82"/>
        <v>Error?</v>
      </c>
    </row>
    <row r="5327" spans="1:4" x14ac:dyDescent="0.2">
      <c r="A5327" s="5">
        <v>5266</v>
      </c>
      <c r="B5327" s="138">
        <f>'Revenues 9-14'!C275</f>
        <v>9010388</v>
      </c>
      <c r="C5327" s="2" t="s">
        <v>594</v>
      </c>
      <c r="D5327" s="2" t="str">
        <f t="shared" si="82"/>
        <v>Error?</v>
      </c>
    </row>
    <row r="5328" spans="1:4" x14ac:dyDescent="0.2">
      <c r="A5328" s="5">
        <v>5267</v>
      </c>
      <c r="B5328" s="138">
        <f>'Revenues 9-14'!D5</f>
        <v>273321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23979</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297300</v>
      </c>
      <c r="C5334" s="2" t="s">
        <v>594</v>
      </c>
      <c r="D5334" s="2" t="str">
        <f t="shared" si="82"/>
        <v>Error?</v>
      </c>
    </row>
    <row r="5335" spans="1:4" x14ac:dyDescent="0.2">
      <c r="A5335" s="5">
        <v>5274</v>
      </c>
      <c r="B5335" s="138">
        <f>'Revenues 9-14'!D14</f>
        <v>856</v>
      </c>
      <c r="D5335" s="2" t="str">
        <f t="shared" si="82"/>
        <v>Error?</v>
      </c>
    </row>
    <row r="5336" spans="1:4" x14ac:dyDescent="0.2">
      <c r="A5336" s="5">
        <v>5275</v>
      </c>
      <c r="B5336" s="138">
        <f>'Revenues 9-14'!D15</f>
        <v>532</v>
      </c>
      <c r="D5336" s="2" t="str">
        <f t="shared" si="82"/>
        <v>Error?</v>
      </c>
    </row>
    <row r="5337" spans="1:4" x14ac:dyDescent="0.2">
      <c r="A5337" s="5">
        <v>5276</v>
      </c>
      <c r="B5337" s="138">
        <f>'Revenues 9-14'!D16</f>
        <v>0</v>
      </c>
      <c r="D5337" s="2" t="str">
        <f t="shared" si="82"/>
        <v>Error?</v>
      </c>
    </row>
    <row r="5338" spans="1:4" x14ac:dyDescent="0.2">
      <c r="A5338" s="5">
        <v>5277</v>
      </c>
      <c r="B5338" s="138">
        <f>'Revenues 9-14'!D17</f>
        <v>137</v>
      </c>
      <c r="D5338" s="2" t="str">
        <f t="shared" si="82"/>
        <v>Error?</v>
      </c>
    </row>
    <row r="5339" spans="1:4" x14ac:dyDescent="0.2">
      <c r="A5339" s="5">
        <v>5278</v>
      </c>
      <c r="B5339" s="138">
        <f>'Revenues 9-14'!D18</f>
        <v>1525</v>
      </c>
      <c r="C5339" s="2" t="s">
        <v>594</v>
      </c>
      <c r="D5339" s="2" t="str">
        <f t="shared" si="82"/>
        <v>Error?</v>
      </c>
    </row>
    <row r="5340" spans="1:4" x14ac:dyDescent="0.2">
      <c r="A5340" s="5">
        <v>5279</v>
      </c>
      <c r="B5340" s="138">
        <f>'Revenues 9-14'!D65</f>
        <v>35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298860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298860</v>
      </c>
      <c r="C5508" s="2" t="s">
        <v>594</v>
      </c>
      <c r="D5508" s="2" t="str">
        <f t="shared" si="85"/>
        <v>Error?</v>
      </c>
    </row>
    <row r="5509" spans="1:4" x14ac:dyDescent="0.2">
      <c r="A5509" s="5">
        <v>5448</v>
      </c>
      <c r="B5509" s="138">
        <f>'Revenues 9-14'!E5</f>
        <v>214817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214817</v>
      </c>
      <c r="C5513" s="2" t="s">
        <v>594</v>
      </c>
      <c r="D5513" s="2" t="str">
        <f t="shared" si="85"/>
        <v>Error?</v>
      </c>
    </row>
    <row r="5514" spans="1:4" x14ac:dyDescent="0.2">
      <c r="A5514" s="5">
        <v>5453</v>
      </c>
      <c r="B5514" s="138">
        <f>'Revenues 9-14'!E14</f>
        <v>618</v>
      </c>
      <c r="D5514" s="2" t="str">
        <f t="shared" si="85"/>
        <v>Error?</v>
      </c>
    </row>
    <row r="5515" spans="1:4" x14ac:dyDescent="0.2">
      <c r="A5515" s="5">
        <v>5454</v>
      </c>
      <c r="B5515" s="138">
        <f>'Revenues 9-14'!E15</f>
        <v>385</v>
      </c>
      <c r="D5515" s="2" t="str">
        <f t="shared" si="85"/>
        <v>Error?</v>
      </c>
    </row>
    <row r="5516" spans="1:4" x14ac:dyDescent="0.2">
      <c r="A5516" s="5">
        <v>5455</v>
      </c>
      <c r="B5516" s="138">
        <f>'Revenues 9-14'!E16</f>
        <v>0</v>
      </c>
      <c r="D5516" s="2" t="str">
        <f t="shared" si="85"/>
        <v>Error?</v>
      </c>
    </row>
    <row r="5517" spans="1:4" x14ac:dyDescent="0.2">
      <c r="A5517" s="5">
        <v>5456</v>
      </c>
      <c r="B5517" s="138">
        <f>'Revenues 9-14'!E17</f>
        <v>99</v>
      </c>
      <c r="D5517" s="2" t="str">
        <f t="shared" si="85"/>
        <v>Error?</v>
      </c>
    </row>
    <row r="5518" spans="1:4" x14ac:dyDescent="0.2">
      <c r="A5518" s="5">
        <v>5457</v>
      </c>
      <c r="B5518" s="138">
        <f>'Revenues 9-14'!E18</f>
        <v>1102</v>
      </c>
      <c r="C5518" s="2" t="s">
        <v>594</v>
      </c>
      <c r="D5518" s="2" t="str">
        <f t="shared" si="85"/>
        <v>Error?</v>
      </c>
    </row>
    <row r="5519" spans="1:4" x14ac:dyDescent="0.2">
      <c r="A5519" s="5">
        <v>5458</v>
      </c>
      <c r="B5519" s="138">
        <f>'Revenues 9-14'!E65</f>
        <v>25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215944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215944</v>
      </c>
      <c r="C5552" s="2" t="s">
        <v>594</v>
      </c>
      <c r="D5552" s="2" t="str">
        <f t="shared" si="85"/>
        <v>Error?</v>
      </c>
    </row>
    <row r="5553" spans="1:4" x14ac:dyDescent="0.2">
      <c r="A5553" s="5">
        <v>5492</v>
      </c>
      <c r="B5553" s="138">
        <f>'Revenues 9-14'!F5</f>
        <v>133426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133426</v>
      </c>
      <c r="C5557" s="2" t="s">
        <v>594</v>
      </c>
      <c r="D5557" s="2" t="str">
        <f t="shared" si="85"/>
        <v>Error?</v>
      </c>
    </row>
    <row r="5558" spans="1:4" x14ac:dyDescent="0.2">
      <c r="A5558" s="5">
        <v>5497</v>
      </c>
      <c r="B5558" s="138">
        <f>'Revenues 9-14'!F14</f>
        <v>384</v>
      </c>
      <c r="D5558" s="2" t="str">
        <f t="shared" si="85"/>
        <v>Error?</v>
      </c>
    </row>
    <row r="5559" spans="1:4" x14ac:dyDescent="0.2">
      <c r="A5559" s="5">
        <v>5498</v>
      </c>
      <c r="B5559" s="138">
        <f>'Revenues 9-14'!F15</f>
        <v>239</v>
      </c>
      <c r="D5559" s="2" t="str">
        <f t="shared" si="85"/>
        <v>Error?</v>
      </c>
    </row>
    <row r="5560" spans="1:4" x14ac:dyDescent="0.2">
      <c r="A5560" s="5">
        <v>5499</v>
      </c>
      <c r="B5560" s="138">
        <f>'Revenues 9-14'!F16</f>
        <v>0</v>
      </c>
      <c r="D5560" s="2" t="str">
        <f t="shared" si="85"/>
        <v>Error?</v>
      </c>
    </row>
    <row r="5561" spans="1:4" x14ac:dyDescent="0.2">
      <c r="A5561" s="5">
        <v>5500</v>
      </c>
      <c r="B5561" s="138">
        <f>'Revenues 9-14'!F17</f>
        <v>61</v>
      </c>
      <c r="D5561" s="2" t="str">
        <f t="shared" si="85"/>
        <v>Error?</v>
      </c>
    </row>
    <row r="5562" spans="1:4" x14ac:dyDescent="0.2">
      <c r="A5562" s="5">
        <v>5501</v>
      </c>
      <c r="B5562" s="138">
        <f>'Revenues 9-14'!F18</f>
        <v>684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2719</v>
      </c>
      <c r="D5586" s="2" t="str">
        <f t="shared" si="86"/>
        <v>Error?</v>
      </c>
    </row>
    <row r="5587" spans="1:4" x14ac:dyDescent="0.2">
      <c r="A5587" s="5">
        <v>5526</v>
      </c>
      <c r="B5587" s="138">
        <f>'Revenues 9-14'!F108</f>
        <v>2719</v>
      </c>
      <c r="C5587" s="2" t="s">
        <v>594</v>
      </c>
      <c r="D5587" s="2" t="str">
        <f t="shared" si="86"/>
        <v>Error?</v>
      </c>
    </row>
    <row r="5588" spans="1:4" x14ac:dyDescent="0.2">
      <c r="A5588" s="5">
        <v>5527</v>
      </c>
      <c r="B5588" s="138">
        <f>'Revenues 9-14'!F109</f>
        <v>136845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100000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139156</v>
      </c>
      <c r="D5615" s="2" t="str">
        <f t="shared" si="86"/>
        <v>Error?</v>
      </c>
    </row>
    <row r="5616" spans="1:4" x14ac:dyDescent="0.2">
      <c r="A5616" s="10">
        <v>5555</v>
      </c>
      <c r="D5616" s="2" t="str">
        <f t="shared" si="86"/>
        <v>OK</v>
      </c>
    </row>
    <row r="5617" spans="1:4" x14ac:dyDescent="0.2">
      <c r="A5617" s="5">
        <v>5556</v>
      </c>
      <c r="B5617" s="138">
        <f>'Revenues 9-14'!F152</f>
        <v>187723</v>
      </c>
      <c r="D5617" s="2" t="str">
        <f t="shared" si="86"/>
        <v>Error?</v>
      </c>
    </row>
    <row r="5618" spans="1:4" x14ac:dyDescent="0.2">
      <c r="A5618" s="5">
        <v>5557</v>
      </c>
      <c r="B5618" s="138">
        <f>'Revenues 9-14'!F154</f>
        <v>326879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326879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426879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563724</v>
      </c>
      <c r="C5720" s="2" t="s">
        <v>594</v>
      </c>
      <c r="D5720" s="2" t="str">
        <f t="shared" si="88"/>
        <v>Error?</v>
      </c>
    </row>
    <row r="5721" spans="1:4" x14ac:dyDescent="0.2">
      <c r="A5721" s="5">
        <v>5660</v>
      </c>
      <c r="B5721" s="138">
        <f>'Revenues 9-14'!G5</f>
        <v>115120</v>
      </c>
      <c r="D5721" s="2" t="str">
        <f t="shared" si="88"/>
        <v>Error?</v>
      </c>
    </row>
    <row r="5722" spans="1:4" x14ac:dyDescent="0.2">
      <c r="A5722" s="5">
        <v>5661</v>
      </c>
      <c r="B5722" s="138">
        <f>'Revenues 9-14'!G7</f>
        <v>0</v>
      </c>
      <c r="D5722" s="2" t="str">
        <f t="shared" si="88"/>
        <v>Error?</v>
      </c>
    </row>
    <row r="5723" spans="1:4" x14ac:dyDescent="0.2">
      <c r="A5723" s="5">
        <v>5662</v>
      </c>
      <c r="B5723" s="138">
        <f>'Revenues 9-14'!G8</f>
        <v>115120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230240</v>
      </c>
      <c r="C5725" s="2" t="s">
        <v>594</v>
      </c>
      <c r="D5725" s="2" t="str">
        <f t="shared" si="88"/>
        <v>Error?</v>
      </c>
    </row>
    <row r="5726" spans="1:4" x14ac:dyDescent="0.2">
      <c r="A5726" s="5">
        <v>5665</v>
      </c>
      <c r="B5726" s="138">
        <f>'Revenues 9-14'!G14</f>
        <v>663</v>
      </c>
      <c r="D5726" s="2" t="str">
        <f t="shared" si="88"/>
        <v>Error?</v>
      </c>
    </row>
    <row r="5727" spans="1:4" x14ac:dyDescent="0.2">
      <c r="A5727" s="5">
        <v>5666</v>
      </c>
      <c r="B5727" s="138">
        <f>'Revenues 9-14'!G15</f>
        <v>412</v>
      </c>
      <c r="D5727" s="2" t="str">
        <f t="shared" si="88"/>
        <v>Error?</v>
      </c>
    </row>
    <row r="5728" spans="1:4" x14ac:dyDescent="0.2">
      <c r="A5728" s="5">
        <v>5667</v>
      </c>
      <c r="B5728" s="138">
        <f>'Revenues 9-14'!G16</f>
        <v>20616</v>
      </c>
      <c r="D5728" s="2" t="str">
        <f t="shared" si="88"/>
        <v>Error?</v>
      </c>
    </row>
    <row r="5729" spans="1:4" x14ac:dyDescent="0.2">
      <c r="A5729" s="5">
        <v>5668</v>
      </c>
      <c r="B5729" s="138">
        <f>'Revenues 9-14'!G17</f>
        <v>106</v>
      </c>
      <c r="D5729" s="2" t="str">
        <f t="shared" si="88"/>
        <v>Error?</v>
      </c>
    </row>
    <row r="5730" spans="1:4" x14ac:dyDescent="0.2">
      <c r="A5730" s="5">
        <v>5669</v>
      </c>
      <c r="B5730" s="138">
        <f>'Revenues 9-14'!G18</f>
        <v>21797</v>
      </c>
      <c r="C5730" s="2" t="s">
        <v>594</v>
      </c>
      <c r="D5730" s="2" t="str">
        <f t="shared" si="88"/>
        <v>Error?</v>
      </c>
    </row>
    <row r="5731" spans="1:4" x14ac:dyDescent="0.2">
      <c r="A5731" s="5">
        <v>5670</v>
      </c>
      <c r="B5731" s="138">
        <f>'Revenues 9-14'!G65</f>
        <v>27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75000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75000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75000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327064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52255</v>
      </c>
      <c r="D5885" s="2" t="str">
        <f t="shared" si="90"/>
        <v>Error?</v>
      </c>
    </row>
    <row r="5886" spans="1:4" x14ac:dyDescent="0.2">
      <c r="A5886" s="5">
        <v>5825</v>
      </c>
      <c r="B5886" s="138">
        <f>'Revenues 9-14'!H108</f>
        <v>482353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482353</v>
      </c>
      <c r="C5915" s="2" t="s">
        <v>594</v>
      </c>
      <c r="D5915" s="2" t="str">
        <f t="shared" si="91"/>
        <v>Error?</v>
      </c>
    </row>
    <row r="5916" spans="1:4" x14ac:dyDescent="0.2">
      <c r="A5916" s="5">
        <v>5855</v>
      </c>
      <c r="B5916" s="138">
        <f>'Revenues 9-14'!I5</f>
        <v>45571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45571</v>
      </c>
      <c r="C5918" s="2" t="s">
        <v>594</v>
      </c>
      <c r="D5918" s="2" t="str">
        <f t="shared" si="91"/>
        <v>Error?</v>
      </c>
    </row>
    <row r="5919" spans="1:4" x14ac:dyDescent="0.2">
      <c r="A5919" s="5">
        <v>5858</v>
      </c>
      <c r="B5919" s="138">
        <f>'Revenues 9-14'!I14</f>
        <v>131</v>
      </c>
      <c r="D5919" s="2" t="str">
        <f t="shared" si="91"/>
        <v>Error?</v>
      </c>
    </row>
    <row r="5920" spans="1:4" x14ac:dyDescent="0.2">
      <c r="A5920" s="5">
        <v>5859</v>
      </c>
      <c r="B5920" s="138">
        <f>'Revenues 9-14'!I15</f>
        <v>82</v>
      </c>
      <c r="D5920" s="2" t="str">
        <f t="shared" si="91"/>
        <v>Error?</v>
      </c>
    </row>
    <row r="5921" spans="1:4" x14ac:dyDescent="0.2">
      <c r="A5921" s="5">
        <v>5860</v>
      </c>
      <c r="B5921" s="138">
        <f>'Revenues 9-14'!I16</f>
        <v>0</v>
      </c>
      <c r="D5921" s="2" t="str">
        <f t="shared" si="91"/>
        <v>Error?</v>
      </c>
    </row>
    <row r="5922" spans="1:4" x14ac:dyDescent="0.2">
      <c r="A5922" s="5">
        <v>5861</v>
      </c>
      <c r="B5922" s="138">
        <f>'Revenues 9-14'!I17</f>
        <v>21</v>
      </c>
      <c r="D5922" s="2" t="str">
        <f t="shared" si="91"/>
        <v>Error?</v>
      </c>
    </row>
    <row r="5923" spans="1:4" x14ac:dyDescent="0.2">
      <c r="A5923" s="5">
        <v>5862</v>
      </c>
      <c r="B5923" s="138">
        <f>'Revenues 9-14'!I18</f>
        <v>234</v>
      </c>
      <c r="C5923" s="2" t="s">
        <v>594</v>
      </c>
      <c r="D5923" s="2" t="str">
        <f t="shared" si="91"/>
        <v>Error?</v>
      </c>
    </row>
    <row r="5924" spans="1:4" x14ac:dyDescent="0.2">
      <c r="A5924" s="5">
        <v>5863</v>
      </c>
      <c r="B5924" s="138">
        <f>'Revenues 9-14'!I65</f>
        <v>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45810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54625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54625</v>
      </c>
      <c r="C5987" s="2" t="s">
        <v>594</v>
      </c>
      <c r="D5987" s="2" t="str">
        <f t="shared" si="92"/>
        <v>Error?</v>
      </c>
    </row>
    <row r="5988" spans="1:4" x14ac:dyDescent="0.2">
      <c r="A5988" s="5">
        <v>5927</v>
      </c>
      <c r="B5988" s="138">
        <f>'Revenues 9-14'!K14</f>
        <v>157</v>
      </c>
      <c r="D5988" s="2" t="str">
        <f t="shared" si="92"/>
        <v>Error?</v>
      </c>
    </row>
    <row r="5989" spans="1:4" x14ac:dyDescent="0.2">
      <c r="A5989" s="5">
        <v>5928</v>
      </c>
      <c r="B5989" s="138">
        <f>'Revenues 9-14'!K15</f>
        <v>98</v>
      </c>
      <c r="D5989" s="2" t="str">
        <f t="shared" si="92"/>
        <v>Error?</v>
      </c>
    </row>
    <row r="5990" spans="1:4" x14ac:dyDescent="0.2">
      <c r="A5990" s="5">
        <v>5929</v>
      </c>
      <c r="B5990" s="138">
        <f>'Revenues 9-14'!K16</f>
        <v>0</v>
      </c>
      <c r="D5990" s="2" t="str">
        <f t="shared" si="92"/>
        <v>Error?</v>
      </c>
    </row>
    <row r="5991" spans="1:4" x14ac:dyDescent="0.2">
      <c r="A5991" s="5">
        <v>5930</v>
      </c>
      <c r="B5991" s="138">
        <f>'Revenues 9-14'!K17</f>
        <v>26</v>
      </c>
      <c r="D5991" s="2" t="str">
        <f t="shared" si="92"/>
        <v>Error?</v>
      </c>
    </row>
    <row r="5992" spans="1:4" x14ac:dyDescent="0.2">
      <c r="A5992" s="5">
        <v>5931</v>
      </c>
      <c r="B5992" s="138">
        <f>'Revenues 9-14'!K18</f>
        <v>281</v>
      </c>
      <c r="C5992" s="2" t="s">
        <v>594</v>
      </c>
      <c r="D5992" s="2" t="str">
        <f t="shared" si="92"/>
        <v>Error?</v>
      </c>
    </row>
    <row r="5993" spans="1:4" x14ac:dyDescent="0.2">
      <c r="A5993" s="5">
        <v>5932</v>
      </c>
      <c r="B5993" s="138">
        <f>'Revenues 9-14'!K65</f>
        <v>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54912</v>
      </c>
      <c r="C6023" s="2" t="s">
        <v>594</v>
      </c>
      <c r="D6023" s="2" t="str">
        <f t="shared" si="93"/>
        <v>Error?</v>
      </c>
    </row>
    <row r="6024" spans="1:5" x14ac:dyDescent="0.2">
      <c r="A6024" s="5">
        <v>5963</v>
      </c>
      <c r="B6024" s="138">
        <f>'Revenues 9-14'!G109</f>
        <v>252064</v>
      </c>
      <c r="C6024" s="2" t="s">
        <v>594</v>
      </c>
      <c r="D6024" s="2" t="str">
        <f t="shared" si="93"/>
        <v>Error?</v>
      </c>
    </row>
    <row r="6025" spans="1:5" x14ac:dyDescent="0.2">
      <c r="A6025" s="5">
        <v>5964</v>
      </c>
      <c r="B6025" s="138">
        <f>'Revenues 9-14'!H109</f>
        <v>482353</v>
      </c>
      <c r="C6025" s="2" t="s">
        <v>594</v>
      </c>
      <c r="D6025" s="2" t="str">
        <f t="shared" si="93"/>
        <v>Error?</v>
      </c>
    </row>
    <row r="6026" spans="1:5" x14ac:dyDescent="0.2">
      <c r="A6026" s="5">
        <v>5965</v>
      </c>
      <c r="B6026" s="138">
        <f>'Revenues 9-14'!I109</f>
        <v>45810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54912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56045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1023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65898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65898</v>
      </c>
      <c r="D6215" s="2" t="str">
        <f t="shared" si="96"/>
        <v>Error?</v>
      </c>
      <c r="E6215" s="2" t="s">
        <v>199</v>
      </c>
    </row>
    <row r="6216" spans="1:5" x14ac:dyDescent="0.2">
      <c r="A6216">
        <v>6155</v>
      </c>
      <c r="B6216" s="138">
        <f>'Assets-Liab 5-6'!J41</f>
        <v>65898</v>
      </c>
      <c r="D6216" s="2" t="str">
        <f t="shared" si="96"/>
        <v>Error?</v>
      </c>
      <c r="E6216" s="2" t="s">
        <v>199</v>
      </c>
    </row>
    <row r="6217" spans="1:5" x14ac:dyDescent="0.2">
      <c r="A6217">
        <v>6156</v>
      </c>
      <c r="B6217" s="138">
        <f>'Assets-Liab 5-6'!J4</f>
        <v>65898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155831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155831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155831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89933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89933</v>
      </c>
      <c r="D6229" s="2" t="str">
        <f t="shared" si="96"/>
        <v>Error?</v>
      </c>
      <c r="E6229" s="2" t="s">
        <v>199</v>
      </c>
    </row>
    <row r="6230" spans="1:5" x14ac:dyDescent="0.2">
      <c r="A6230">
        <v>6169</v>
      </c>
      <c r="B6230" s="138">
        <f>'Acct Summary 7-8'!J20</f>
        <v>65898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195000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155638</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65898</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65898</v>
      </c>
      <c r="D6266" s="2" t="str">
        <f t="shared" si="96"/>
        <v>Error?</v>
      </c>
      <c r="E6266" s="2" t="s">
        <v>199</v>
      </c>
    </row>
    <row r="6267" spans="1:5" x14ac:dyDescent="0.2">
      <c r="A6267">
        <v>6206</v>
      </c>
      <c r="B6267" s="138">
        <f>'Acct Summary 7-8'!C82</f>
        <v>981451</v>
      </c>
      <c r="D6267" s="2" t="str">
        <f t="shared" si="96"/>
        <v>Error?</v>
      </c>
      <c r="E6267" s="2" t="s">
        <v>199</v>
      </c>
    </row>
    <row r="6268" spans="1:5" x14ac:dyDescent="0.2">
      <c r="A6268">
        <v>6207</v>
      </c>
      <c r="B6268" s="138">
        <f>'Acct Summary 7-8'!D82</f>
        <v>-139137</v>
      </c>
      <c r="D6268" s="2" t="str">
        <f t="shared" si="96"/>
        <v>Error?</v>
      </c>
      <c r="E6268" s="2" t="s">
        <v>199</v>
      </c>
    </row>
    <row r="6269" spans="1:5" x14ac:dyDescent="0.2">
      <c r="A6269">
        <v>6208</v>
      </c>
      <c r="B6269" s="138">
        <f>'Acct Summary 7-8'!E82</f>
        <v>-4556</v>
      </c>
      <c r="D6269" s="2" t="str">
        <f t="shared" si="96"/>
        <v>Error?</v>
      </c>
      <c r="E6269" s="2" t="s">
        <v>199</v>
      </c>
    </row>
    <row r="6270" spans="1:5" x14ac:dyDescent="0.2">
      <c r="A6270">
        <v>6209</v>
      </c>
      <c r="B6270" s="138">
        <f>'Acct Summary 7-8'!F82</f>
        <v>81309</v>
      </c>
      <c r="D6270" s="2" t="str">
        <f t="shared" si="96"/>
        <v>Error?</v>
      </c>
      <c r="E6270" s="2" t="s">
        <v>199</v>
      </c>
    </row>
    <row r="6271" spans="1:5" x14ac:dyDescent="0.2">
      <c r="A6271">
        <v>6210</v>
      </c>
      <c r="B6271" s="138">
        <f>'Acct Summary 7-8'!G82</f>
        <v>5284</v>
      </c>
      <c r="D6271" s="2" t="str">
        <f t="shared" ref="D6271:D6334" si="97">IF(ISBLANK(B6271),"OK",IF(A6271-B6271=0,"OK","Error?"))</f>
        <v>Error?</v>
      </c>
      <c r="E6271" s="2" t="s">
        <v>199</v>
      </c>
    </row>
    <row r="6272" spans="1:5" x14ac:dyDescent="0.2">
      <c r="A6272">
        <v>6211</v>
      </c>
      <c r="B6272" s="138">
        <f>'Acct Summary 7-8'!H82</f>
        <v>39052</v>
      </c>
      <c r="D6272" s="2" t="str">
        <f t="shared" si="97"/>
        <v>Error?</v>
      </c>
      <c r="E6272" s="2" t="s">
        <v>199</v>
      </c>
    </row>
    <row r="6273" spans="1:5" x14ac:dyDescent="0.2">
      <c r="A6273">
        <v>6212</v>
      </c>
      <c r="B6273" s="138">
        <f>'Acct Summary 7-8'!I82</f>
        <v>-129190</v>
      </c>
      <c r="D6273" s="2" t="str">
        <f t="shared" si="97"/>
        <v>Error?</v>
      </c>
      <c r="E6273" s="2" t="s">
        <v>199</v>
      </c>
    </row>
    <row r="6274" spans="1:5" x14ac:dyDescent="0.2">
      <c r="A6274">
        <v>6213</v>
      </c>
      <c r="B6274" s="138">
        <f>'Acct Summary 7-8'!J82</f>
        <v>65898</v>
      </c>
      <c r="D6274" s="2" t="str">
        <f t="shared" si="97"/>
        <v>Error?</v>
      </c>
      <c r="E6274" s="2" t="s">
        <v>199</v>
      </c>
    </row>
    <row r="6275" spans="1:5" x14ac:dyDescent="0.2">
      <c r="A6275">
        <v>6214</v>
      </c>
      <c r="B6275" s="138">
        <f>'Acct Summary 7-8'!K82</f>
        <v>54912</v>
      </c>
      <c r="D6275" s="2" t="str">
        <f t="shared" si="97"/>
        <v>Error?</v>
      </c>
      <c r="E6275" s="2" t="s">
        <v>199</v>
      </c>
    </row>
    <row r="6276" spans="1:5" x14ac:dyDescent="0.2">
      <c r="A6276">
        <v>6215</v>
      </c>
      <c r="B6276" s="138">
        <f>'Acct Summary 7-8'!C83</f>
        <v>0.47892549421088509</v>
      </c>
      <c r="D6276" s="2" t="str">
        <f t="shared" si="97"/>
        <v>Error?</v>
      </c>
      <c r="E6276" s="2" t="s">
        <v>199</v>
      </c>
    </row>
    <row r="6277" spans="1:5" x14ac:dyDescent="0.2">
      <c r="A6277">
        <v>6216</v>
      </c>
      <c r="B6277" s="138">
        <f>'Acct Summary 7-8'!D83</f>
        <v>-0.82817671007833149</v>
      </c>
      <c r="D6277" s="2" t="str">
        <f t="shared" si="97"/>
        <v>Error?</v>
      </c>
      <c r="E6277" s="2" t="s">
        <v>199</v>
      </c>
    </row>
    <row r="6278" spans="1:5" x14ac:dyDescent="0.2">
      <c r="A6278">
        <v>6217</v>
      </c>
      <c r="B6278" s="138">
        <f>'Acct Summary 7-8'!E83</f>
        <v>-0.10340444847934635</v>
      </c>
      <c r="D6278" s="2" t="str">
        <f t="shared" si="97"/>
        <v>Error?</v>
      </c>
      <c r="E6278" s="2" t="s">
        <v>199</v>
      </c>
    </row>
    <row r="6279" spans="1:5" x14ac:dyDescent="0.2">
      <c r="A6279">
        <v>6218</v>
      </c>
      <c r="B6279" s="138">
        <f>'Acct Summary 7-8'!F83</f>
        <v>0.43765575967661197</v>
      </c>
      <c r="D6279" s="2" t="str">
        <f t="shared" si="97"/>
        <v>Error?</v>
      </c>
      <c r="E6279" s="2" t="s">
        <v>199</v>
      </c>
    </row>
    <row r="6280" spans="1:5" x14ac:dyDescent="0.2">
      <c r="A6280">
        <v>6219</v>
      </c>
      <c r="B6280" s="138">
        <f>'Acct Summary 7-8'!G83</f>
        <v>0.11909484313018391</v>
      </c>
      <c r="D6280" s="2" t="str">
        <f t="shared" si="97"/>
        <v>Error?</v>
      </c>
      <c r="E6280" s="2" t="s">
        <v>199</v>
      </c>
    </row>
    <row r="6281" spans="1:5" x14ac:dyDescent="0.2">
      <c r="A6281">
        <v>6220</v>
      </c>
      <c r="B6281" s="138">
        <f>'Acct Summary 7-8'!H83</f>
        <v>0.17804159714053852</v>
      </c>
      <c r="D6281" s="2" t="str">
        <f t="shared" si="97"/>
        <v>Error?</v>
      </c>
      <c r="E6281" s="2" t="s">
        <v>199</v>
      </c>
    </row>
    <row r="6282" spans="1:5" x14ac:dyDescent="0.2">
      <c r="A6282">
        <v>6221</v>
      </c>
      <c r="B6282" s="138">
        <f>'Acct Summary 7-8'!I83</f>
        <v>-0.17596070814684867</v>
      </c>
      <c r="D6282" s="2" t="str">
        <f t="shared" si="97"/>
        <v>Error?</v>
      </c>
      <c r="E6282" s="2" t="s">
        <v>199</v>
      </c>
    </row>
    <row r="6283" spans="1:5" x14ac:dyDescent="0.2">
      <c r="A6283">
        <v>6222</v>
      </c>
      <c r="B6283" s="138">
        <f>'Acct Summary 7-8'!J83</f>
        <v>1</v>
      </c>
      <c r="D6283" s="2" t="str">
        <f t="shared" si="97"/>
        <v>Error?</v>
      </c>
      <c r="E6283" s="2" t="s">
        <v>199</v>
      </c>
    </row>
    <row r="6284" spans="1:5" x14ac:dyDescent="0.2">
      <c r="A6284">
        <v>6223</v>
      </c>
      <c r="B6284" s="138">
        <f>'Acct Summary 7-8'!K83</f>
        <v>0.16190397565779388</v>
      </c>
      <c r="D6284" s="2" t="str">
        <f t="shared" si="97"/>
        <v>Error?</v>
      </c>
      <c r="E6284" s="2" t="s">
        <v>199</v>
      </c>
    </row>
    <row r="6285" spans="1:5" x14ac:dyDescent="0.2">
      <c r="A6285">
        <v>6224</v>
      </c>
      <c r="B6285" s="138">
        <f>'Acct Summary 7-8'!E37</f>
        <v>195000</v>
      </c>
      <c r="D6285" s="2" t="str">
        <f t="shared" si="97"/>
        <v>Error?</v>
      </c>
      <c r="E6285" s="2" t="s">
        <v>199</v>
      </c>
    </row>
    <row r="6286" spans="1:5" x14ac:dyDescent="0.2">
      <c r="A6286">
        <v>6225</v>
      </c>
      <c r="B6286" s="138">
        <f>'Acct Summary 7-8'!E38</f>
        <v>155638</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155018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155018</v>
      </c>
      <c r="D6301" s="2" t="str">
        <f t="shared" si="97"/>
        <v>Error?</v>
      </c>
      <c r="E6301" s="2" t="s">
        <v>199</v>
      </c>
    </row>
    <row r="6302" spans="1:5" x14ac:dyDescent="0.2">
      <c r="A6302">
        <v>6241</v>
      </c>
      <c r="B6302" s="138">
        <f>'Revenues 9-14'!J14</f>
        <v>446</v>
      </c>
      <c r="D6302" s="2" t="str">
        <f t="shared" si="97"/>
        <v>Error?</v>
      </c>
      <c r="E6302" s="2" t="s">
        <v>199</v>
      </c>
    </row>
    <row r="6303" spans="1:5" x14ac:dyDescent="0.2">
      <c r="A6303">
        <v>6242</v>
      </c>
      <c r="B6303" s="138">
        <f>'Revenues 9-14'!J15</f>
        <v>278</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71</v>
      </c>
      <c r="D6305" s="2" t="str">
        <f t="shared" si="97"/>
        <v>Error?</v>
      </c>
      <c r="E6305" s="2" t="s">
        <v>199</v>
      </c>
    </row>
    <row r="6306" spans="1:5" x14ac:dyDescent="0.2">
      <c r="A6306">
        <v>6245</v>
      </c>
      <c r="B6306" s="138">
        <f>'Revenues 9-14'!J18</f>
        <v>795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800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155831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372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112523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881</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372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409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409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409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781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4142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4142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4142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89933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4142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155831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6265</v>
      </c>
      <c r="D7075" s="2" t="str">
        <f t="shared" si="109"/>
        <v>Error?</v>
      </c>
    </row>
    <row r="7076" spans="1:4" x14ac:dyDescent="0.2">
      <c r="A7076">
        <v>7015</v>
      </c>
      <c r="B7076" s="138">
        <f>'Expenditures 15-22'!K218</f>
        <v>6265</v>
      </c>
      <c r="D7076" s="2" t="str">
        <f t="shared" si="109"/>
        <v>Error?</v>
      </c>
    </row>
    <row r="7077" spans="1:4" x14ac:dyDescent="0.2">
      <c r="A7077">
        <v>7016</v>
      </c>
      <c r="B7077" s="138">
        <f>'Expenditures 15-22'!D220</f>
        <v>11</v>
      </c>
      <c r="D7077" s="2" t="str">
        <f t="shared" si="109"/>
        <v>Error?</v>
      </c>
    </row>
    <row r="7078" spans="1:4" x14ac:dyDescent="0.2">
      <c r="A7078">
        <v>7017</v>
      </c>
      <c r="B7078" s="138">
        <f>'Expenditures 15-22'!K220</f>
        <v>11</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78</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78</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78</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44451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44451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4911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4911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6371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6371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31248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31248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2952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2952</v>
      </c>
      <c r="D7198" s="2" t="str">
        <f t="shared" si="111"/>
        <v>Error?</v>
      </c>
    </row>
    <row r="7199" spans="1:4" x14ac:dyDescent="0.2">
      <c r="A7199">
        <v>7138</v>
      </c>
      <c r="B7199" s="138">
        <f>'Expenditures 15-22'!C330</f>
        <v>31248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58685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89933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31248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58685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89933</v>
      </c>
      <c r="D7224" s="2" t="str">
        <f t="shared" si="111"/>
        <v>Error?</v>
      </c>
    </row>
    <row r="7225" spans="1:4" x14ac:dyDescent="0.2">
      <c r="A7225">
        <v>7164</v>
      </c>
      <c r="B7225" s="138">
        <f>'Expenditures 15-22'!K343</f>
        <v>65898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94458</v>
      </c>
      <c r="D7251" s="2" t="str">
        <f t="shared" si="112"/>
        <v>Error?</v>
      </c>
    </row>
    <row r="7252" spans="1:4" x14ac:dyDescent="0.2">
      <c r="A7252">
        <f t="shared" si="113"/>
        <v>7191</v>
      </c>
      <c r="B7252" s="138">
        <f>'Expenditures 15-22'!D9</f>
        <v>18058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790</v>
      </c>
      <c r="D7257" s="2" t="str">
        <f t="shared" si="112"/>
        <v>Error?</v>
      </c>
    </row>
    <row r="7258" spans="1:4" x14ac:dyDescent="0.2">
      <c r="A7258">
        <f t="shared" si="113"/>
        <v>7197</v>
      </c>
      <c r="B7258" s="138">
        <f>'Expenditures 15-22'!D11</f>
        <v>91</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5001</v>
      </c>
      <c r="D7624" s="2" t="str">
        <f t="shared" si="124"/>
        <v>Error?</v>
      </c>
      <c r="E7624" s="2" t="s">
        <v>19</v>
      </c>
    </row>
    <row r="7625" spans="1:5" x14ac:dyDescent="0.2">
      <c r="A7625">
        <f t="shared" si="123"/>
        <v>7564</v>
      </c>
      <c r="B7625" s="138">
        <f>'Cap Outlay Deprec 26'!I17</f>
        <v>500.1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324770.09999999998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24105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430098</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175000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1519</v>
      </c>
    </row>
    <row r="7757" spans="1:6" x14ac:dyDescent="0.2">
      <c r="A7757">
        <v>7696</v>
      </c>
      <c r="B7757" s="138">
        <f>'Aud Quest 2'!E87</f>
        <v>0</v>
      </c>
      <c r="D7757" s="2" t="str">
        <f t="shared" si="127"/>
        <v>Error?</v>
      </c>
      <c r="E7757" s="4" t="s">
        <v>1400</v>
      </c>
      <c r="F7757" t="s">
        <v>1519</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798483</v>
      </c>
      <c r="D7797" s="2" t="str">
        <f t="shared" si="127"/>
        <v>Error?</v>
      </c>
      <c r="E7797" s="4" t="s">
        <v>2015</v>
      </c>
    </row>
    <row r="7798" spans="1:5" x14ac:dyDescent="0.2">
      <c r="A7798">
        <v>7737</v>
      </c>
      <c r="B7798" s="138">
        <f>'Contracts Paid in CY 29'!F141</f>
        <v>91669</v>
      </c>
      <c r="D7798" s="2" t="str">
        <f t="shared" si="127"/>
        <v>Error?</v>
      </c>
      <c r="E7798" s="4" t="s">
        <v>2015</v>
      </c>
    </row>
    <row r="7799" spans="1:5" x14ac:dyDescent="0.2">
      <c r="A7799">
        <v>7738</v>
      </c>
      <c r="B7799" s="138">
        <f>'Contracts Paid in CY 29'!G141</f>
        <v>706814</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G11" sqref="G11:L1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1798</v>
      </c>
      <c r="B4" s="2444"/>
      <c r="C4" s="2444"/>
      <c r="D4" s="2444"/>
      <c r="E4" s="2444"/>
      <c r="F4" s="2444"/>
      <c r="G4" s="2444"/>
      <c r="H4" s="2444"/>
      <c r="I4" s="2444"/>
      <c r="J4" s="2444"/>
      <c r="K4" s="2444"/>
      <c r="L4" s="244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7" t="str">
        <f>COVER!A17</f>
        <v>Benton CCSD 47</v>
      </c>
      <c r="B7" s="2408"/>
      <c r="C7" s="2408"/>
      <c r="D7" s="2445"/>
      <c r="E7" s="2446">
        <f>COVER!A13</f>
        <v>21028047004</v>
      </c>
      <c r="F7" s="2447"/>
      <c r="G7" s="2414" t="str">
        <f>COVER!T23</f>
        <v>066-003689</v>
      </c>
      <c r="H7" s="2415"/>
      <c r="I7" s="2415"/>
      <c r="J7" s="2415"/>
      <c r="K7" s="2415"/>
      <c r="L7" s="2416"/>
    </row>
    <row r="8" spans="1:29" ht="13.5" customHeight="1" x14ac:dyDescent="0.2">
      <c r="A8" s="1185" t="s">
        <v>1596</v>
      </c>
      <c r="B8" s="1186"/>
      <c r="C8" s="1187"/>
      <c r="D8" s="1187"/>
      <c r="E8" s="1192"/>
      <c r="F8" s="1191"/>
      <c r="G8" s="1193" t="s">
        <v>1248</v>
      </c>
      <c r="H8" s="1194"/>
      <c r="I8" s="1194"/>
      <c r="J8" s="1194"/>
      <c r="K8" s="1194"/>
      <c r="L8" s="1195"/>
    </row>
    <row r="9" spans="1:29" ht="13.5" customHeight="1" x14ac:dyDescent="0.2">
      <c r="A9" s="2417"/>
      <c r="B9" s="2418"/>
      <c r="C9" s="2418"/>
      <c r="D9" s="2418"/>
      <c r="E9" s="2418"/>
      <c r="F9" s="2419"/>
      <c r="G9" s="2420" t="str">
        <f>COVER!T13</f>
        <v>ATLAS CPAs &amp; Advisors, LLC</v>
      </c>
      <c r="H9" s="2421"/>
      <c r="I9" s="2421"/>
      <c r="J9" s="2421"/>
      <c r="K9" s="2421"/>
      <c r="L9" s="2422"/>
    </row>
    <row r="10" spans="1:29" ht="13.5" customHeight="1" x14ac:dyDescent="0.2">
      <c r="A10" s="2404" t="str">
        <f>COVER!A38</f>
        <v>Steve Smith</v>
      </c>
      <c r="B10" s="2405"/>
      <c r="C10" s="2405"/>
      <c r="D10" s="2405"/>
      <c r="E10" s="2405"/>
      <c r="F10" s="2406"/>
      <c r="G10" s="2420" t="str">
        <f>COVER!T17</f>
        <v>2602 W DeYoung, P.O. Box 1728</v>
      </c>
      <c r="H10" s="2433"/>
      <c r="I10" s="2433"/>
      <c r="J10" s="2433"/>
      <c r="K10" s="2433"/>
      <c r="L10" s="2434"/>
    </row>
    <row r="11" spans="1:29" ht="13.5" customHeight="1" x14ac:dyDescent="0.2">
      <c r="A11" s="1185" t="s">
        <v>1598</v>
      </c>
      <c r="B11" s="1186"/>
      <c r="C11" s="1187"/>
      <c r="D11" s="1192"/>
      <c r="E11" s="1187"/>
      <c r="F11" s="1191"/>
      <c r="G11" s="2420" t="str">
        <f>COVER!T19</f>
        <v>Marion</v>
      </c>
      <c r="H11" s="2433"/>
      <c r="I11" s="2433"/>
      <c r="J11" s="2433"/>
      <c r="K11" s="2433"/>
      <c r="L11" s="2434"/>
    </row>
    <row r="12" spans="1:29" ht="13.5" customHeight="1" x14ac:dyDescent="0.2">
      <c r="A12" s="2438" t="s">
        <v>1597</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1599</v>
      </c>
      <c r="H13" s="2429"/>
      <c r="I13" s="2441" t="str">
        <f>COVER!T25</f>
        <v>jalayne.luckett@atlascpas.com</v>
      </c>
      <c r="J13" s="2442"/>
      <c r="K13" s="2442"/>
      <c r="L13" s="2443"/>
    </row>
    <row r="14" spans="1:29" ht="13.5" customHeight="1" x14ac:dyDescent="0.2">
      <c r="A14" s="2420" t="str">
        <f>COVER!A19</f>
        <v>1000 Forest Street</v>
      </c>
      <c r="B14" s="2433"/>
      <c r="C14" s="2433"/>
      <c r="D14" s="2433"/>
      <c r="E14" s="2433"/>
      <c r="F14" s="2434"/>
      <c r="G14" s="1196" t="s">
        <v>1247</v>
      </c>
      <c r="H14" s="1194"/>
      <c r="I14" s="1194"/>
      <c r="J14" s="1194"/>
      <c r="K14" s="1194"/>
      <c r="L14" s="1195"/>
    </row>
    <row r="15" spans="1:29" ht="13.5" customHeight="1" x14ac:dyDescent="0.2">
      <c r="A15" s="2420" t="str">
        <f>COVER!A21</f>
        <v>Benton</v>
      </c>
      <c r="B15" s="2433"/>
      <c r="C15" s="2433"/>
      <c r="D15" s="2433"/>
      <c r="E15" s="2433"/>
      <c r="F15" s="2434"/>
      <c r="G15" s="2430" t="str">
        <f>COVER!T15</f>
        <v>Jalayne Luckett, CPA, PC</v>
      </c>
      <c r="H15" s="2431"/>
      <c r="I15" s="2431"/>
      <c r="J15" s="2431"/>
      <c r="K15" s="2431"/>
      <c r="L15" s="2432"/>
    </row>
    <row r="16" spans="1:29" ht="12.2" customHeight="1" x14ac:dyDescent="0.2">
      <c r="A16" s="2410">
        <f>COVER!A25</f>
        <v>62812</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6" t="s">
        <v>1246</v>
      </c>
      <c r="H17" s="1194"/>
      <c r="I17" s="1194"/>
      <c r="J17" s="1194"/>
      <c r="K17" s="1198" t="s">
        <v>1245</v>
      </c>
      <c r="L17" s="1191"/>
      <c r="M17" s="1184"/>
    </row>
    <row r="18" spans="1:13" ht="12.2" customHeight="1" x14ac:dyDescent="0.2">
      <c r="A18" s="2404"/>
      <c r="B18" s="2405"/>
      <c r="C18" s="2405"/>
      <c r="D18" s="2405"/>
      <c r="E18" s="2405"/>
      <c r="F18" s="2406"/>
      <c r="G18" s="2407" t="str">
        <f>COVER!T21</f>
        <v>618-993-2647</v>
      </c>
      <c r="H18" s="2408"/>
      <c r="I18" s="2408"/>
      <c r="J18" s="2408"/>
      <c r="K18" s="2407" t="str">
        <f>COVER!X21</f>
        <v>618-993-3981</v>
      </c>
      <c r="L18" s="240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t="s">
        <v>2084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2084</v>
      </c>
      <c r="C26" s="1203" t="s">
        <v>1800</v>
      </c>
    </row>
    <row r="27" spans="1:13" s="1199" customFormat="1" ht="9" customHeight="1" x14ac:dyDescent="0.2">
      <c r="B27" s="1204"/>
      <c r="C27" s="1203"/>
    </row>
    <row r="28" spans="1:13" s="1199" customFormat="1" ht="12.2" customHeight="1" x14ac:dyDescent="0.2">
      <c r="A28" s="1206"/>
      <c r="B28" s="1202" t="s">
        <v>2084</v>
      </c>
      <c r="C28" s="1203" t="s">
        <v>1801</v>
      </c>
    </row>
    <row r="29" spans="1:13" s="1199" customFormat="1" ht="9" customHeight="1" x14ac:dyDescent="0.2">
      <c r="A29" s="1206"/>
      <c r="B29" s="1204"/>
      <c r="C29" s="1203"/>
    </row>
    <row r="30" spans="1:13" s="1199" customFormat="1" ht="12.2" customHeight="1" x14ac:dyDescent="0.2">
      <c r="B30" s="1202" t="s">
        <v>2084</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2084</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2084</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2084</v>
      </c>
      <c r="C38" s="1203" t="s">
        <v>1646</v>
      </c>
    </row>
    <row r="39" spans="1:8" ht="9" customHeight="1" x14ac:dyDescent="0.2">
      <c r="B39" s="1204"/>
      <c r="C39" s="1207"/>
    </row>
    <row r="40" spans="1:8" s="1199" customFormat="1" ht="13.5" customHeight="1" x14ac:dyDescent="0.2">
      <c r="B40" s="1202" t="s">
        <v>2084</v>
      </c>
      <c r="C40" s="1203" t="s">
        <v>1647</v>
      </c>
    </row>
    <row r="41" spans="1:8" ht="9" customHeight="1" x14ac:dyDescent="0.2">
      <c r="A41" s="1208"/>
      <c r="B41" s="1204"/>
      <c r="C41" s="1207"/>
    </row>
    <row r="42" spans="1:8" s="1199" customFormat="1" ht="13.5" customHeight="1" x14ac:dyDescent="0.2">
      <c r="B42" s="1202" t="s">
        <v>2084</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Benton CCSD 47</v>
      </c>
      <c r="B1" s="2444"/>
      <c r="C1" s="2444"/>
      <c r="D1" s="2444"/>
    </row>
    <row r="2" spans="1:11" s="1215" customFormat="1" ht="12.75" x14ac:dyDescent="0.2">
      <c r="A2" s="2449">
        <f>'Single Audit Cover'!E7</f>
        <v>21028047004</v>
      </c>
      <c r="B2" s="2450"/>
      <c r="C2" s="2450"/>
      <c r="D2" s="2450"/>
    </row>
    <row r="3" spans="1:11" s="1215" customFormat="1" ht="12.75" x14ac:dyDescent="0.2">
      <c r="A3" s="2448" t="s">
        <v>1592</v>
      </c>
      <c r="B3" s="2444"/>
      <c r="C3" s="2444"/>
      <c r="D3" s="2444"/>
    </row>
    <row r="4" spans="1:11" s="1215" customFormat="1" ht="4.5" customHeight="1" x14ac:dyDescent="0.2">
      <c r="A4" s="1216"/>
      <c r="B4" s="1217"/>
      <c r="C4" s="1217"/>
      <c r="D4" s="1217"/>
    </row>
    <row r="5" spans="1:11" x14ac:dyDescent="0.2">
      <c r="B5" s="1219" t="s">
        <v>1593</v>
      </c>
      <c r="C5" s="1220"/>
      <c r="D5" s="1221"/>
    </row>
    <row r="6" spans="1:11" x14ac:dyDescent="0.2">
      <c r="B6" s="1219" t="s">
        <v>1287</v>
      </c>
      <c r="C6" s="1220"/>
      <c r="D6" s="1221"/>
    </row>
    <row r="7" spans="1:11" x14ac:dyDescent="0.2">
      <c r="B7" s="1219" t="s">
        <v>1594</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1269</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Benton CCSD 47</v>
      </c>
      <c r="B1" s="2452"/>
      <c r="C1" s="2452"/>
      <c r="D1" s="2452"/>
      <c r="E1" s="2452"/>
    </row>
    <row r="2" spans="1:5" x14ac:dyDescent="0.2">
      <c r="A2" s="2453">
        <f>'Single Audit Cover'!E7</f>
        <v>21028047004</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60" t="s">
        <v>1305</v>
      </c>
    </row>
    <row r="10" spans="1:5" x14ac:dyDescent="0.2">
      <c r="A10" s="1261" t="s">
        <v>1304</v>
      </c>
      <c r="B10" s="1262" t="s">
        <v>1303</v>
      </c>
      <c r="C10" s="1262"/>
      <c r="D10" s="1263">
        <f>SUM('Acct Summary 7-8'!C7:K7)</f>
        <v>1250495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v>56046</v>
      </c>
    </row>
    <row r="15" spans="1:5" x14ac:dyDescent="0.2">
      <c r="A15" s="1261"/>
      <c r="B15" s="1262"/>
      <c r="C15" s="1262"/>
    </row>
    <row r="16" spans="1:5" x14ac:dyDescent="0.2">
      <c r="A16" s="1261" t="s">
        <v>1951</v>
      </c>
      <c r="B16" s="1262"/>
      <c r="C16" s="1262"/>
    </row>
    <row r="17" spans="1:4" x14ac:dyDescent="0.2">
      <c r="A17" s="1261" t="s">
        <v>1600</v>
      </c>
      <c r="B17" s="1262" t="s">
        <v>1298</v>
      </c>
      <c r="C17" s="1262"/>
      <c r="D17" s="1264">
        <f>-SUM('Revenues 9-14'!C271:D271,'Revenues 9-14'!F271:G271)</f>
        <v>-72291</v>
      </c>
    </row>
    <row r="19" spans="1:4" ht="13.5" thickBot="1" x14ac:dyDescent="0.25">
      <c r="A19" s="1265" t="s">
        <v>1297</v>
      </c>
      <c r="D19" s="1266">
        <f>SUM(D10:D17)</f>
        <v>1234250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4"/>
      <c r="B24" s="2454"/>
      <c r="D24" s="1268"/>
    </row>
    <row r="25" spans="1:4" x14ac:dyDescent="0.2">
      <c r="A25" s="2451"/>
      <c r="B25" s="2451"/>
      <c r="D25" s="1268"/>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1295</v>
      </c>
      <c r="D32" s="1263">
        <f>SUM(D19:D30)</f>
        <v>1234250</v>
      </c>
    </row>
    <row r="33" spans="1:4" x14ac:dyDescent="0.2">
      <c r="D33" s="1269"/>
    </row>
    <row r="34" spans="1:4" x14ac:dyDescent="0.2">
      <c r="A34" s="317" t="s">
        <v>1294</v>
      </c>
    </row>
    <row r="35" spans="1:4" x14ac:dyDescent="0.2">
      <c r="A35" s="317" t="s">
        <v>1293</v>
      </c>
      <c r="B35" s="1258" t="s">
        <v>1292</v>
      </c>
      <c r="D35" s="1270">
        <v>1234250</v>
      </c>
    </row>
    <row r="37" spans="1:4" x14ac:dyDescent="0.2">
      <c r="A37" s="1260" t="s">
        <v>1291</v>
      </c>
    </row>
    <row r="39" spans="1:4" ht="13.35" customHeight="1" x14ac:dyDescent="0.2">
      <c r="A39" s="1267" t="s">
        <v>1290</v>
      </c>
    </row>
    <row r="40" spans="1:4" x14ac:dyDescent="0.2">
      <c r="A40" s="2451"/>
      <c r="B40" s="2451"/>
      <c r="D40" s="1268"/>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1289</v>
      </c>
      <c r="C47" s="1272"/>
      <c r="D47" s="1273">
        <f>SUM(D35:D45)</f>
        <v>1234250</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E38" sqref="E3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Benton CCSD 47</v>
      </c>
      <c r="B1" s="2457"/>
      <c r="C1" s="2457"/>
      <c r="D1" s="2457"/>
      <c r="E1" s="2457"/>
      <c r="F1" s="2457"/>
    </row>
    <row r="2" spans="1:7" ht="13.5" customHeight="1" x14ac:dyDescent="0.2">
      <c r="A2" s="2458">
        <f>'Single Audit Cover'!E7</f>
        <v>21028047004</v>
      </c>
      <c r="B2" s="2458"/>
      <c r="C2" s="2458"/>
      <c r="D2" s="2458"/>
      <c r="E2" s="2458"/>
      <c r="F2" s="2458"/>
      <c r="G2" s="1275"/>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6" t="s">
        <v>1830</v>
      </c>
      <c r="C6" s="317"/>
      <c r="D6" s="317"/>
    </row>
    <row r="7" spans="1:7" ht="60.95" customHeight="1" x14ac:dyDescent="0.2">
      <c r="A7" s="2456" t="s">
        <v>2158</v>
      </c>
      <c r="B7" s="2456"/>
      <c r="C7" s="2456"/>
      <c r="D7" s="2456"/>
      <c r="E7" s="2456"/>
      <c r="F7" s="2456"/>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2084</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56" t="s">
        <v>2160</v>
      </c>
      <c r="B13" s="2456"/>
      <c r="C13" s="2456"/>
      <c r="D13" s="2456"/>
      <c r="E13" s="2456"/>
      <c r="F13" s="2456"/>
    </row>
    <row r="14" spans="1:7" ht="9.75" customHeight="1" x14ac:dyDescent="0.2">
      <c r="C14" s="1260"/>
      <c r="D14" s="1260"/>
    </row>
    <row r="15" spans="1:7" ht="13.5" customHeight="1" x14ac:dyDescent="0.2">
      <c r="C15" s="1871" t="s">
        <v>1332</v>
      </c>
      <c r="D15" s="2462" t="s">
        <v>1331</v>
      </c>
      <c r="E15" s="2462"/>
      <c r="F15" s="2462"/>
    </row>
    <row r="16" spans="1:7" ht="13.5" customHeight="1" x14ac:dyDescent="0.2">
      <c r="A16" s="1282"/>
      <c r="B16" s="1276" t="s">
        <v>1330</v>
      </c>
      <c r="C16" s="1871" t="s">
        <v>1329</v>
      </c>
      <c r="D16" s="2463" t="s">
        <v>1669</v>
      </c>
      <c r="E16" s="2463"/>
      <c r="F16" s="2463"/>
    </row>
    <row r="17" spans="1:6" ht="20.45" customHeight="1" x14ac:dyDescent="0.2">
      <c r="A17" s="1283"/>
      <c r="B17" s="1284" t="s">
        <v>2159</v>
      </c>
      <c r="C17" s="1285"/>
      <c r="D17" s="2461"/>
      <c r="E17" s="2461"/>
      <c r="F17" s="2461"/>
    </row>
    <row r="18" spans="1:6" ht="20.65" customHeight="1" x14ac:dyDescent="0.2">
      <c r="A18" s="1283"/>
      <c r="B18" s="1284"/>
      <c r="C18" s="1285"/>
      <c r="D18" s="2461"/>
      <c r="E18" s="2461"/>
      <c r="F18" s="2461"/>
    </row>
    <row r="19" spans="1:6" ht="20.65" customHeight="1" x14ac:dyDescent="0.2">
      <c r="A19" s="1283"/>
      <c r="B19" s="1284"/>
      <c r="C19" s="1285"/>
      <c r="D19" s="2461"/>
      <c r="E19" s="2461"/>
      <c r="F19" s="2461"/>
    </row>
    <row r="20" spans="1:6" ht="20.65" customHeight="1" x14ac:dyDescent="0.2">
      <c r="A20" s="1283"/>
      <c r="B20" s="1284"/>
      <c r="C20" s="1285"/>
      <c r="D20" s="2461"/>
      <c r="E20" s="2461"/>
      <c r="F20" s="2461"/>
    </row>
    <row r="21" spans="1:6" ht="20.65" customHeight="1" x14ac:dyDescent="0.2">
      <c r="A21" s="1283"/>
      <c r="B21" s="1284"/>
      <c r="C21" s="1285"/>
      <c r="D21" s="2461"/>
      <c r="E21" s="2461"/>
      <c r="F21" s="2461"/>
    </row>
    <row r="22" spans="1:6" ht="20.65" customHeight="1" x14ac:dyDescent="0.2">
      <c r="A22" s="1283"/>
      <c r="B22" s="1284"/>
      <c r="C22" s="1285"/>
      <c r="D22" s="2461"/>
      <c r="E22" s="2461"/>
      <c r="F22" s="2461"/>
    </row>
    <row r="23" spans="1:6" ht="20.65" customHeight="1" x14ac:dyDescent="0.2">
      <c r="A23" s="1283"/>
      <c r="B23" s="1284"/>
      <c r="C23" s="1285"/>
      <c r="D23" s="2461"/>
      <c r="E23" s="2461"/>
      <c r="F23" s="2461"/>
    </row>
    <row r="24" spans="1:6" ht="20.65" customHeight="1" x14ac:dyDescent="0.2">
      <c r="A24" s="1283"/>
      <c r="B24" s="1284"/>
      <c r="C24" s="1285"/>
      <c r="D24" s="2461"/>
      <c r="E24" s="2461"/>
      <c r="F24" s="2461"/>
    </row>
    <row r="25" spans="1:6" ht="20.65" customHeight="1" x14ac:dyDescent="0.2">
      <c r="A25" s="1283"/>
      <c r="B25" s="1284"/>
      <c r="C25" s="1285"/>
      <c r="D25" s="2461"/>
      <c r="E25" s="2461"/>
      <c r="F25" s="2461"/>
    </row>
    <row r="26" spans="1:6" ht="20.65" customHeight="1" x14ac:dyDescent="0.2">
      <c r="A26" s="1283"/>
      <c r="B26" s="1284"/>
      <c r="C26" s="1285"/>
      <c r="D26" s="2461"/>
      <c r="E26" s="2461"/>
      <c r="F26" s="2461"/>
    </row>
    <row r="27" spans="1:6" ht="20.65" customHeight="1" x14ac:dyDescent="0.2">
      <c r="A27" s="1283"/>
      <c r="B27" s="1284"/>
      <c r="C27" s="1285"/>
      <c r="D27" s="2461"/>
      <c r="E27" s="2461"/>
      <c r="F27" s="2461"/>
    </row>
    <row r="28" spans="1:6" ht="20.65" customHeight="1" x14ac:dyDescent="0.2">
      <c r="A28" s="1283"/>
      <c r="B28" s="1284"/>
      <c r="C28" s="1285"/>
      <c r="D28" s="2461"/>
      <c r="E28" s="2461"/>
      <c r="F28" s="2461"/>
    </row>
    <row r="29" spans="1:6" ht="20.65" customHeight="1" x14ac:dyDescent="0.2">
      <c r="A29" s="1283"/>
      <c r="B29" s="1284"/>
      <c r="C29" s="1285"/>
      <c r="D29" s="2461"/>
      <c r="E29" s="2461"/>
      <c r="F29" s="2461"/>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65" t="s">
        <v>2180</v>
      </c>
      <c r="B32" s="2465"/>
      <c r="C32" s="2465"/>
      <c r="D32" s="2465"/>
      <c r="E32" s="2465"/>
      <c r="F32" s="2465"/>
    </row>
    <row r="33" spans="1:6" ht="13.5" customHeight="1" x14ac:dyDescent="0.2">
      <c r="A33" s="328" t="s">
        <v>1509</v>
      </c>
      <c r="B33" s="328"/>
      <c r="C33" s="1288">
        <v>42455</v>
      </c>
      <c r="D33" s="1928"/>
      <c r="E33" s="1286"/>
    </row>
    <row r="34" spans="1:6" ht="13.5" customHeight="1" x14ac:dyDescent="0.2">
      <c r="A34" s="328" t="s">
        <v>1944</v>
      </c>
      <c r="B34" s="328"/>
      <c r="C34" s="1289">
        <v>13591</v>
      </c>
      <c r="D34" s="1928" t="s">
        <v>1670</v>
      </c>
      <c r="E34" s="2466">
        <f>+C33+C34</f>
        <v>56046</v>
      </c>
      <c r="F34" s="2467"/>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v>0</v>
      </c>
      <c r="D43" s="1928"/>
      <c r="E43" s="1286"/>
    </row>
    <row r="44" spans="1:6" ht="14.25" customHeight="1" x14ac:dyDescent="0.2">
      <c r="A44" s="328"/>
      <c r="B44" s="328"/>
      <c r="C44" s="1930" t="s">
        <v>401</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8" t="s">
        <v>1671</v>
      </c>
      <c r="C49" s="2468"/>
      <c r="D49" s="2468"/>
      <c r="E49" s="1399"/>
    </row>
    <row r="50" spans="1:5" s="1300" customFormat="1" ht="3.75" customHeight="1" x14ac:dyDescent="0.2">
      <c r="A50" s="1299"/>
      <c r="B50" s="1870"/>
      <c r="C50" s="1870"/>
      <c r="D50" s="1870"/>
      <c r="E50" s="1399"/>
    </row>
    <row r="51" spans="1:5" s="1300" customFormat="1" ht="20.25" customHeight="1" x14ac:dyDescent="0.2">
      <c r="A51" s="1301">
        <v>6</v>
      </c>
      <c r="B51" s="2464" t="s">
        <v>1631</v>
      </c>
      <c r="C51" s="2464"/>
      <c r="D51" s="2464"/>
    </row>
    <row r="52" spans="1:5" ht="14.25" customHeight="1" x14ac:dyDescent="0.2">
      <c r="A52" s="1301"/>
      <c r="B52" s="2464"/>
      <c r="C52" s="2464"/>
      <c r="D52" s="246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110" zoomScaleNormal="110" workbookViewId="0">
      <selection activeCell="F25" sqref="F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Benton CCSD 47</v>
      </c>
      <c r="C1" s="2469"/>
      <c r="D1" s="2469"/>
      <c r="E1" s="2469"/>
      <c r="F1" s="2469"/>
      <c r="G1" s="2469"/>
      <c r="H1" s="2469"/>
      <c r="I1" s="2469"/>
      <c r="J1" s="2469"/>
      <c r="K1" s="2469"/>
      <c r="L1" s="2469"/>
      <c r="M1" s="2469"/>
    </row>
    <row r="2" spans="2:14" ht="15" x14ac:dyDescent="0.2">
      <c r="B2" s="2458">
        <f>'Single Audit Cover'!E7</f>
        <v>21028047004</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1833</v>
      </c>
      <c r="H6" s="1306"/>
      <c r="I6" s="1306"/>
      <c r="J6" s="1306"/>
      <c r="K6" s="1309"/>
      <c r="L6" s="1310"/>
      <c r="M6" s="1311"/>
    </row>
    <row r="7" spans="2:14" x14ac:dyDescent="0.2">
      <c r="B7" s="1312" t="s">
        <v>1661</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1662</v>
      </c>
      <c r="I8" s="1319" t="s">
        <v>1324</v>
      </c>
      <c r="J8" s="1318" t="s">
        <v>1945</v>
      </c>
      <c r="K8" s="1319" t="s">
        <v>1323</v>
      </c>
      <c r="L8" s="1320" t="s">
        <v>1319</v>
      </c>
      <c r="M8" s="1321" t="s">
        <v>30</v>
      </c>
    </row>
    <row r="9" spans="2:14" ht="14.25" x14ac:dyDescent="0.2">
      <c r="B9" s="1325" t="s">
        <v>1321</v>
      </c>
      <c r="C9" s="1313" t="s">
        <v>1834</v>
      </c>
      <c r="D9" s="1314" t="s">
        <v>1835</v>
      </c>
      <c r="E9" s="1322" t="s">
        <v>1662</v>
      </c>
      <c r="F9" s="1323" t="s">
        <v>1945</v>
      </c>
      <c r="G9" s="1324" t="s">
        <v>1662</v>
      </c>
      <c r="H9" s="1317" t="s">
        <v>1663</v>
      </c>
      <c r="I9" s="1319" t="s">
        <v>1945</v>
      </c>
      <c r="J9" s="1318" t="s">
        <v>1663</v>
      </c>
      <c r="K9" s="1319" t="s">
        <v>1320</v>
      </c>
      <c r="L9" s="1326" t="s">
        <v>1664</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2107</v>
      </c>
      <c r="C11" s="1338"/>
      <c r="D11" s="1339"/>
      <c r="E11" s="1340"/>
      <c r="F11" s="1340"/>
      <c r="G11" s="1340"/>
      <c r="H11" s="1340"/>
      <c r="I11" s="1340"/>
      <c r="J11" s="1340"/>
      <c r="K11" s="1340"/>
      <c r="L11" s="1340"/>
      <c r="M11" s="1340"/>
    </row>
    <row r="12" spans="2:14" ht="20.100000000000001" customHeight="1" x14ac:dyDescent="0.2">
      <c r="B12" s="1337" t="s">
        <v>2108</v>
      </c>
      <c r="C12" s="1341"/>
      <c r="D12" s="1342"/>
      <c r="E12" s="1343"/>
      <c r="F12" s="1343"/>
      <c r="G12" s="1343"/>
      <c r="H12" s="1343"/>
      <c r="I12" s="1343"/>
      <c r="J12" s="1343"/>
      <c r="K12" s="1343"/>
      <c r="L12" s="1340"/>
      <c r="M12" s="1343"/>
    </row>
    <row r="13" spans="2:14" ht="20.100000000000001" customHeight="1" x14ac:dyDescent="0.2">
      <c r="B13" s="1337"/>
      <c r="C13" s="1341"/>
      <c r="D13" s="1342"/>
      <c r="E13" s="1343"/>
      <c r="F13" s="1343"/>
      <c r="G13" s="1343"/>
      <c r="H13" s="1343"/>
      <c r="I13" s="1343"/>
      <c r="J13" s="1343"/>
      <c r="K13" s="1343"/>
      <c r="L13" s="1340"/>
      <c r="M13" s="1343"/>
    </row>
    <row r="14" spans="2:14" ht="20.100000000000001" customHeight="1" x14ac:dyDescent="0.2">
      <c r="B14" s="1337" t="s">
        <v>974</v>
      </c>
      <c r="C14" s="1341" t="s">
        <v>2113</v>
      </c>
      <c r="D14" s="1342" t="s">
        <v>2116</v>
      </c>
      <c r="E14" s="1343">
        <v>371126</v>
      </c>
      <c r="F14" s="1343">
        <v>99939</v>
      </c>
      <c r="G14" s="1343">
        <v>423920</v>
      </c>
      <c r="H14" s="1343"/>
      <c r="I14" s="1343">
        <v>47145</v>
      </c>
      <c r="J14" s="1343"/>
      <c r="K14" s="1343"/>
      <c r="L14" s="1340">
        <f t="shared" ref="L14:L25" si="0">+G14+I14+K14</f>
        <v>471065</v>
      </c>
      <c r="M14" s="1343">
        <v>517414</v>
      </c>
    </row>
    <row r="15" spans="2:14" ht="20.100000000000001" customHeight="1" x14ac:dyDescent="0.2">
      <c r="B15" s="1337" t="s">
        <v>974</v>
      </c>
      <c r="C15" s="1341" t="s">
        <v>2113</v>
      </c>
      <c r="D15" s="1342" t="s">
        <v>2117</v>
      </c>
      <c r="E15" s="1343"/>
      <c r="F15" s="1343">
        <v>331486</v>
      </c>
      <c r="G15" s="1343"/>
      <c r="H15" s="1343"/>
      <c r="I15" s="1343">
        <v>370961</v>
      </c>
      <c r="J15" s="1343"/>
      <c r="K15" s="1343">
        <v>39737</v>
      </c>
      <c r="L15" s="1340">
        <f t="shared" si="0"/>
        <v>410698</v>
      </c>
      <c r="M15" s="1343">
        <v>441409</v>
      </c>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782</v>
      </c>
      <c r="C17" s="1341" t="s">
        <v>2114</v>
      </c>
      <c r="D17" s="1342" t="s">
        <v>2118</v>
      </c>
      <c r="E17" s="1343">
        <v>7821</v>
      </c>
      <c r="F17" s="1343">
        <v>18625</v>
      </c>
      <c r="G17" s="1343">
        <v>16137</v>
      </c>
      <c r="H17" s="1343"/>
      <c r="I17" s="1343">
        <v>10309</v>
      </c>
      <c r="J17" s="1343"/>
      <c r="K17" s="1343"/>
      <c r="L17" s="1340">
        <f t="shared" si="0"/>
        <v>26446</v>
      </c>
      <c r="M17" s="1343">
        <v>31016</v>
      </c>
    </row>
    <row r="18" spans="2:14" ht="20.100000000000001" customHeight="1" x14ac:dyDescent="0.2">
      <c r="B18" s="1337" t="s">
        <v>782</v>
      </c>
      <c r="C18" s="1341" t="s">
        <v>2114</v>
      </c>
      <c r="D18" s="1342" t="s">
        <v>2119</v>
      </c>
      <c r="E18" s="1343"/>
      <c r="F18" s="1343">
        <v>46890</v>
      </c>
      <c r="G18" s="1343"/>
      <c r="H18" s="1343"/>
      <c r="I18" s="1343">
        <v>52806</v>
      </c>
      <c r="J18" s="1343"/>
      <c r="K18" s="1343">
        <v>5656</v>
      </c>
      <c r="L18" s="1340">
        <f t="shared" si="0"/>
        <v>58462</v>
      </c>
      <c r="M18" s="1343">
        <v>58781</v>
      </c>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2109</v>
      </c>
      <c r="C20" s="1341" t="s">
        <v>2115</v>
      </c>
      <c r="D20" s="1342" t="s">
        <v>2120</v>
      </c>
      <c r="E20" s="1343">
        <v>24115</v>
      </c>
      <c r="F20" s="1343"/>
      <c r="G20" s="1343">
        <v>24115</v>
      </c>
      <c r="H20" s="1343"/>
      <c r="I20" s="1343"/>
      <c r="J20" s="1343"/>
      <c r="K20" s="1343"/>
      <c r="L20" s="1340">
        <f t="shared" si="0"/>
        <v>24115</v>
      </c>
      <c r="M20" s="1343">
        <v>24543</v>
      </c>
    </row>
    <row r="21" spans="2:14" ht="20.100000000000001" customHeight="1" x14ac:dyDescent="0.2">
      <c r="B21" s="1337" t="s">
        <v>2109</v>
      </c>
      <c r="C21" s="1341" t="s">
        <v>2115</v>
      </c>
      <c r="D21" s="1342" t="s">
        <v>2121</v>
      </c>
      <c r="E21" s="1343"/>
      <c r="F21" s="1343">
        <v>19576</v>
      </c>
      <c r="G21" s="1343"/>
      <c r="H21" s="1343"/>
      <c r="I21" s="1343">
        <v>19576</v>
      </c>
      <c r="J21" s="1343"/>
      <c r="K21" s="1343"/>
      <c r="L21" s="1340">
        <f t="shared" si="0"/>
        <v>19576</v>
      </c>
      <c r="M21" s="1343">
        <v>19793</v>
      </c>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t="s">
        <v>2110</v>
      </c>
      <c r="C23" s="1341"/>
      <c r="D23" s="1342"/>
      <c r="E23" s="1343"/>
      <c r="F23" s="1343"/>
      <c r="G23" s="1343"/>
      <c r="H23" s="1343"/>
      <c r="I23" s="1343"/>
      <c r="J23" s="1343"/>
      <c r="K23" s="1343"/>
      <c r="L23" s="1340"/>
      <c r="M23" s="1343"/>
    </row>
    <row r="24" spans="2:14" ht="20.100000000000001" customHeight="1" x14ac:dyDescent="0.2">
      <c r="B24" s="1337" t="s">
        <v>2111</v>
      </c>
      <c r="C24" s="1341"/>
      <c r="D24" s="1342"/>
      <c r="E24" s="1343"/>
      <c r="F24" s="1343"/>
      <c r="G24" s="1343"/>
      <c r="H24" s="1343"/>
      <c r="I24" s="1343"/>
      <c r="J24" s="1343"/>
      <c r="K24" s="1343"/>
      <c r="L24" s="1340"/>
      <c r="M24" s="1343"/>
    </row>
    <row r="25" spans="2:14" ht="20.100000000000001" customHeight="1" x14ac:dyDescent="0.2">
      <c r="B25" s="1337" t="s">
        <v>2112</v>
      </c>
      <c r="C25" s="1341"/>
      <c r="D25" s="1342"/>
      <c r="E25" s="1343">
        <f>SUM(E14:E24)</f>
        <v>403062</v>
      </c>
      <c r="F25" s="1343">
        <f>SUM(F14:F24)</f>
        <v>516516</v>
      </c>
      <c r="G25" s="1343">
        <f>SUM(G14:G24)</f>
        <v>464172</v>
      </c>
      <c r="H25" s="1343"/>
      <c r="I25" s="1343">
        <f>SUM(I14:I24)</f>
        <v>500797</v>
      </c>
      <c r="J25" s="1343"/>
      <c r="K25" s="1343">
        <f>SUM(K14:K24)</f>
        <v>45393</v>
      </c>
      <c r="L25" s="1340">
        <f t="shared" si="0"/>
        <v>1010362</v>
      </c>
      <c r="M25" s="1343">
        <f>SUM(M14:M24)</f>
        <v>1092956</v>
      </c>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1891</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1730</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2084</v>
      </c>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2072</v>
      </c>
      <c r="C53" s="179">
        <v>22</v>
      </c>
      <c r="D53" s="247" t="s">
        <v>1536</v>
      </c>
      <c r="E53" s="248"/>
      <c r="F53" s="249"/>
      <c r="G53" s="249" t="s">
        <v>1535</v>
      </c>
      <c r="H53" s="250">
        <v>35374</v>
      </c>
      <c r="I53" s="237" t="s">
        <v>1561</v>
      </c>
    </row>
    <row r="54" spans="1:10" s="181" customFormat="1" x14ac:dyDescent="0.2">
      <c r="A54" s="219"/>
      <c r="B54" s="220"/>
      <c r="C54" s="179">
        <v>23</v>
      </c>
      <c r="D54" s="243" t="s">
        <v>1429</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2016</v>
      </c>
      <c r="I77" s="1861"/>
      <c r="J77" s="261" t="s">
        <v>2088</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2181</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t="s">
        <v>2181</v>
      </c>
      <c r="E118" s="322"/>
      <c r="F118" s="1963" t="s">
        <v>2183</v>
      </c>
      <c r="G118" s="1863"/>
      <c r="H118" s="322"/>
      <c r="I118" s="304"/>
    </row>
    <row r="119" spans="1:9" s="181" customFormat="1" ht="11.25" customHeight="1" x14ac:dyDescent="0.2">
      <c r="A119" s="325"/>
      <c r="B119" s="325"/>
      <c r="C119" s="326"/>
      <c r="D119" s="327" t="s">
        <v>379</v>
      </c>
      <c r="E119" s="310"/>
      <c r="F119" s="1862" t="s">
        <v>2017</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3"/>
  <sheetViews>
    <sheetView showGridLines="0" zoomScaleNormal="100" workbookViewId="0">
      <selection activeCell="B4" sqref="B4:M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Benton CCSD 47</v>
      </c>
      <c r="C1" s="2469"/>
      <c r="D1" s="2469"/>
      <c r="E1" s="2469"/>
      <c r="F1" s="2469"/>
      <c r="G1" s="2469"/>
      <c r="H1" s="2469"/>
      <c r="I1" s="2469"/>
      <c r="J1" s="2469"/>
      <c r="K1" s="2469"/>
      <c r="L1" s="2469"/>
      <c r="M1" s="2469"/>
    </row>
    <row r="2" spans="2:14" ht="15" x14ac:dyDescent="0.2">
      <c r="B2" s="2458">
        <f>'Single Audit Cover'!E7</f>
        <v>21028047004</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1833</v>
      </c>
      <c r="H6" s="1306"/>
      <c r="I6" s="1306"/>
      <c r="J6" s="1306"/>
      <c r="K6" s="1309"/>
      <c r="L6" s="1310"/>
      <c r="M6" s="1311"/>
    </row>
    <row r="7" spans="2:14" x14ac:dyDescent="0.2">
      <c r="B7" s="1312" t="s">
        <v>1661</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1662</v>
      </c>
      <c r="I8" s="1319" t="s">
        <v>1324</v>
      </c>
      <c r="J8" s="1318" t="s">
        <v>1945</v>
      </c>
      <c r="K8" s="1319" t="s">
        <v>1323</v>
      </c>
      <c r="L8" s="1320" t="s">
        <v>1319</v>
      </c>
      <c r="M8" s="1321" t="s">
        <v>30</v>
      </c>
    </row>
    <row r="9" spans="2:14" ht="14.25" x14ac:dyDescent="0.2">
      <c r="B9" s="1325" t="s">
        <v>1321</v>
      </c>
      <c r="C9" s="1313" t="s">
        <v>1834</v>
      </c>
      <c r="D9" s="1314" t="s">
        <v>1835</v>
      </c>
      <c r="E9" s="1322" t="s">
        <v>1662</v>
      </c>
      <c r="F9" s="1323" t="s">
        <v>1945</v>
      </c>
      <c r="G9" s="1324" t="s">
        <v>1662</v>
      </c>
      <c r="H9" s="1317" t="s">
        <v>1663</v>
      </c>
      <c r="I9" s="1319" t="s">
        <v>1945</v>
      </c>
      <c r="J9" s="1318" t="s">
        <v>1663</v>
      </c>
      <c r="K9" s="1319" t="s">
        <v>1320</v>
      </c>
      <c r="L9" s="1326" t="s">
        <v>1664</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2122</v>
      </c>
      <c r="C11" s="1338"/>
      <c r="D11" s="1339"/>
      <c r="E11" s="1340"/>
      <c r="F11" s="1340"/>
      <c r="G11" s="1340"/>
      <c r="H11" s="1340"/>
      <c r="I11" s="1340"/>
      <c r="J11" s="1340"/>
      <c r="K11" s="1340"/>
      <c r="L11" s="1340"/>
      <c r="M11" s="1340"/>
    </row>
    <row r="12" spans="2:14" ht="20.100000000000001" customHeight="1" x14ac:dyDescent="0.2">
      <c r="B12" s="1337" t="s">
        <v>2123</v>
      </c>
      <c r="C12" s="1341"/>
      <c r="D12" s="1342"/>
      <c r="E12" s="1343"/>
      <c r="F12" s="1343"/>
      <c r="G12" s="1343"/>
      <c r="H12" s="1343"/>
      <c r="I12" s="1343"/>
      <c r="J12" s="1343"/>
      <c r="K12" s="1343"/>
      <c r="L12" s="1340"/>
      <c r="M12" s="1343"/>
    </row>
    <row r="13" spans="2:14" ht="20.100000000000001" customHeight="1" x14ac:dyDescent="0.2">
      <c r="B13" s="1337" t="s">
        <v>2124</v>
      </c>
      <c r="C13" s="1341"/>
      <c r="D13" s="1342"/>
      <c r="E13" s="1343"/>
      <c r="F13" s="1343"/>
      <c r="G13" s="1343"/>
      <c r="H13" s="1343"/>
      <c r="I13" s="1343"/>
      <c r="J13" s="1343"/>
      <c r="K13" s="1343"/>
      <c r="L13" s="1340"/>
      <c r="M13" s="1343"/>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2125</v>
      </c>
      <c r="C15" s="1341">
        <v>93.778000000000006</v>
      </c>
      <c r="D15" s="1342" t="s">
        <v>2126</v>
      </c>
      <c r="E15" s="1343">
        <v>5834</v>
      </c>
      <c r="F15" s="1343">
        <v>2208</v>
      </c>
      <c r="G15" s="1343">
        <v>5834</v>
      </c>
      <c r="H15" s="1343"/>
      <c r="I15" s="1343">
        <v>2208</v>
      </c>
      <c r="J15" s="1343"/>
      <c r="K15" s="1343"/>
      <c r="L15" s="1340">
        <f t="shared" ref="L15:L28" si="0">+G15+I15+K15</f>
        <v>8042</v>
      </c>
      <c r="M15" s="1343" t="s">
        <v>2128</v>
      </c>
    </row>
    <row r="16" spans="2:14" ht="20.100000000000001" customHeight="1" x14ac:dyDescent="0.2">
      <c r="B16" s="1337" t="s">
        <v>2125</v>
      </c>
      <c r="C16" s="1341">
        <v>93.778000000000006</v>
      </c>
      <c r="D16" s="1342" t="s">
        <v>2127</v>
      </c>
      <c r="E16" s="1343"/>
      <c r="F16" s="1343">
        <v>6756</v>
      </c>
      <c r="G16" s="1343"/>
      <c r="H16" s="1343"/>
      <c r="I16" s="1343">
        <v>6756</v>
      </c>
      <c r="J16" s="1343"/>
      <c r="K16" s="1343"/>
      <c r="L16" s="1340">
        <f t="shared" si="0"/>
        <v>6756</v>
      </c>
      <c r="M16" s="1343" t="s">
        <v>2128</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2129</v>
      </c>
      <c r="C18" s="1341"/>
      <c r="D18" s="1342"/>
      <c r="E18" s="1343"/>
      <c r="F18" s="1343"/>
      <c r="G18" s="1343"/>
      <c r="H18" s="1343"/>
      <c r="I18" s="1343"/>
      <c r="J18" s="1343"/>
      <c r="K18" s="1343"/>
      <c r="L18" s="1340"/>
      <c r="M18" s="1343"/>
    </row>
    <row r="19" spans="2:14" ht="20.100000000000001" customHeight="1" x14ac:dyDescent="0.2">
      <c r="B19" s="1337" t="s">
        <v>2130</v>
      </c>
      <c r="C19" s="1341"/>
      <c r="D19" s="1342"/>
      <c r="E19" s="1343"/>
      <c r="F19" s="1343"/>
      <c r="G19" s="1343"/>
      <c r="H19" s="1343"/>
      <c r="I19" s="1343"/>
      <c r="J19" s="1343"/>
      <c r="K19" s="1343"/>
      <c r="L19" s="1340"/>
      <c r="M19" s="1343"/>
    </row>
    <row r="20" spans="2:14" ht="20.100000000000001" customHeight="1" x14ac:dyDescent="0.2">
      <c r="B20" s="1337" t="s">
        <v>2131</v>
      </c>
      <c r="C20" s="1341"/>
      <c r="D20" s="1342"/>
      <c r="E20" s="1343">
        <f>SUM(E15:E19)</f>
        <v>5834</v>
      </c>
      <c r="F20" s="1343">
        <f>SUM(F15:F19)</f>
        <v>8964</v>
      </c>
      <c r="G20" s="1343">
        <f>SUM(G15:G19)</f>
        <v>5834</v>
      </c>
      <c r="H20" s="1343"/>
      <c r="I20" s="1343">
        <f>SUM(I15:I19)</f>
        <v>8964</v>
      </c>
      <c r="J20" s="1343"/>
      <c r="K20" s="1343"/>
      <c r="L20" s="1340">
        <f t="shared" si="0"/>
        <v>14798</v>
      </c>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2132</v>
      </c>
      <c r="C22" s="1341"/>
      <c r="D22" s="1342"/>
      <c r="E22" s="1343"/>
      <c r="F22" s="1343"/>
      <c r="G22" s="1343"/>
      <c r="H22" s="1343"/>
      <c r="I22" s="1343"/>
      <c r="J22" s="1343"/>
      <c r="K22" s="1343"/>
      <c r="L22" s="1340"/>
      <c r="M22" s="1343"/>
    </row>
    <row r="23" spans="2:14" ht="20.100000000000001" customHeight="1" x14ac:dyDescent="0.2">
      <c r="B23" s="1337" t="s">
        <v>2133</v>
      </c>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t="s">
        <v>2134</v>
      </c>
      <c r="C25" s="1341">
        <v>10.55</v>
      </c>
      <c r="D25" s="1342" t="s">
        <v>2137</v>
      </c>
      <c r="E25" s="1343"/>
      <c r="F25" s="1343">
        <v>13591</v>
      </c>
      <c r="G25" s="1343"/>
      <c r="H25" s="1343"/>
      <c r="I25" s="1343">
        <v>13591</v>
      </c>
      <c r="J25" s="1343"/>
      <c r="K25" s="1343"/>
      <c r="L25" s="1340">
        <f t="shared" si="0"/>
        <v>13591</v>
      </c>
      <c r="M25" s="1343" t="s">
        <v>2128</v>
      </c>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t="s">
        <v>2135</v>
      </c>
      <c r="C27" s="1341"/>
      <c r="D27" s="1342"/>
      <c r="E27" s="1343"/>
      <c r="F27" s="1343"/>
      <c r="G27" s="1343"/>
      <c r="H27" s="1343"/>
      <c r="I27" s="1343"/>
      <c r="J27" s="1343"/>
      <c r="K27" s="1343"/>
      <c r="L27" s="1340"/>
      <c r="M27" s="1343"/>
    </row>
    <row r="28" spans="2:14" ht="20.100000000000001" customHeight="1" x14ac:dyDescent="0.2">
      <c r="B28" s="1337" t="s">
        <v>2136</v>
      </c>
      <c r="C28" s="1341"/>
      <c r="D28" s="1342"/>
      <c r="E28" s="1343"/>
      <c r="F28" s="1343">
        <f>SUM(F25:F27)</f>
        <v>13591</v>
      </c>
      <c r="G28" s="1343"/>
      <c r="H28" s="1343"/>
      <c r="I28" s="1343">
        <f>SUM(I25:I27)</f>
        <v>13591</v>
      </c>
      <c r="J28" s="1343"/>
      <c r="K28" s="1343"/>
      <c r="L28" s="1340">
        <f t="shared" si="0"/>
        <v>13591</v>
      </c>
      <c r="M28" s="1343"/>
      <c r="N28" s="1344"/>
    </row>
    <row r="29" spans="2:14" ht="12.75" customHeight="1" x14ac:dyDescent="0.2">
      <c r="B29" s="1345"/>
      <c r="C29" s="1346"/>
      <c r="D29" s="1347"/>
      <c r="E29" s="1348"/>
      <c r="F29" s="1348"/>
      <c r="G29" s="1348"/>
      <c r="H29" s="1348"/>
      <c r="I29" s="1348"/>
      <c r="J29" s="1348"/>
      <c r="K29" s="1348"/>
      <c r="L29" s="1348"/>
      <c r="M29" s="1348"/>
      <c r="N29" s="1344"/>
    </row>
    <row r="30" spans="2:14" x14ac:dyDescent="0.2">
      <c r="B30" s="1257"/>
      <c r="C30" s="1349"/>
      <c r="D30" s="1350"/>
      <c r="E30" s="1257"/>
      <c r="F30" s="1257"/>
      <c r="G30" s="1250"/>
      <c r="H30" s="1250"/>
      <c r="I30" s="1250"/>
      <c r="J30" s="1250"/>
      <c r="K30" s="1250"/>
      <c r="L30" s="1250"/>
      <c r="M30" s="1257"/>
      <c r="N30" s="1344"/>
    </row>
    <row r="31" spans="2:14" ht="13.5" customHeight="1" x14ac:dyDescent="0.2">
      <c r="B31" s="1282" t="s">
        <v>1836</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1946</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1837</v>
      </c>
      <c r="C38" s="1365"/>
      <c r="D38" s="1365"/>
      <c r="E38" s="1365"/>
      <c r="F38" s="1365"/>
      <c r="G38" s="1365"/>
      <c r="H38" s="1365"/>
      <c r="I38" s="1366"/>
      <c r="J38" s="1366"/>
      <c r="K38" s="1366"/>
      <c r="L38" s="1366"/>
      <c r="M38" s="1366"/>
    </row>
    <row r="39" spans="2:13" ht="11.25" customHeight="1" x14ac:dyDescent="0.2">
      <c r="B39" s="1367" t="s">
        <v>1665</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1838</v>
      </c>
      <c r="C41" s="1366"/>
      <c r="D41" s="1366"/>
      <c r="E41" s="1366"/>
      <c r="F41" s="1366"/>
      <c r="G41" s="1366"/>
      <c r="H41" s="1366"/>
      <c r="I41" s="1366"/>
      <c r="J41" s="1366"/>
      <c r="K41" s="1366"/>
      <c r="L41" s="1366"/>
      <c r="M41" s="1366"/>
    </row>
    <row r="42" spans="2:13" ht="11.25" customHeight="1" x14ac:dyDescent="0.2">
      <c r="B42" s="1300" t="s">
        <v>1666</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1839</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1840</v>
      </c>
      <c r="C46" s="1368"/>
      <c r="D46" s="1369"/>
      <c r="E46" s="1300"/>
      <c r="F46" s="1300"/>
      <c r="G46" s="1300"/>
      <c r="H46" s="1300"/>
      <c r="I46" s="1300"/>
      <c r="J46" s="1300"/>
      <c r="K46" s="1370"/>
      <c r="L46" s="1370"/>
      <c r="M46" s="1300"/>
    </row>
    <row r="47" spans="2:13" ht="11.25" customHeight="1" x14ac:dyDescent="0.2">
      <c r="B47" s="1300" t="s">
        <v>1667</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I25" activeCellId="1" sqref="G25 I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Benton CCSD 47</v>
      </c>
      <c r="C1" s="2469"/>
      <c r="D1" s="2469"/>
      <c r="E1" s="2469"/>
      <c r="F1" s="2469"/>
      <c r="G1" s="2469"/>
      <c r="H1" s="2469"/>
      <c r="I1" s="2469"/>
      <c r="J1" s="2469"/>
      <c r="K1" s="2469"/>
      <c r="L1" s="2469"/>
      <c r="M1" s="2469"/>
    </row>
    <row r="2" spans="2:14" ht="15" x14ac:dyDescent="0.2">
      <c r="B2" s="2458">
        <f>'Single Audit Cover'!E7</f>
        <v>21028047004</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1833</v>
      </c>
      <c r="H6" s="1306"/>
      <c r="I6" s="1306"/>
      <c r="J6" s="1306"/>
      <c r="K6" s="1309"/>
      <c r="L6" s="1310"/>
      <c r="M6" s="1311"/>
    </row>
    <row r="7" spans="2:14" x14ac:dyDescent="0.2">
      <c r="B7" s="1312" t="s">
        <v>1661</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1662</v>
      </c>
      <c r="I8" s="1319" t="s">
        <v>1324</v>
      </c>
      <c r="J8" s="1318" t="s">
        <v>1945</v>
      </c>
      <c r="K8" s="1319" t="s">
        <v>1323</v>
      </c>
      <c r="L8" s="1320" t="s">
        <v>1319</v>
      </c>
      <c r="M8" s="1321" t="s">
        <v>30</v>
      </c>
    </row>
    <row r="9" spans="2:14" ht="14.25" x14ac:dyDescent="0.2">
      <c r="B9" s="1325" t="s">
        <v>1321</v>
      </c>
      <c r="C9" s="1313" t="s">
        <v>1834</v>
      </c>
      <c r="D9" s="1314" t="s">
        <v>1835</v>
      </c>
      <c r="E9" s="1322" t="s">
        <v>1662</v>
      </c>
      <c r="F9" s="1323" t="s">
        <v>1945</v>
      </c>
      <c r="G9" s="1324" t="s">
        <v>1662</v>
      </c>
      <c r="H9" s="1317" t="s">
        <v>1663</v>
      </c>
      <c r="I9" s="1319" t="s">
        <v>1945</v>
      </c>
      <c r="J9" s="1318" t="s">
        <v>1663</v>
      </c>
      <c r="K9" s="1319" t="s">
        <v>1320</v>
      </c>
      <c r="L9" s="1326" t="s">
        <v>1664</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2138</v>
      </c>
      <c r="C11" s="1338"/>
      <c r="D11" s="1339"/>
      <c r="E11" s="1340"/>
      <c r="F11" s="1340"/>
      <c r="G11" s="1340"/>
      <c r="H11" s="1340"/>
      <c r="I11" s="1340"/>
      <c r="J11" s="1340"/>
      <c r="K11" s="1340"/>
      <c r="L11" s="1340">
        <f>+G11+I11+K11</f>
        <v>0</v>
      </c>
      <c r="M11" s="1340"/>
    </row>
    <row r="12" spans="2:14" ht="20.100000000000001" customHeight="1" x14ac:dyDescent="0.2">
      <c r="B12" s="1337" t="s">
        <v>2108</v>
      </c>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t="s">
        <v>2139</v>
      </c>
      <c r="C14" s="1341">
        <v>10.555</v>
      </c>
      <c r="D14" s="1342" t="s">
        <v>2144</v>
      </c>
      <c r="E14" s="1343">
        <v>349972</v>
      </c>
      <c r="F14" s="1343">
        <v>68646</v>
      </c>
      <c r="G14" s="1343">
        <v>349972</v>
      </c>
      <c r="H14" s="1343"/>
      <c r="I14" s="1343">
        <v>68646</v>
      </c>
      <c r="J14" s="1343"/>
      <c r="K14" s="1343"/>
      <c r="L14" s="1340">
        <f t="shared" si="0"/>
        <v>418618</v>
      </c>
      <c r="M14" s="1343">
        <v>418618</v>
      </c>
    </row>
    <row r="15" spans="2:14" ht="20.100000000000001" customHeight="1" x14ac:dyDescent="0.2">
      <c r="B15" s="1337" t="s">
        <v>2139</v>
      </c>
      <c r="C15" s="1341">
        <v>10.555</v>
      </c>
      <c r="D15" s="1342" t="s">
        <v>2145</v>
      </c>
      <c r="E15" s="1343"/>
      <c r="F15" s="1343">
        <v>344309</v>
      </c>
      <c r="G15" s="1343"/>
      <c r="H15" s="1343"/>
      <c r="I15" s="1343">
        <v>344309</v>
      </c>
      <c r="J15" s="1343"/>
      <c r="K15" s="1343"/>
      <c r="L15" s="1340">
        <f t="shared" si="0"/>
        <v>344309</v>
      </c>
      <c r="M15" s="1343">
        <v>344309</v>
      </c>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t="s">
        <v>2140</v>
      </c>
      <c r="C17" s="1341">
        <v>10.553000000000001</v>
      </c>
      <c r="D17" s="1342" t="s">
        <v>2146</v>
      </c>
      <c r="E17" s="1343">
        <v>122584</v>
      </c>
      <c r="F17" s="1343">
        <v>27329</v>
      </c>
      <c r="G17" s="1343">
        <v>122584</v>
      </c>
      <c r="H17" s="1343"/>
      <c r="I17" s="1343">
        <v>27329</v>
      </c>
      <c r="J17" s="1343"/>
      <c r="K17" s="1343"/>
      <c r="L17" s="1340">
        <f t="shared" si="0"/>
        <v>149913</v>
      </c>
      <c r="M17" s="1343">
        <v>149913</v>
      </c>
    </row>
    <row r="18" spans="2:14" ht="20.100000000000001" customHeight="1" x14ac:dyDescent="0.2">
      <c r="B18" s="1337" t="s">
        <v>2140</v>
      </c>
      <c r="C18" s="1341">
        <v>10.553000000000001</v>
      </c>
      <c r="D18" s="1342" t="s">
        <v>2147</v>
      </c>
      <c r="E18" s="1343"/>
      <c r="F18" s="1343">
        <v>126924</v>
      </c>
      <c r="G18" s="1343"/>
      <c r="H18" s="1343"/>
      <c r="I18" s="1343">
        <v>126924</v>
      </c>
      <c r="J18" s="1343"/>
      <c r="K18" s="1343"/>
      <c r="L18" s="1340">
        <f t="shared" si="0"/>
        <v>126924</v>
      </c>
      <c r="M18" s="1343">
        <v>126924</v>
      </c>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t="s">
        <v>2141</v>
      </c>
      <c r="C20" s="1341">
        <v>10.55</v>
      </c>
      <c r="D20" s="1342" t="s">
        <v>2137</v>
      </c>
      <c r="E20" s="1343"/>
      <c r="F20" s="1343">
        <v>42455</v>
      </c>
      <c r="G20" s="1343"/>
      <c r="H20" s="1343"/>
      <c r="I20" s="1343">
        <v>42455</v>
      </c>
      <c r="J20" s="1343"/>
      <c r="K20" s="1343"/>
      <c r="L20" s="1340">
        <f t="shared" si="0"/>
        <v>42455</v>
      </c>
      <c r="M20" s="1343" t="s">
        <v>2128</v>
      </c>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2142</v>
      </c>
      <c r="C22" s="1341"/>
      <c r="D22" s="1342"/>
      <c r="E22" s="1343"/>
      <c r="F22" s="1343"/>
      <c r="G22" s="1343"/>
      <c r="H22" s="1343"/>
      <c r="I22" s="1343"/>
      <c r="J22" s="1343"/>
      <c r="K22" s="1343"/>
      <c r="L22" s="1340">
        <f t="shared" si="0"/>
        <v>0</v>
      </c>
      <c r="M22" s="1343"/>
    </row>
    <row r="23" spans="2:14" ht="20.100000000000001" customHeight="1" x14ac:dyDescent="0.2">
      <c r="B23" s="1337" t="s">
        <v>2143</v>
      </c>
      <c r="C23" s="1341"/>
      <c r="D23" s="1342"/>
      <c r="E23" s="1343">
        <f>SUM(E14:E22)</f>
        <v>472556</v>
      </c>
      <c r="F23" s="1343">
        <f>SUM(F14:F22)</f>
        <v>609663</v>
      </c>
      <c r="G23" s="1343">
        <f>SUM(G14:G22)</f>
        <v>472556</v>
      </c>
      <c r="H23" s="1343"/>
      <c r="I23" s="1343">
        <f>SUM(I14:I22)</f>
        <v>609663</v>
      </c>
      <c r="J23" s="1343"/>
      <c r="K23" s="1343"/>
      <c r="L23" s="1340">
        <f t="shared" si="0"/>
        <v>1082219</v>
      </c>
      <c r="M23" s="1343">
        <f>SUM(M14:M22)</f>
        <v>1039764</v>
      </c>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t="s">
        <v>2179</v>
      </c>
      <c r="C25" s="1341"/>
      <c r="D25" s="1342"/>
      <c r="E25" s="1343">
        <v>472556</v>
      </c>
      <c r="F25" s="1343">
        <v>623254</v>
      </c>
      <c r="G25" s="1343">
        <v>472556</v>
      </c>
      <c r="H25" s="1343"/>
      <c r="I25" s="1343">
        <v>623254</v>
      </c>
      <c r="J25" s="1343"/>
      <c r="K25" s="1343"/>
      <c r="L25" s="1340">
        <f t="shared" si="0"/>
        <v>1095810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I23" sqref="I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e">
        <f>'[1]SinJ
le Audit Cover'!A7</f>
        <v>#REF!</v>
      </c>
      <c r="C1" s="2469"/>
      <c r="D1" s="2469"/>
      <c r="E1" s="2469"/>
      <c r="F1" s="2469"/>
      <c r="G1" s="2469"/>
      <c r="H1" s="2469"/>
      <c r="I1" s="2469"/>
      <c r="J1" s="2469"/>
      <c r="K1" s="2469"/>
      <c r="L1" s="2469"/>
      <c r="M1" s="2469"/>
    </row>
    <row r="2" spans="2:14" ht="15" x14ac:dyDescent="0.2">
      <c r="B2" s="2458">
        <f>'Single Audit Cover'!E7</f>
        <v>21028047004</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1833</v>
      </c>
      <c r="H6" s="1306"/>
      <c r="I6" s="1306"/>
      <c r="J6" s="1306"/>
      <c r="K6" s="1309"/>
      <c r="L6" s="1310"/>
      <c r="M6" s="1311"/>
    </row>
    <row r="7" spans="2:14" x14ac:dyDescent="0.2">
      <c r="B7" s="1312" t="s">
        <v>1661</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1662</v>
      </c>
      <c r="I8" s="1319" t="s">
        <v>1324</v>
      </c>
      <c r="J8" s="1318" t="s">
        <v>1945</v>
      </c>
      <c r="K8" s="1319" t="s">
        <v>1323</v>
      </c>
      <c r="L8" s="1320" t="s">
        <v>1319</v>
      </c>
      <c r="M8" s="1321" t="s">
        <v>30</v>
      </c>
    </row>
    <row r="9" spans="2:14" ht="14.25" x14ac:dyDescent="0.2">
      <c r="B9" s="1325" t="s">
        <v>1321</v>
      </c>
      <c r="C9" s="1313" t="s">
        <v>1834</v>
      </c>
      <c r="D9" s="1314" t="s">
        <v>1835</v>
      </c>
      <c r="E9" s="1322" t="s">
        <v>1662</v>
      </c>
      <c r="F9" s="1323" t="s">
        <v>1945</v>
      </c>
      <c r="G9" s="1324" t="s">
        <v>1662</v>
      </c>
      <c r="H9" s="1317" t="s">
        <v>1663</v>
      </c>
      <c r="I9" s="1319" t="s">
        <v>1945</v>
      </c>
      <c r="J9" s="1318" t="s">
        <v>1663</v>
      </c>
      <c r="K9" s="1319" t="s">
        <v>1320</v>
      </c>
      <c r="L9" s="1326" t="s">
        <v>1664</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2148</v>
      </c>
      <c r="C11" s="1338"/>
      <c r="D11" s="1339"/>
      <c r="E11" s="1340"/>
      <c r="F11" s="1340"/>
      <c r="G11" s="1340"/>
      <c r="H11" s="1340"/>
      <c r="I11" s="1340"/>
      <c r="J11" s="1340"/>
      <c r="K11" s="1340"/>
      <c r="L11" s="1340"/>
      <c r="M11" s="1340"/>
    </row>
    <row r="12" spans="2:14" ht="20.100000000000001" customHeight="1" x14ac:dyDescent="0.2">
      <c r="B12" s="1337" t="s">
        <v>2149</v>
      </c>
      <c r="C12" s="1341"/>
      <c r="D12" s="1342"/>
      <c r="E12" s="1343"/>
      <c r="F12" s="1343"/>
      <c r="G12" s="1343"/>
      <c r="H12" s="1343"/>
      <c r="I12" s="1343"/>
      <c r="J12" s="1343"/>
      <c r="K12" s="1343"/>
      <c r="L12" s="1340"/>
      <c r="M12" s="1343"/>
    </row>
    <row r="13" spans="2:14" ht="20.100000000000001" customHeight="1" x14ac:dyDescent="0.2">
      <c r="B13" s="1337" t="s">
        <v>2150</v>
      </c>
      <c r="C13" s="1341"/>
      <c r="D13" s="1342"/>
      <c r="E13" s="1343"/>
      <c r="F13" s="1343"/>
      <c r="G13" s="1343"/>
      <c r="H13" s="1343"/>
      <c r="I13" s="1343"/>
      <c r="J13" s="1343"/>
      <c r="K13" s="1343"/>
      <c r="L13" s="1340"/>
      <c r="M13" s="1343"/>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2151</v>
      </c>
      <c r="C15" s="1341" t="s">
        <v>2152</v>
      </c>
      <c r="D15" s="1342" t="s">
        <v>2156</v>
      </c>
      <c r="E15" s="1343">
        <v>76446</v>
      </c>
      <c r="F15" s="1343">
        <v>8845</v>
      </c>
      <c r="G15" s="1343">
        <v>85291</v>
      </c>
      <c r="H15" s="1343"/>
      <c r="I15" s="1343"/>
      <c r="J15" s="1343"/>
      <c r="K15" s="1343"/>
      <c r="L15" s="1340">
        <f t="shared" ref="L15:L23" si="0">+G15+I15+K15</f>
        <v>85291</v>
      </c>
      <c r="M15" s="1343">
        <v>85291</v>
      </c>
    </row>
    <row r="16" spans="2:14" ht="20.100000000000001" customHeight="1" x14ac:dyDescent="0.2">
      <c r="B16" s="1337" t="s">
        <v>2151</v>
      </c>
      <c r="C16" s="1341" t="s">
        <v>2152</v>
      </c>
      <c r="D16" s="1342" t="s">
        <v>2157</v>
      </c>
      <c r="E16" s="1343"/>
      <c r="F16" s="1343">
        <v>76671</v>
      </c>
      <c r="G16" s="1343"/>
      <c r="H16" s="1343"/>
      <c r="I16" s="1343">
        <v>80537</v>
      </c>
      <c r="J16" s="1343"/>
      <c r="K16" s="1343"/>
      <c r="L16" s="1340">
        <f t="shared" si="0"/>
        <v>80537</v>
      </c>
      <c r="M16" s="1343">
        <v>80537</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2110</v>
      </c>
      <c r="C18" s="1341"/>
      <c r="D18" s="1342"/>
      <c r="E18" s="1343"/>
      <c r="F18" s="1343"/>
      <c r="G18" s="1343"/>
      <c r="H18" s="1343"/>
      <c r="I18" s="1343"/>
      <c r="J18" s="1343"/>
      <c r="K18" s="1343"/>
      <c r="L18" s="1340"/>
      <c r="M18" s="1343"/>
    </row>
    <row r="19" spans="2:14" ht="20.100000000000001" customHeight="1" x14ac:dyDescent="0.2">
      <c r="B19" s="1337" t="s">
        <v>2143</v>
      </c>
      <c r="C19" s="1341"/>
      <c r="D19" s="1342"/>
      <c r="E19" s="1343"/>
      <c r="F19" s="1343"/>
      <c r="G19" s="1343"/>
      <c r="H19" s="1343"/>
      <c r="I19" s="1343"/>
      <c r="J19" s="1343"/>
      <c r="K19" s="1343"/>
      <c r="L19" s="1340"/>
      <c r="M19" s="1343"/>
    </row>
    <row r="20" spans="2:14" ht="20.100000000000001" customHeight="1" x14ac:dyDescent="0.2">
      <c r="B20" s="1337" t="s">
        <v>2153</v>
      </c>
      <c r="C20" s="1341"/>
      <c r="D20" s="1342"/>
      <c r="E20" s="1343"/>
      <c r="F20" s="1343"/>
      <c r="G20" s="1343"/>
      <c r="H20" s="1343"/>
      <c r="I20" s="1343"/>
      <c r="J20" s="1343"/>
      <c r="K20" s="1343"/>
      <c r="L20" s="1340"/>
      <c r="M20" s="1343"/>
    </row>
    <row r="21" spans="2:14" ht="20.100000000000001" customHeight="1" x14ac:dyDescent="0.2">
      <c r="B21" s="1337" t="s">
        <v>2154</v>
      </c>
      <c r="C21" s="1341"/>
      <c r="D21" s="1342"/>
      <c r="E21" s="1343">
        <f>SUM(E15:E20)</f>
        <v>76446</v>
      </c>
      <c r="F21" s="1343">
        <f>SUM(F15:F20)</f>
        <v>85516</v>
      </c>
      <c r="G21" s="1343">
        <f>SUM(G15:G20)</f>
        <v>85291</v>
      </c>
      <c r="H21" s="1343"/>
      <c r="I21" s="1343">
        <f>SUM(I15:I20)</f>
        <v>80537</v>
      </c>
      <c r="J21" s="1343"/>
      <c r="K21" s="1343"/>
      <c r="L21" s="1340">
        <f t="shared" si="0"/>
        <v>165828</v>
      </c>
      <c r="M21" s="1343">
        <v>165828</v>
      </c>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t="s">
        <v>2155</v>
      </c>
      <c r="C23" s="1341"/>
      <c r="D23" s="1342"/>
      <c r="E23" s="1343">
        <f>' SEFA'!$E$25+' SEFA (2)'!$E$20+' SEFA (3)'!$E$23+E21</f>
        <v>957898</v>
      </c>
      <c r="F23" s="1343">
        <f>' SEFA'!$F$25+' SEFA (2)'!$F$20+' SEFA (2)'!$F$28+' SEFA (3)'!$F$23+F21</f>
        <v>1234250</v>
      </c>
      <c r="G23" s="1343">
        <f>' SEFA'!$G$25+' SEFA (2)'!$G$20+' SEFA (2)'!$G$28+' SEFA (3)'!$G$23+G21</f>
        <v>1027853</v>
      </c>
      <c r="H23" s="1343"/>
      <c r="I23" s="1343">
        <f>' SEFA'!$I$25+' SEFA (2)'!$I$20+' SEFA (2)'!$I$28+' SEFA (3)'!$I$23+I21</f>
        <v>1213552</v>
      </c>
      <c r="J23" s="1343"/>
      <c r="K23" s="1343">
        <f>' SEFA'!$K$25+' SEFA (2)'!$K$20+' SEFA (2)'!$K$28+' SEFA (3)'!$K$23+K21</f>
        <v>45393</v>
      </c>
      <c r="L23" s="1340">
        <f t="shared" si="0"/>
        <v>2286798</v>
      </c>
      <c r="M23" s="1343">
        <f>' SEFA'!$M$25+' SEFA (2)'!$M$20+' SEFA (2)'!$M$28+' SEFA (3)'!$M$23+M21</f>
        <v>2298548</v>
      </c>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 zoomScale="110" zoomScaleNormal="110" workbookViewId="0">
      <selection activeCell="G28" sqref="G28"/>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Benton CCSD 47</v>
      </c>
      <c r="C1" s="2477"/>
      <c r="D1" s="2477"/>
      <c r="E1" s="2477"/>
      <c r="F1" s="2477"/>
      <c r="G1" s="2477"/>
      <c r="H1" s="2477"/>
      <c r="I1" s="2477"/>
      <c r="J1" s="1422"/>
    </row>
    <row r="2" spans="2:10" s="317" customFormat="1" ht="12.75" customHeight="1" x14ac:dyDescent="0.2">
      <c r="B2" s="2478">
        <f>'Single Audit Cover'!E7</f>
        <v>21028047004</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t="s">
        <v>2161</v>
      </c>
      <c r="D11" s="2482"/>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2084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1517</v>
      </c>
      <c r="C18" s="1437"/>
      <c r="D18" s="1398"/>
      <c r="E18" s="1438" t="s">
        <v>2084</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940</v>
      </c>
      <c r="G20" s="1438" t="s">
        <v>2084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1517</v>
      </c>
      <c r="C27" s="1437"/>
      <c r="D27" s="1398"/>
      <c r="E27" s="1438"/>
      <c r="F27" s="1300" t="s">
        <v>940</v>
      </c>
      <c r="G27" s="1438" t="s">
        <v>2084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t="s">
        <v>2161</v>
      </c>
      <c r="E29" s="2483"/>
      <c r="F29" s="2483"/>
      <c r="G29" s="2483"/>
      <c r="H29" s="2483"/>
      <c r="I29" s="2483"/>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1632</v>
      </c>
      <c r="C33" s="1282"/>
      <c r="E33" s="1438"/>
      <c r="F33" s="1300" t="s">
        <v>940</v>
      </c>
      <c r="G33" s="1438" t="s">
        <v>2084</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84" t="s">
        <v>1850</v>
      </c>
      <c r="D37" s="2485"/>
      <c r="E37" s="2485"/>
      <c r="F37" s="2486"/>
      <c r="G37" s="2484" t="s">
        <v>1673</v>
      </c>
      <c r="H37" s="2485"/>
      <c r="I37" s="2486"/>
    </row>
    <row r="38" spans="2:9" ht="16.5" customHeight="1" x14ac:dyDescent="0.2">
      <c r="B38" s="1444" t="s">
        <v>2162</v>
      </c>
      <c r="C38" s="2472" t="s">
        <v>2163</v>
      </c>
      <c r="D38" s="2473"/>
      <c r="E38" s="2473"/>
      <c r="F38" s="2474"/>
      <c r="G38" s="2487">
        <v>623254</v>
      </c>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90" t="s">
        <v>1674</v>
      </c>
      <c r="D43" s="2491"/>
      <c r="E43" s="2491"/>
      <c r="F43" s="2492"/>
      <c r="G43" s="2493">
        <f>SUM(G38:I42)</f>
        <v>623254</v>
      </c>
      <c r="H43" s="2493"/>
      <c r="I43" s="2493"/>
    </row>
    <row r="44" spans="2:9" ht="12.75" customHeight="1" x14ac:dyDescent="0.2"/>
    <row r="45" spans="2:9" ht="12.75" customHeight="1" x14ac:dyDescent="0.2">
      <c r="B45" s="1435" t="s">
        <v>1947</v>
      </c>
      <c r="D45" s="2494">
        <v>1213552</v>
      </c>
      <c r="E45" s="2495"/>
    </row>
    <row r="46" spans="2:9" ht="5.25" customHeight="1" x14ac:dyDescent="0.2">
      <c r="B46" s="1445"/>
      <c r="D46" s="1446"/>
      <c r="E46" s="1447"/>
    </row>
    <row r="47" spans="2:9" ht="12.75" customHeight="1" x14ac:dyDescent="0.2">
      <c r="B47" s="1300" t="s">
        <v>1675</v>
      </c>
      <c r="C47" s="1300"/>
      <c r="D47" s="1448">
        <f>+G43/D45</f>
        <v>0.51357832214853583</v>
      </c>
      <c r="E47" s="1449"/>
      <c r="F47" s="1450"/>
      <c r="I47" s="1451"/>
    </row>
    <row r="48" spans="2:9" ht="9.9499999999999993" customHeight="1" x14ac:dyDescent="0.2"/>
    <row r="49" spans="1:9" x14ac:dyDescent="0.2">
      <c r="B49" s="1368" t="s">
        <v>1335</v>
      </c>
      <c r="C49" s="1282"/>
      <c r="D49" s="1282"/>
      <c r="E49" s="2496">
        <v>750000</v>
      </c>
      <c r="F49" s="2496"/>
      <c r="G49" s="2496"/>
      <c r="H49" s="322"/>
    </row>
    <row r="51" spans="1:9" ht="13.5" customHeight="1" x14ac:dyDescent="0.2">
      <c r="B51" s="1368" t="s">
        <v>1334</v>
      </c>
      <c r="C51" s="1282"/>
      <c r="E51" s="1438"/>
      <c r="F51" s="1300" t="s">
        <v>940</v>
      </c>
      <c r="G51" s="1438" t="s">
        <v>2084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1" sqref="B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Benton CCSD 47</v>
      </c>
      <c r="C1" s="2476"/>
      <c r="D1" s="2476"/>
      <c r="E1" s="2476"/>
      <c r="F1" s="2476"/>
      <c r="G1" s="2476"/>
      <c r="H1" s="2476"/>
      <c r="I1" s="2476"/>
      <c r="J1" s="2476"/>
      <c r="K1" s="2476"/>
      <c r="L1" s="1374"/>
      <c r="M1" s="1374"/>
    </row>
    <row r="2" spans="1:13" ht="12" customHeight="1" x14ac:dyDescent="0.2">
      <c r="B2" s="2478">
        <f>'Single Audit Cover'!E7</f>
        <v>21028047004</v>
      </c>
      <c r="C2" s="2478"/>
      <c r="D2" s="2478"/>
      <c r="E2" s="2478"/>
      <c r="F2" s="2478"/>
      <c r="G2" s="2478"/>
      <c r="H2" s="2478"/>
      <c r="I2" s="2478"/>
      <c r="J2" s="2478"/>
      <c r="K2" s="2478"/>
      <c r="L2" s="1375"/>
      <c r="M2" s="1376"/>
    </row>
    <row r="3" spans="1:13" ht="10.35" customHeight="1" x14ac:dyDescent="0.2">
      <c r="B3" s="2500" t="s">
        <v>1347</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2172</v>
      </c>
      <c r="D10" s="1386">
        <v>1</v>
      </c>
      <c r="E10" s="322"/>
      <c r="F10" s="1387" t="s">
        <v>1362</v>
      </c>
      <c r="G10" s="1388"/>
      <c r="H10" s="1389" t="s">
        <v>1361</v>
      </c>
      <c r="I10" s="1388" t="s">
        <v>2084</v>
      </c>
      <c r="J10" s="1390" t="s">
        <v>1360</v>
      </c>
      <c r="K10" s="322"/>
      <c r="L10" s="1381"/>
    </row>
    <row r="11" spans="1:13" ht="13.5" customHeight="1" x14ac:dyDescent="0.2">
      <c r="B11" s="322"/>
      <c r="C11" s="322"/>
      <c r="D11" s="322"/>
      <c r="E11" s="322"/>
      <c r="F11" s="322"/>
      <c r="G11" s="1383"/>
      <c r="H11" s="322"/>
      <c r="I11" s="1391" t="s">
        <v>1359</v>
      </c>
      <c r="J11" s="322"/>
      <c r="K11" s="1392">
        <v>2009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t="s">
        <v>2173</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t="s">
        <v>2174</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3" t="s">
        <v>2167</v>
      </c>
      <c r="C20" s="2503"/>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2175</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2169</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t="s">
        <v>2170</v>
      </c>
      <c r="C29" s="2498"/>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9" t="s">
        <v>2171</v>
      </c>
      <c r="C32" s="2499"/>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1845</v>
      </c>
      <c r="C38" s="1420"/>
    </row>
    <row r="39" spans="1:13" ht="9.6" customHeight="1" x14ac:dyDescent="0.2">
      <c r="B39" s="1300" t="s">
        <v>1348</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 sqref="B2:K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Benton CCSD 47</v>
      </c>
      <c r="C1" s="2476"/>
      <c r="D1" s="2476"/>
      <c r="E1" s="2476"/>
      <c r="F1" s="2476"/>
      <c r="G1" s="2476"/>
      <c r="H1" s="2476"/>
      <c r="I1" s="2476"/>
      <c r="J1" s="2476"/>
      <c r="K1" s="2476"/>
      <c r="L1" s="1374"/>
      <c r="M1" s="1374"/>
    </row>
    <row r="2" spans="1:13" ht="12" customHeight="1" x14ac:dyDescent="0.2">
      <c r="B2" s="2478">
        <f>'Single Audit Cover'!E7</f>
        <v>21028047004</v>
      </c>
      <c r="C2" s="2478"/>
      <c r="D2" s="2478"/>
      <c r="E2" s="2478"/>
      <c r="F2" s="2478"/>
      <c r="G2" s="2478"/>
      <c r="H2" s="2478"/>
      <c r="I2" s="2478"/>
      <c r="J2" s="2478"/>
      <c r="K2" s="2478"/>
      <c r="L2" s="1375"/>
      <c r="M2" s="1376"/>
    </row>
    <row r="3" spans="1:13" ht="10.35" customHeight="1" x14ac:dyDescent="0.2">
      <c r="B3" s="2500" t="s">
        <v>1347</v>
      </c>
      <c r="C3" s="2500"/>
      <c r="D3" s="2500"/>
      <c r="E3" s="2500"/>
      <c r="F3" s="2500"/>
      <c r="G3" s="2500"/>
      <c r="H3" s="2500"/>
      <c r="I3" s="2500"/>
      <c r="J3" s="2500"/>
      <c r="K3" s="2500"/>
      <c r="L3" s="1960"/>
      <c r="M3" s="1960"/>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2164</v>
      </c>
      <c r="D10" s="1386">
        <v>1</v>
      </c>
      <c r="E10" s="322"/>
      <c r="F10" s="1387" t="s">
        <v>1362</v>
      </c>
      <c r="G10" s="1388"/>
      <c r="H10" s="1389" t="s">
        <v>1361</v>
      </c>
      <c r="I10" s="1388" t="s">
        <v>2084</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t="s">
        <v>2165</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t="s">
        <v>2166</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3" t="s">
        <v>2167</v>
      </c>
      <c r="C20" s="2503"/>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2168</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2169</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t="s">
        <v>2170</v>
      </c>
      <c r="C29" s="2498"/>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9" t="s">
        <v>2171</v>
      </c>
      <c r="C32" s="2499"/>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1845</v>
      </c>
      <c r="C38" s="1420"/>
    </row>
    <row r="39" spans="1:13" ht="9.6" customHeight="1" x14ac:dyDescent="0.2">
      <c r="B39" s="1300" t="s">
        <v>1348</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Benton CCSD 47</v>
      </c>
      <c r="C1" s="2504"/>
      <c r="D1" s="2504"/>
      <c r="E1" s="2504"/>
      <c r="F1" s="2504"/>
      <c r="G1" s="2504"/>
      <c r="H1" s="2504"/>
      <c r="I1" s="2504"/>
      <c r="J1" s="2504"/>
      <c r="K1" s="2504"/>
      <c r="L1" s="1465"/>
    </row>
    <row r="2" spans="1:12" ht="12.75" customHeight="1" x14ac:dyDescent="0.2">
      <c r="B2" s="2505">
        <f>'Single Audit Cover'!E7</f>
        <v>21028047004</v>
      </c>
      <c r="C2" s="2505"/>
      <c r="D2" s="2505"/>
      <c r="E2" s="2505"/>
      <c r="F2" s="2505"/>
      <c r="G2" s="2505"/>
      <c r="H2" s="2505"/>
      <c r="I2" s="2505"/>
      <c r="J2" s="2505"/>
      <c r="K2" s="2505"/>
      <c r="L2" s="1466"/>
    </row>
    <row r="3" spans="1:12" ht="12.75" customHeight="1" x14ac:dyDescent="0.2">
      <c r="B3" s="2500" t="s">
        <v>1347</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1948</v>
      </c>
      <c r="D8" s="1468" t="s">
        <v>2159</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8"/>
      <c r="E14" s="2508"/>
      <c r="F14" s="2508"/>
      <c r="H14" s="1475" t="s">
        <v>1370</v>
      </c>
      <c r="I14" s="2509"/>
      <c r="J14" s="2509"/>
      <c r="K14" s="250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9"/>
      <c r="E16" s="2509"/>
      <c r="F16" s="2509"/>
      <c r="G16" s="2509"/>
      <c r="H16" s="2509"/>
      <c r="I16" s="2509"/>
      <c r="J16" s="2509"/>
      <c r="K16" s="2509"/>
      <c r="L16" s="322"/>
    </row>
    <row r="17" spans="2:12" ht="13.5" customHeight="1" x14ac:dyDescent="0.2">
      <c r="B17" s="1387" t="s">
        <v>1368</v>
      </c>
      <c r="C17" s="1387"/>
      <c r="D17" s="2510"/>
      <c r="E17" s="2510"/>
      <c r="F17" s="2510"/>
      <c r="G17" s="2510"/>
      <c r="H17" s="2510"/>
      <c r="I17" s="2510"/>
      <c r="J17" s="2510"/>
      <c r="K17" s="251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7"/>
      <c r="C20" s="2507"/>
      <c r="D20" s="2507"/>
      <c r="E20" s="2507"/>
      <c r="F20" s="2507"/>
      <c r="G20" s="2507"/>
      <c r="H20" s="2507"/>
      <c r="I20" s="2507"/>
      <c r="J20" s="2507"/>
      <c r="K20" s="250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507"/>
      <c r="C23" s="2507"/>
      <c r="D23" s="2507"/>
      <c r="E23" s="2507"/>
      <c r="F23" s="2507"/>
      <c r="G23" s="2507"/>
      <c r="H23" s="2507"/>
      <c r="I23" s="2507"/>
      <c r="J23" s="2507"/>
      <c r="K23" s="250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507"/>
      <c r="C26" s="2507"/>
      <c r="D26" s="2507"/>
      <c r="E26" s="2507"/>
      <c r="F26" s="2507"/>
      <c r="G26" s="2507"/>
      <c r="H26" s="2507"/>
      <c r="I26" s="2507"/>
      <c r="J26" s="2507"/>
      <c r="K26" s="250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07"/>
      <c r="C29" s="2507"/>
      <c r="D29" s="2507"/>
      <c r="E29" s="2507"/>
      <c r="F29" s="2507"/>
      <c r="G29" s="2507"/>
      <c r="H29" s="2507"/>
      <c r="I29" s="2507"/>
      <c r="J29" s="2507"/>
      <c r="K29" s="250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7"/>
      <c r="C32" s="2507"/>
      <c r="D32" s="2507"/>
      <c r="E32" s="2507"/>
      <c r="F32" s="2507"/>
      <c r="G32" s="2507"/>
      <c r="H32" s="2507"/>
      <c r="I32" s="2507"/>
      <c r="J32" s="2507"/>
      <c r="K32" s="250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7"/>
      <c r="C35" s="2507"/>
      <c r="D35" s="2507"/>
      <c r="E35" s="2507"/>
      <c r="F35" s="2507"/>
      <c r="G35" s="2507"/>
      <c r="H35" s="2507"/>
      <c r="I35" s="2507"/>
      <c r="J35" s="2507"/>
      <c r="K35" s="250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7"/>
      <c r="C38" s="2507"/>
      <c r="D38" s="2507"/>
      <c r="E38" s="2507"/>
      <c r="F38" s="2507"/>
      <c r="G38" s="2507"/>
      <c r="H38" s="2507"/>
      <c r="I38" s="2507"/>
      <c r="J38" s="2507"/>
      <c r="K38" s="250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07"/>
      <c r="C41" s="2507"/>
      <c r="D41" s="2507"/>
      <c r="E41" s="2507"/>
      <c r="F41" s="2507"/>
      <c r="G41" s="2507"/>
      <c r="H41" s="2507"/>
      <c r="I41" s="2507"/>
      <c r="J41" s="2507"/>
      <c r="K41" s="2507"/>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3"/>
  <sheetViews>
    <sheetView showGridLines="0" zoomScale="110" zoomScaleNormal="110" workbookViewId="0">
      <selection activeCell="B5" sqref="B5"/>
    </sheetView>
  </sheetViews>
  <sheetFormatPr defaultColWidth="9.140625" defaultRowHeight="12.75" x14ac:dyDescent="0.2"/>
  <cols>
    <col min="1" max="1" width="1.5703125" style="317" customWidth="1"/>
    <col min="2" max="2" width="14.7109375" style="317" customWidth="1"/>
    <col min="3" max="3" width="47.855468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1:5" s="1282" customFormat="1" ht="12.75" customHeight="1" x14ac:dyDescent="0.2">
      <c r="B1" s="2476" t="str">
        <f>'Single Audit Cover'!A7</f>
        <v>Benton CCSD 47</v>
      </c>
      <c r="C1" s="2476"/>
      <c r="D1" s="2476"/>
      <c r="E1" s="1491"/>
    </row>
    <row r="2" spans="1:5" s="1282" customFormat="1" ht="12.75" customHeight="1" x14ac:dyDescent="0.2">
      <c r="B2" s="2478">
        <f>'Single Audit Cover'!E7</f>
        <v>21028047004</v>
      </c>
      <c r="C2" s="2478"/>
      <c r="D2" s="2478"/>
      <c r="E2" s="1492"/>
    </row>
    <row r="3" spans="1:5" ht="12.75" customHeight="1" x14ac:dyDescent="0.2">
      <c r="B3" s="2500" t="s">
        <v>1865</v>
      </c>
      <c r="C3" s="2500"/>
      <c r="D3" s="2500"/>
      <c r="E3" s="1274"/>
    </row>
    <row r="4" spans="1:5" s="1282" customFormat="1" ht="12.75" customHeight="1" x14ac:dyDescent="0.2">
      <c r="B4" s="2511" t="str">
        <f>'Single Audit Cover'!A4</f>
        <v>Year Ending June 30, 2018</v>
      </c>
      <c r="C4" s="2511"/>
      <c r="D4" s="2511"/>
      <c r="E4" s="1493"/>
    </row>
    <row r="5" spans="1:5" s="1282" customFormat="1" ht="40.15" customHeight="1" x14ac:dyDescent="0.2">
      <c r="B5" s="1494"/>
      <c r="C5" s="328"/>
      <c r="D5" s="328"/>
      <c r="E5" s="328"/>
    </row>
    <row r="6" spans="1:5" s="1282" customFormat="1" ht="13.5" customHeight="1" x14ac:dyDescent="0.2">
      <c r="B6" s="1495" t="s">
        <v>1382</v>
      </c>
      <c r="C6" s="1495" t="s">
        <v>1381</v>
      </c>
      <c r="D6" s="1495" t="s">
        <v>1866</v>
      </c>
    </row>
    <row r="7" spans="1:5" ht="13.5" customHeight="1" x14ac:dyDescent="0.2">
      <c r="A7" s="1961"/>
      <c r="B7" s="1962" t="s">
        <v>2176</v>
      </c>
      <c r="C7" s="324" t="s">
        <v>2168</v>
      </c>
      <c r="D7" s="324" t="s">
        <v>2178</v>
      </c>
      <c r="E7" s="324"/>
    </row>
    <row r="8" spans="1:5" ht="13.5" customHeight="1" x14ac:dyDescent="0.2">
      <c r="B8" s="1962" t="s">
        <v>2177</v>
      </c>
      <c r="C8" s="324" t="s">
        <v>2173</v>
      </c>
      <c r="D8" s="324" t="s">
        <v>2178</v>
      </c>
      <c r="E8" s="324"/>
    </row>
    <row r="9" spans="1:5" ht="13.5" customHeight="1" x14ac:dyDescent="0.2">
      <c r="B9" s="1497"/>
      <c r="C9" s="323"/>
      <c r="D9" s="323"/>
      <c r="E9" s="323"/>
    </row>
    <row r="10" spans="1:5" ht="13.5" customHeight="1" x14ac:dyDescent="0.2">
      <c r="B10" s="1496"/>
      <c r="C10" s="323"/>
      <c r="D10" s="323"/>
      <c r="E10" s="323"/>
    </row>
    <row r="11" spans="1:5" ht="13.5" customHeight="1" x14ac:dyDescent="0.2">
      <c r="B11" s="1496"/>
      <c r="C11" s="323"/>
      <c r="D11" s="323"/>
      <c r="E11" s="323"/>
    </row>
    <row r="12" spans="1:5" ht="13.5" customHeight="1" x14ac:dyDescent="0.2">
      <c r="B12" s="1496"/>
      <c r="C12" s="323"/>
      <c r="D12" s="323"/>
      <c r="E12" s="323"/>
    </row>
    <row r="13" spans="1:5" ht="13.5" customHeight="1" x14ac:dyDescent="0.2">
      <c r="B13" s="1496"/>
      <c r="C13" s="323"/>
      <c r="D13" s="323"/>
      <c r="E13" s="323"/>
    </row>
    <row r="14" spans="1:5" ht="13.5" customHeight="1" x14ac:dyDescent="0.2">
      <c r="B14" s="1496"/>
      <c r="C14" s="323"/>
      <c r="D14" s="323"/>
      <c r="E14" s="323"/>
    </row>
    <row r="15" spans="1:5" ht="13.5" customHeight="1" x14ac:dyDescent="0.2">
      <c r="B15" s="1496"/>
      <c r="C15" s="323"/>
      <c r="D15" s="323"/>
      <c r="E15" s="323"/>
    </row>
    <row r="16" spans="1: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1867</v>
      </c>
    </row>
    <row r="46" spans="2:5" ht="12.2" customHeight="1" x14ac:dyDescent="0.2">
      <c r="B46" s="1505" t="s">
        <v>1868</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scale="96"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106020610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1.4359E-2</v>
      </c>
      <c r="E10" s="356" t="s">
        <v>1062</v>
      </c>
      <c r="F10" s="355">
        <v>2.7290000000000001E-3</v>
      </c>
      <c r="G10" s="356" t="s">
        <v>1062</v>
      </c>
      <c r="H10" s="355">
        <v>1.3320000000000001E-3</v>
      </c>
      <c r="I10" s="356" t="s">
        <v>1063</v>
      </c>
      <c r="J10" s="1754">
        <f>ROUND(D10+F10+H10,5)</f>
        <v>1.8419999999999999E-2</v>
      </c>
      <c r="K10" s="222"/>
      <c r="L10" s="355">
        <v>4.55E-4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9918782</v>
      </c>
      <c r="E16" s="356"/>
      <c r="F16" s="1755">
        <f>SUM('Acct Summary 7-8'!C17,'Acct Summary 7-8'!D17,'Acct Summary 7-8'!F17)</f>
        <v>8949349</v>
      </c>
      <c r="G16" s="356"/>
      <c r="H16" s="1755">
        <f>SUM(D16-F16)</f>
        <v>969433</v>
      </c>
      <c r="I16" s="222"/>
      <c r="J16" s="1755">
        <f>SUM('Acct Summary 7-8'!C81,'Acct Summary 7-8'!D81,'Acct Summary 7-8'!F81,'Acct Summary 7-8'!I81)</f>
        <v>3137262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2072</v>
      </c>
      <c r="C31" s="367" t="s">
        <v>607</v>
      </c>
      <c r="D31" s="237" t="s">
        <v>1132</v>
      </c>
      <c r="E31" s="222"/>
      <c r="F31" s="222"/>
      <c r="G31" s="363"/>
      <c r="H31" s="1757">
        <f>IF(B31="X",(J7*0.069),IF(B32="X",(J7*0.138),"Enter x in a.or b."))</f>
        <v>7315422.0900000008</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4348876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37" sqref="O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1634</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Benton CCSD 47</v>
      </c>
      <c r="E7" s="391"/>
      <c r="G7" s="252"/>
      <c r="H7" s="387"/>
      <c r="I7" s="387"/>
      <c r="J7" s="387"/>
      <c r="K7" s="387"/>
      <c r="L7" s="329"/>
      <c r="M7" s="329"/>
      <c r="N7" s="329"/>
      <c r="O7" s="329"/>
      <c r="P7" s="329"/>
    </row>
    <row r="8" spans="1:18" ht="12.75" x14ac:dyDescent="0.2">
      <c r="A8" s="329"/>
      <c r="B8" s="329"/>
      <c r="C8" s="389" t="s">
        <v>1187</v>
      </c>
      <c r="D8" s="392">
        <f>COVER!A13</f>
        <v>21028047004</v>
      </c>
      <c r="E8" s="393"/>
      <c r="G8" s="329"/>
      <c r="H8" s="329"/>
      <c r="I8" s="329"/>
      <c r="J8" s="329"/>
      <c r="K8" s="329"/>
      <c r="L8" s="329"/>
      <c r="M8" s="329"/>
      <c r="N8" s="329"/>
      <c r="O8" s="329"/>
      <c r="P8" s="329"/>
    </row>
    <row r="9" spans="1:18" ht="12.75" x14ac:dyDescent="0.2">
      <c r="A9" s="329"/>
      <c r="B9" s="329"/>
      <c r="C9" s="389" t="s">
        <v>737</v>
      </c>
      <c r="D9" s="394" t="str">
        <f>COVER!A15</f>
        <v>Franklin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3137262</v>
      </c>
      <c r="I12" s="404"/>
      <c r="J12" s="404"/>
      <c r="K12" s="405">
        <f>TRUNC((H12/H13*100000),5)/100000</f>
        <v>0.31629508540000001</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9918782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8949349</v>
      </c>
      <c r="I17" s="404"/>
      <c r="J17" s="416"/>
      <c r="K17" s="405">
        <f>TRUNC((H17/H18*100000),5)/100000</f>
        <v>0.90226289879999999</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9918782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3137262</v>
      </c>
      <c r="I24" s="422"/>
      <c r="J24" s="422"/>
      <c r="K24" s="423">
        <f>TRUNC(((H24/H25*100000)/100000),2)</f>
        <v>126.2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24859.302780000002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1659964.69077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4348876</v>
      </c>
      <c r="I32" s="420"/>
      <c r="J32" s="420"/>
      <c r="K32" s="423">
        <f>TRUNC(100-((((H32/H33*100))*100)/100),2)</f>
        <v>40.549999999999997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7315422.0900000008</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81"/>
      <c r="D3" s="1582"/>
      <c r="E3" s="1582"/>
      <c r="F3" s="1582"/>
      <c r="G3" s="1582"/>
      <c r="H3" s="1582"/>
      <c r="I3" s="1582"/>
      <c r="J3" s="1582"/>
      <c r="K3" s="1582"/>
      <c r="L3" s="1582"/>
      <c r="M3" s="1583"/>
      <c r="N3" s="1584"/>
    </row>
    <row r="4" spans="1:14" ht="13.5" customHeight="1" x14ac:dyDescent="0.2">
      <c r="A4" s="463" t="s">
        <v>1749</v>
      </c>
      <c r="B4" s="464"/>
      <c r="C4" s="465">
        <f>1250+1000+1000+2046027</f>
        <v>2049277</v>
      </c>
      <c r="D4" s="466">
        <v>168004</v>
      </c>
      <c r="E4" s="466">
        <v>44060</v>
      </c>
      <c r="F4" s="466">
        <v>185783</v>
      </c>
      <c r="G4" s="466">
        <v>44368</v>
      </c>
      <c r="H4" s="466">
        <v>219342</v>
      </c>
      <c r="I4" s="466">
        <v>734198</v>
      </c>
      <c r="J4" s="467">
        <v>65898</v>
      </c>
      <c r="K4" s="466">
        <v>339164</v>
      </c>
      <c r="L4" s="466">
        <v>48564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2049277</v>
      </c>
      <c r="D13" s="1759">
        <f t="shared" ref="D13:L13" si="0">SUM(D4:D12)</f>
        <v>168004</v>
      </c>
      <c r="E13" s="1759">
        <f t="shared" si="0"/>
        <v>44060</v>
      </c>
      <c r="F13" s="1759">
        <f t="shared" si="0"/>
        <v>185783</v>
      </c>
      <c r="G13" s="1759">
        <f t="shared" si="0"/>
        <v>44368</v>
      </c>
      <c r="H13" s="1759">
        <f t="shared" si="0"/>
        <v>219342</v>
      </c>
      <c r="I13" s="1759">
        <f t="shared" si="0"/>
        <v>734198</v>
      </c>
      <c r="J13" s="1759">
        <f t="shared" si="0"/>
        <v>65898</v>
      </c>
      <c r="K13" s="1759">
        <f t="shared" si="0"/>
        <v>339164</v>
      </c>
      <c r="L13" s="1759">
        <f t="shared" si="0"/>
        <v>48564</v>
      </c>
      <c r="M13" s="468"/>
      <c r="N13" s="469"/>
    </row>
    <row r="14" spans="1:14" ht="18" customHeight="1" thickTop="1" x14ac:dyDescent="0.2">
      <c r="A14" s="2133" t="s">
        <v>149</v>
      </c>
      <c r="B14" s="213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137257</v>
      </c>
      <c r="N16" s="484"/>
    </row>
    <row r="17" spans="1:14" s="485" customFormat="1" ht="12.75" customHeight="1" x14ac:dyDescent="0.2">
      <c r="A17" s="482" t="s">
        <v>1470</v>
      </c>
      <c r="B17" s="483">
        <v>230</v>
      </c>
      <c r="C17" s="477"/>
      <c r="D17" s="477"/>
      <c r="E17" s="477"/>
      <c r="F17" s="477"/>
      <c r="G17" s="477"/>
      <c r="H17" s="477"/>
      <c r="I17" s="477"/>
      <c r="J17" s="477"/>
      <c r="K17" s="477"/>
      <c r="L17" s="477"/>
      <c r="M17" s="467">
        <v>8017410</v>
      </c>
      <c r="N17" s="484"/>
    </row>
    <row r="18" spans="1:14" s="485" customFormat="1" ht="12.75" customHeight="1" x14ac:dyDescent="0.2">
      <c r="A18" s="482" t="s">
        <v>1471</v>
      </c>
      <c r="B18" s="483">
        <v>240</v>
      </c>
      <c r="C18" s="477"/>
      <c r="D18" s="477"/>
      <c r="E18" s="477"/>
      <c r="F18" s="477"/>
      <c r="G18" s="477"/>
      <c r="H18" s="477"/>
      <c r="I18" s="477"/>
      <c r="J18" s="477"/>
      <c r="K18" s="477"/>
      <c r="L18" s="477"/>
      <c r="M18" s="467">
        <v>1094071</v>
      </c>
      <c r="N18" s="484"/>
    </row>
    <row r="19" spans="1:14" s="485" customFormat="1" ht="12.75" customHeight="1" x14ac:dyDescent="0.2">
      <c r="A19" s="482" t="s">
        <v>1472</v>
      </c>
      <c r="B19" s="483">
        <v>250</v>
      </c>
      <c r="C19" s="477"/>
      <c r="D19" s="477"/>
      <c r="E19" s="477"/>
      <c r="F19" s="477"/>
      <c r="G19" s="477"/>
      <c r="H19" s="477"/>
      <c r="I19" s="477"/>
      <c r="J19" s="477"/>
      <c r="K19" s="477"/>
      <c r="L19" s="477"/>
      <c r="M19" s="467">
        <v>136568</v>
      </c>
      <c r="N19" s="484"/>
    </row>
    <row r="20" spans="1:14" s="485" customFormat="1" ht="12.75" customHeight="1" x14ac:dyDescent="0.2">
      <c r="A20" s="482" t="s">
        <v>1473</v>
      </c>
      <c r="B20" s="483">
        <v>260</v>
      </c>
      <c r="C20" s="477"/>
      <c r="D20" s="477"/>
      <c r="E20" s="477"/>
      <c r="F20" s="477"/>
      <c r="G20" s="477"/>
      <c r="H20" s="477"/>
      <c r="I20" s="477"/>
      <c r="J20" s="477"/>
      <c r="K20" s="477"/>
      <c r="L20" s="477"/>
      <c r="M20" s="467">
        <v>49730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44060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4304816</v>
      </c>
    </row>
    <row r="23" spans="1:14" ht="13.5" customHeight="1" thickBot="1" x14ac:dyDescent="0.25">
      <c r="A23" s="1758" t="s">
        <v>664</v>
      </c>
      <c r="B23" s="1763"/>
      <c r="C23" s="468"/>
      <c r="D23" s="468"/>
      <c r="E23" s="468"/>
      <c r="F23" s="468"/>
      <c r="G23" s="468"/>
      <c r="H23" s="468"/>
      <c r="I23" s="468"/>
      <c r="J23" s="468"/>
      <c r="K23" s="468"/>
      <c r="L23" s="468"/>
      <c r="M23" s="1710">
        <f>SUM(M15:M22)</f>
        <v>9435036</v>
      </c>
      <c r="N23" s="1710">
        <f>SUM(N21:N22)</f>
        <v>4348876</v>
      </c>
    </row>
    <row r="24" spans="1:14" ht="18" customHeight="1" thickTop="1" x14ac:dyDescent="0.2">
      <c r="A24" s="2135" t="s">
        <v>619</v>
      </c>
      <c r="B24" s="213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48564</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48564</v>
      </c>
      <c r="M34" s="468"/>
      <c r="N34" s="480"/>
    </row>
    <row r="35" spans="1:14" ht="18" customHeight="1" thickTop="1" x14ac:dyDescent="0.2">
      <c r="A35" s="2137" t="s">
        <v>550</v>
      </c>
      <c r="B35" s="213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4348876</v>
      </c>
    </row>
    <row r="37" spans="1:14" ht="13.5" thickBot="1" x14ac:dyDescent="0.25">
      <c r="A37" s="1758" t="s">
        <v>674</v>
      </c>
      <c r="B37" s="1763"/>
      <c r="C37" s="477"/>
      <c r="D37" s="477"/>
      <c r="E37" s="477"/>
      <c r="F37" s="477"/>
      <c r="G37" s="477"/>
      <c r="H37" s="477"/>
      <c r="I37" s="477"/>
      <c r="J37" s="477"/>
      <c r="K37" s="477"/>
      <c r="L37" s="480"/>
      <c r="M37" s="468"/>
      <c r="N37" s="1710">
        <f>SUM(N36:N36)</f>
        <v>4348876</v>
      </c>
    </row>
    <row r="38" spans="1:14" s="329" customFormat="1" ht="13.5" customHeight="1" thickTop="1" x14ac:dyDescent="0.2">
      <c r="A38" s="496" t="s">
        <v>440</v>
      </c>
      <c r="B38" s="483">
        <v>714</v>
      </c>
      <c r="C38" s="466">
        <v>1000</v>
      </c>
      <c r="D38" s="466"/>
      <c r="E38" s="466"/>
      <c r="F38" s="466"/>
      <c r="G38" s="466"/>
      <c r="H38" s="466"/>
      <c r="I38" s="466"/>
      <c r="J38" s="467"/>
      <c r="K38" s="466"/>
      <c r="L38" s="481"/>
      <c r="M38" s="497"/>
      <c r="N38" s="497"/>
    </row>
    <row r="39" spans="1:14" s="329" customFormat="1" ht="13.5" customHeight="1" x14ac:dyDescent="0.2">
      <c r="A39" s="496" t="s">
        <v>360</v>
      </c>
      <c r="B39" s="483">
        <v>730</v>
      </c>
      <c r="C39" s="466">
        <v>2048277</v>
      </c>
      <c r="D39" s="466">
        <v>168004</v>
      </c>
      <c r="E39" s="466">
        <v>44060</v>
      </c>
      <c r="F39" s="466">
        <v>185783</v>
      </c>
      <c r="G39" s="466">
        <v>44368</v>
      </c>
      <c r="H39" s="466">
        <v>219342</v>
      </c>
      <c r="I39" s="466">
        <v>734198</v>
      </c>
      <c r="J39" s="467">
        <v>65898</v>
      </c>
      <c r="K39" s="466">
        <v>339164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9435036</v>
      </c>
      <c r="N40" s="497"/>
    </row>
    <row r="41" spans="1:14" ht="13.5" customHeight="1" thickBot="1" x14ac:dyDescent="0.25">
      <c r="A41" s="1758" t="s">
        <v>676</v>
      </c>
      <c r="B41" s="1728"/>
      <c r="C41" s="1710">
        <f>(SUM(C34,C37,C38,C39))</f>
        <v>2049277</v>
      </c>
      <c r="D41" s="1710">
        <f t="shared" ref="D41:L41" si="2">SUM(D34,D37,D38:D39)</f>
        <v>168004</v>
      </c>
      <c r="E41" s="1710">
        <f t="shared" si="2"/>
        <v>44060</v>
      </c>
      <c r="F41" s="1710">
        <f t="shared" si="2"/>
        <v>185783</v>
      </c>
      <c r="G41" s="1710">
        <f t="shared" si="2"/>
        <v>44368</v>
      </c>
      <c r="H41" s="1710">
        <f t="shared" si="2"/>
        <v>219342</v>
      </c>
      <c r="I41" s="1710">
        <f t="shared" si="2"/>
        <v>734198</v>
      </c>
      <c r="J41" s="1710">
        <f t="shared" si="2"/>
        <v>65898</v>
      </c>
      <c r="K41" s="1710">
        <f t="shared" si="2"/>
        <v>339164</v>
      </c>
      <c r="L41" s="1710">
        <f t="shared" si="2"/>
        <v>48564</v>
      </c>
      <c r="M41" s="1710">
        <f>SUM(M40)</f>
        <v>9435036</v>
      </c>
      <c r="N41" s="1710">
        <f>SUM(N37)</f>
        <v>4348876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95"/>
      <c r="D3" s="1596"/>
      <c r="E3" s="1596"/>
      <c r="F3" s="1596"/>
      <c r="G3" s="1596"/>
      <c r="H3" s="1596"/>
      <c r="I3" s="1596"/>
      <c r="J3" s="1596"/>
      <c r="K3" s="1597"/>
      <c r="L3" s="506"/>
    </row>
    <row r="4" spans="1:13" ht="15.75" customHeight="1" x14ac:dyDescent="0.2">
      <c r="A4" s="1954" t="s">
        <v>1578</v>
      </c>
      <c r="B4" s="1955">
        <v>1000</v>
      </c>
      <c r="C4" s="1764">
        <f>'Revenues 9-14'!C109</f>
        <v>1764492</v>
      </c>
      <c r="D4" s="1764">
        <f>'Revenues 9-14'!D109</f>
        <v>298860</v>
      </c>
      <c r="E4" s="1764">
        <f>'Revenues 9-14'!E109</f>
        <v>215944</v>
      </c>
      <c r="F4" s="1764">
        <f>'Revenues 9-14'!F109</f>
        <v>136845</v>
      </c>
      <c r="G4" s="1764">
        <f>'Revenues 9-14'!G109</f>
        <v>252064</v>
      </c>
      <c r="H4" s="1764">
        <f>'Revenues 9-14'!H109</f>
        <v>482353</v>
      </c>
      <c r="I4" s="1764">
        <f>'Revenues 9-14'!I109</f>
        <v>45810</v>
      </c>
      <c r="J4" s="1764">
        <f>'Revenues 9-14'!J109</f>
        <v>155831</v>
      </c>
      <c r="K4" s="1764">
        <f>'Revenues 9-14'!K109</f>
        <v>54912</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1580</v>
      </c>
      <c r="B6" s="1600">
        <v>3000</v>
      </c>
      <c r="C6" s="1765">
        <f>'Revenues 9-14'!C173</f>
        <v>5995401</v>
      </c>
      <c r="D6" s="1765">
        <f>'Revenues 9-14'!D173</f>
        <v>0</v>
      </c>
      <c r="E6" s="1765">
        <f>'Revenues 9-14'!E173</f>
        <v>0</v>
      </c>
      <c r="F6" s="1765">
        <f>'Revenues 9-14'!F173</f>
        <v>426879</v>
      </c>
      <c r="G6" s="1765">
        <f>'Revenues 9-14'!G173</f>
        <v>75000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1250495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9010388</v>
      </c>
      <c r="D8" s="1710">
        <f t="shared" ref="D8:K8" si="0">SUM(D4:D7)</f>
        <v>298860</v>
      </c>
      <c r="E8" s="1710">
        <f t="shared" si="0"/>
        <v>215944</v>
      </c>
      <c r="F8" s="1710">
        <f t="shared" si="0"/>
        <v>563724</v>
      </c>
      <c r="G8" s="1710">
        <f t="shared" si="0"/>
        <v>327064</v>
      </c>
      <c r="H8" s="1710">
        <f t="shared" si="0"/>
        <v>482353</v>
      </c>
      <c r="I8" s="1710">
        <f t="shared" si="0"/>
        <v>45810</v>
      </c>
      <c r="J8" s="1710">
        <f t="shared" si="0"/>
        <v>155831</v>
      </c>
      <c r="K8" s="1710">
        <f t="shared" si="0"/>
        <v>54912</v>
      </c>
      <c r="L8" s="347"/>
    </row>
    <row r="9" spans="1:13" ht="15.75" thickTop="1" x14ac:dyDescent="0.2">
      <c r="A9" s="514" t="s">
        <v>1751</v>
      </c>
      <c r="B9" s="515">
        <v>3998</v>
      </c>
      <c r="C9" s="481">
        <v>3596846</v>
      </c>
      <c r="D9" s="516"/>
      <c r="E9" s="481"/>
      <c r="F9" s="481"/>
      <c r="G9" s="517"/>
      <c r="H9" s="481"/>
      <c r="I9" s="509" t="s">
        <v>1231</v>
      </c>
      <c r="J9" s="478"/>
      <c r="K9" s="481"/>
      <c r="L9" s="347"/>
    </row>
    <row r="10" spans="1:13" s="519" customFormat="1" ht="13.5" thickBot="1" x14ac:dyDescent="0.25">
      <c r="A10" s="1758" t="s">
        <v>1235</v>
      </c>
      <c r="B10" s="1731"/>
      <c r="C10" s="1710">
        <f>SUM(C8:C9)</f>
        <v>12607234</v>
      </c>
      <c r="D10" s="1710">
        <f t="shared" ref="D10:K10" si="1">SUM(D8:D9)</f>
        <v>298860</v>
      </c>
      <c r="E10" s="1710">
        <f t="shared" si="1"/>
        <v>215944</v>
      </c>
      <c r="F10" s="1710">
        <f t="shared" si="1"/>
        <v>563724</v>
      </c>
      <c r="G10" s="1710">
        <f t="shared" si="1"/>
        <v>327064</v>
      </c>
      <c r="H10" s="1710">
        <f t="shared" si="1"/>
        <v>482353</v>
      </c>
      <c r="I10" s="1710">
        <f t="shared" si="1"/>
        <v>45810</v>
      </c>
      <c r="J10" s="1710">
        <f t="shared" si="1"/>
        <v>155831</v>
      </c>
      <c r="K10" s="1710">
        <f t="shared" si="1"/>
        <v>54912</v>
      </c>
      <c r="L10" s="518"/>
    </row>
    <row r="11" spans="1:13" s="519" customFormat="1" ht="16.7" customHeight="1" thickTop="1" x14ac:dyDescent="0.2">
      <c r="A11" s="2133" t="s">
        <v>1238</v>
      </c>
      <c r="B11" s="2134"/>
      <c r="C11" s="1592"/>
      <c r="D11" s="1593"/>
      <c r="E11" s="1593"/>
      <c r="F11" s="1593"/>
      <c r="G11" s="1593"/>
      <c r="H11" s="1593"/>
      <c r="I11" s="1593"/>
      <c r="J11" s="1593"/>
      <c r="K11" s="1594"/>
      <c r="L11" s="518"/>
    </row>
    <row r="12" spans="1:13" ht="15.75" customHeight="1" x14ac:dyDescent="0.2">
      <c r="A12" s="1598" t="s">
        <v>476</v>
      </c>
      <c r="B12" s="1600">
        <v>1000</v>
      </c>
      <c r="C12" s="1764">
        <f>'Expenditures 15-22'!K33</f>
        <v>5730336</v>
      </c>
      <c r="D12" s="520" t="s">
        <v>1231</v>
      </c>
      <c r="E12" s="468" t="s">
        <v>1231</v>
      </c>
      <c r="F12" s="468" t="s">
        <v>1231</v>
      </c>
      <c r="G12" s="1764">
        <f>'Expenditures 15-22'!K229</f>
        <v>196838</v>
      </c>
      <c r="H12" s="521"/>
      <c r="I12" s="468" t="s">
        <v>1231</v>
      </c>
      <c r="J12" s="468" t="s">
        <v>1231</v>
      </c>
      <c r="K12" s="521" t="s">
        <v>1231</v>
      </c>
      <c r="L12" s="347"/>
    </row>
    <row r="13" spans="1:13" ht="15.75" customHeight="1" x14ac:dyDescent="0.2">
      <c r="A13" s="1598" t="s">
        <v>477</v>
      </c>
      <c r="B13" s="1600">
        <v>2000</v>
      </c>
      <c r="C13" s="1765">
        <f>'Expenditures 15-22'!K74</f>
        <v>2059044</v>
      </c>
      <c r="D13" s="1765">
        <f>'Expenditures 15-22'!K129</f>
        <v>437997</v>
      </c>
      <c r="E13" s="469" t="s">
        <v>1231</v>
      </c>
      <c r="F13" s="1765">
        <f>'Expenditures 15-22'!K184</f>
        <v>482415</v>
      </c>
      <c r="G13" s="1765">
        <f>'Expenditures 15-22'!K279</f>
        <v>124633</v>
      </c>
      <c r="H13" s="1765">
        <f>'Expenditures 15-22'!K303</f>
        <v>267663</v>
      </c>
      <c r="I13" s="468" t="s">
        <v>1231</v>
      </c>
      <c r="J13" s="1765">
        <f>'Expenditures 15-22'!K330</f>
        <v>89933</v>
      </c>
      <c r="K13" s="1769">
        <f>'Expenditures 15-22'!K352</f>
        <v>0</v>
      </c>
      <c r="L13" s="347"/>
    </row>
    <row r="14" spans="1:13" ht="15.75" customHeight="1" x14ac:dyDescent="0.2">
      <c r="A14" s="1598" t="s">
        <v>469</v>
      </c>
      <c r="B14" s="1600">
        <v>3000</v>
      </c>
      <c r="C14" s="1765">
        <f>'Expenditures 15-22'!K75</f>
        <v>3835</v>
      </c>
      <c r="D14" s="1765">
        <f>'Expenditures 15-22'!K130</f>
        <v>0</v>
      </c>
      <c r="E14" s="520" t="s">
        <v>1231</v>
      </c>
      <c r="F14" s="1765">
        <f>'Expenditures 15-22'!K185</f>
        <v>0</v>
      </c>
      <c r="G14" s="1765">
        <f>'Expenditures 15-22'!K280</f>
        <v>309</v>
      </c>
      <c r="H14" s="512"/>
      <c r="I14" s="468" t="s">
        <v>1231</v>
      </c>
      <c r="J14" s="468" t="s">
        <v>1231</v>
      </c>
      <c r="K14" s="512" t="s">
        <v>1231</v>
      </c>
      <c r="L14" s="347"/>
    </row>
    <row r="15" spans="1:13" ht="15.75" customHeight="1" x14ac:dyDescent="0.2">
      <c r="A15" s="1598" t="s">
        <v>109</v>
      </c>
      <c r="B15" s="1600">
        <v>4000</v>
      </c>
      <c r="C15" s="1765">
        <f>'Expenditures 15-22'!K102</f>
        <v>235722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220500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8028937</v>
      </c>
      <c r="D17" s="1710">
        <f t="shared" si="2"/>
        <v>437997</v>
      </c>
      <c r="E17" s="1710">
        <f t="shared" si="2"/>
        <v>220500</v>
      </c>
      <c r="F17" s="1710">
        <f t="shared" si="2"/>
        <v>482415</v>
      </c>
      <c r="G17" s="1710">
        <f t="shared" si="2"/>
        <v>321780</v>
      </c>
      <c r="H17" s="1710">
        <f t="shared" si="2"/>
        <v>267663</v>
      </c>
      <c r="I17" s="468"/>
      <c r="J17" s="1710">
        <f>SUM(J12:J16)</f>
        <v>89933</v>
      </c>
      <c r="K17" s="1710">
        <f>SUM(K12:K16)</f>
        <v>0</v>
      </c>
      <c r="L17" s="347"/>
    </row>
    <row r="18" spans="1:12" ht="15" customHeight="1" thickTop="1" x14ac:dyDescent="0.2">
      <c r="A18" s="1766" t="s">
        <v>1752</v>
      </c>
      <c r="B18" s="1767">
        <v>4180</v>
      </c>
      <c r="C18" s="1764">
        <f t="shared" ref="C18:H18" si="3">C9</f>
        <v>3596846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11625783</v>
      </c>
      <c r="D19" s="1710">
        <f t="shared" si="4"/>
        <v>437997</v>
      </c>
      <c r="E19" s="1710">
        <f t="shared" si="4"/>
        <v>220500</v>
      </c>
      <c r="F19" s="1710">
        <f t="shared" si="4"/>
        <v>482415</v>
      </c>
      <c r="G19" s="1710">
        <f t="shared" si="4"/>
        <v>321780</v>
      </c>
      <c r="H19" s="1710">
        <f t="shared" si="4"/>
        <v>267663</v>
      </c>
      <c r="I19" s="468"/>
      <c r="J19" s="1710">
        <f>SUM(J17:J18)</f>
        <v>89933</v>
      </c>
      <c r="K19" s="1710">
        <f>SUM(K17:K18)</f>
        <v>0</v>
      </c>
      <c r="L19" s="347"/>
    </row>
    <row r="20" spans="1:12" ht="16.5" thickTop="1" thickBot="1" x14ac:dyDescent="0.25">
      <c r="A20" s="2149" t="s">
        <v>1753</v>
      </c>
      <c r="B20" s="2150"/>
      <c r="C20" s="1768">
        <f>C8-C17</f>
        <v>981451</v>
      </c>
      <c r="D20" s="1768">
        <f t="shared" ref="D20:K20" si="5">D8-D17</f>
        <v>-139137</v>
      </c>
      <c r="E20" s="1768">
        <f t="shared" si="5"/>
        <v>-4556</v>
      </c>
      <c r="F20" s="1768">
        <f t="shared" si="5"/>
        <v>81309</v>
      </c>
      <c r="G20" s="1768">
        <f t="shared" si="5"/>
        <v>5284</v>
      </c>
      <c r="H20" s="1768">
        <f t="shared" si="5"/>
        <v>214690</v>
      </c>
      <c r="I20" s="1768">
        <f t="shared" si="5"/>
        <v>45810</v>
      </c>
      <c r="J20" s="1768">
        <f t="shared" si="5"/>
        <v>65898</v>
      </c>
      <c r="K20" s="1768">
        <f t="shared" si="5"/>
        <v>54912</v>
      </c>
      <c r="L20" s="347"/>
    </row>
    <row r="21" spans="1:12" ht="16.7" customHeight="1" thickTop="1" x14ac:dyDescent="0.2">
      <c r="A21" s="2161" t="s">
        <v>616</v>
      </c>
      <c r="B21" s="2162"/>
      <c r="C21" s="1592"/>
      <c r="D21" s="1593"/>
      <c r="E21" s="1593"/>
      <c r="F21" s="1593"/>
      <c r="G21" s="1593"/>
      <c r="H21" s="1593"/>
      <c r="I21" s="1593"/>
      <c r="J21" s="1593"/>
      <c r="K21" s="1594"/>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v>175000</v>
      </c>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1892</v>
      </c>
      <c r="B30" s="527">
        <v>7160</v>
      </c>
      <c r="C30" s="477"/>
      <c r="D30" s="467"/>
      <c r="E30" s="477"/>
      <c r="F30" s="477"/>
      <c r="G30" s="477"/>
      <c r="H30" s="477"/>
      <c r="I30" s="477"/>
      <c r="J30" s="477"/>
      <c r="K30" s="477"/>
      <c r="L30" s="524"/>
    </row>
    <row r="31" spans="1:12" s="485" customFormat="1" ht="26.25" x14ac:dyDescent="0.2">
      <c r="A31" s="1511" t="s">
        <v>1896</v>
      </c>
      <c r="B31" s="527">
        <v>7170</v>
      </c>
      <c r="C31" s="477"/>
      <c r="D31" s="477"/>
      <c r="E31" s="474"/>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195000</v>
      </c>
      <c r="F37" s="475"/>
      <c r="G37" s="475"/>
      <c r="H37" s="475"/>
      <c r="I37" s="477"/>
      <c r="J37" s="475"/>
      <c r="K37" s="475"/>
      <c r="L37" s="524"/>
    </row>
    <row r="38" spans="1:12" s="485" customFormat="1" x14ac:dyDescent="0.2">
      <c r="A38" s="1511" t="s">
        <v>462</v>
      </c>
      <c r="B38" s="525">
        <v>7500</v>
      </c>
      <c r="C38" s="477"/>
      <c r="D38" s="477"/>
      <c r="E38" s="1765">
        <f>SUM(C58:D61,H58:H61)</f>
        <v>155638</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3" t="s">
        <v>392</v>
      </c>
      <c r="B44" s="2164"/>
      <c r="C44" s="1725">
        <f>SUM(C24:C43)</f>
        <v>0</v>
      </c>
      <c r="D44" s="1725">
        <f t="shared" ref="D44:K44" si="6">SUM(D24:D43)</f>
        <v>0</v>
      </c>
      <c r="E44" s="1725">
        <f t="shared" si="6"/>
        <v>350638</v>
      </c>
      <c r="F44" s="1725">
        <f t="shared" si="6"/>
        <v>0</v>
      </c>
      <c r="G44" s="1725">
        <f t="shared" si="6"/>
        <v>0</v>
      </c>
      <c r="H44" s="1725">
        <f t="shared" si="6"/>
        <v>175000</v>
      </c>
      <c r="I44" s="1725">
        <f t="shared" si="6"/>
        <v>0</v>
      </c>
      <c r="J44" s="1725">
        <f t="shared" si="6"/>
        <v>0</v>
      </c>
      <c r="K44" s="1725">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175000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1895</v>
      </c>
      <c r="B52" s="483">
        <v>8160</v>
      </c>
      <c r="C52" s="477"/>
      <c r="D52" s="477"/>
      <c r="E52" s="477"/>
      <c r="F52" s="477"/>
      <c r="G52" s="477"/>
      <c r="H52" s="477"/>
      <c r="I52" s="477"/>
      <c r="J52" s="477"/>
      <c r="K52" s="1765">
        <f>D30</f>
        <v>0</v>
      </c>
      <c r="L52" s="524"/>
    </row>
    <row r="53" spans="1:12" s="485" customFormat="1" ht="26.25" x14ac:dyDescent="0.2">
      <c r="A53" s="1512" t="s">
        <v>1894</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v>195000</v>
      </c>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v>155638</v>
      </c>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350638</v>
      </c>
      <c r="F75" s="532"/>
      <c r="G75" s="532"/>
      <c r="H75" s="532"/>
      <c r="I75" s="530"/>
      <c r="J75" s="530"/>
      <c r="K75" s="532"/>
      <c r="L75" s="524"/>
    </row>
    <row r="76" spans="1:12" s="485" customFormat="1" ht="14.25" thickTop="1" thickBot="1" x14ac:dyDescent="0.25">
      <c r="A76" s="2139" t="s">
        <v>460</v>
      </c>
      <c r="B76" s="2140"/>
      <c r="C76" s="1725">
        <f t="shared" ref="C76:K76" si="7">SUM(C47:C75)</f>
        <v>0</v>
      </c>
      <c r="D76" s="1725">
        <f t="shared" si="7"/>
        <v>0</v>
      </c>
      <c r="E76" s="1725">
        <f t="shared" si="7"/>
        <v>350638</v>
      </c>
      <c r="F76" s="1725">
        <f t="shared" si="7"/>
        <v>0</v>
      </c>
      <c r="G76" s="1725">
        <f t="shared" si="7"/>
        <v>0</v>
      </c>
      <c r="H76" s="1725">
        <f t="shared" si="7"/>
        <v>350638</v>
      </c>
      <c r="I76" s="1725">
        <f t="shared" si="7"/>
        <v>175000</v>
      </c>
      <c r="J76" s="1725">
        <f t="shared" si="7"/>
        <v>0</v>
      </c>
      <c r="K76" s="1725">
        <f t="shared" si="7"/>
        <v>0</v>
      </c>
      <c r="L76" s="524"/>
    </row>
    <row r="77" spans="1:12" ht="14.25" thickTop="1" thickBot="1" x14ac:dyDescent="0.25">
      <c r="A77" s="2141" t="s">
        <v>1239</v>
      </c>
      <c r="B77" s="2142"/>
      <c r="C77" s="1725">
        <f t="shared" ref="C77:K77" si="8">C44-C76</f>
        <v>0</v>
      </c>
      <c r="D77" s="1725">
        <f t="shared" si="8"/>
        <v>0</v>
      </c>
      <c r="E77" s="1725">
        <f t="shared" si="8"/>
        <v>0</v>
      </c>
      <c r="F77" s="1725">
        <f t="shared" si="8"/>
        <v>0</v>
      </c>
      <c r="G77" s="1725">
        <f t="shared" si="8"/>
        <v>0</v>
      </c>
      <c r="H77" s="1725">
        <f t="shared" si="8"/>
        <v>-175638</v>
      </c>
      <c r="I77" s="1725">
        <f t="shared" si="8"/>
        <v>-175000</v>
      </c>
      <c r="J77" s="1725">
        <f t="shared" si="8"/>
        <v>0</v>
      </c>
      <c r="K77" s="1725">
        <f t="shared" si="8"/>
        <v>0</v>
      </c>
      <c r="L77" s="347"/>
    </row>
    <row r="78" spans="1:12" ht="21.75" customHeight="1" thickTop="1" thickBot="1" x14ac:dyDescent="0.25">
      <c r="A78" s="2145" t="s">
        <v>618</v>
      </c>
      <c r="B78" s="2146"/>
      <c r="C78" s="1724">
        <f t="shared" ref="C78:K78" si="9">C20+C77</f>
        <v>981451</v>
      </c>
      <c r="D78" s="1724">
        <f t="shared" si="9"/>
        <v>-139137</v>
      </c>
      <c r="E78" s="1724">
        <f t="shared" si="9"/>
        <v>-4556</v>
      </c>
      <c r="F78" s="1724">
        <f t="shared" si="9"/>
        <v>81309</v>
      </c>
      <c r="G78" s="1724">
        <f t="shared" si="9"/>
        <v>5284</v>
      </c>
      <c r="H78" s="1724">
        <f t="shared" si="9"/>
        <v>39052</v>
      </c>
      <c r="I78" s="1724">
        <f t="shared" si="9"/>
        <v>-129190</v>
      </c>
      <c r="J78" s="1724">
        <f t="shared" si="9"/>
        <v>65898</v>
      </c>
      <c r="K78" s="1724">
        <f t="shared" si="9"/>
        <v>54912</v>
      </c>
      <c r="L78" s="533"/>
    </row>
    <row r="79" spans="1:12" ht="13.5" thickTop="1" x14ac:dyDescent="0.2">
      <c r="A79" s="1516" t="s">
        <v>2068</v>
      </c>
      <c r="B79" s="534"/>
      <c r="C79" s="478">
        <v>1067826</v>
      </c>
      <c r="D79" s="535">
        <v>307141</v>
      </c>
      <c r="E79" s="535">
        <v>48616</v>
      </c>
      <c r="F79" s="535">
        <v>104474</v>
      </c>
      <c r="G79" s="535">
        <v>39084</v>
      </c>
      <c r="H79" s="535">
        <v>180290</v>
      </c>
      <c r="I79" s="535">
        <v>863388</v>
      </c>
      <c r="J79" s="535">
        <v>0</v>
      </c>
      <c r="K79" s="535">
        <v>284252</v>
      </c>
      <c r="L79" s="347"/>
    </row>
    <row r="80" spans="1:12" x14ac:dyDescent="0.2">
      <c r="A80" s="2151" t="s">
        <v>1893</v>
      </c>
      <c r="B80" s="2152"/>
      <c r="C80" s="467"/>
      <c r="D80" s="467"/>
      <c r="E80" s="467"/>
      <c r="F80" s="467"/>
      <c r="G80" s="467"/>
      <c r="H80" s="467"/>
      <c r="I80" s="467"/>
      <c r="J80" s="467"/>
      <c r="K80" s="467"/>
      <c r="L80" s="347"/>
    </row>
    <row r="81" spans="1:12" ht="13.5" thickBot="1" x14ac:dyDescent="0.25">
      <c r="A81" s="2143" t="s">
        <v>2069</v>
      </c>
      <c r="B81" s="2144"/>
      <c r="C81" s="1710">
        <f>(SUM(C78:C80))</f>
        <v>2049277</v>
      </c>
      <c r="D81" s="1710">
        <f>SUM(D78:D80)</f>
        <v>168004</v>
      </c>
      <c r="E81" s="1710">
        <f t="shared" ref="E81:K81" si="10">SUM(E78:E80)</f>
        <v>44060</v>
      </c>
      <c r="F81" s="1710">
        <f t="shared" si="10"/>
        <v>185783</v>
      </c>
      <c r="G81" s="1710">
        <f t="shared" si="10"/>
        <v>44368</v>
      </c>
      <c r="H81" s="1710">
        <f t="shared" si="10"/>
        <v>219342</v>
      </c>
      <c r="I81" s="1710">
        <f t="shared" si="10"/>
        <v>734198</v>
      </c>
      <c r="J81" s="1710">
        <f t="shared" si="10"/>
        <v>65898</v>
      </c>
      <c r="K81" s="1710">
        <f t="shared" si="10"/>
        <v>339164</v>
      </c>
      <c r="L81" s="347"/>
    </row>
    <row r="82" spans="1:12" ht="0.75" customHeight="1" thickTop="1" thickBot="1" x14ac:dyDescent="0.25">
      <c r="A82" s="536" t="s">
        <v>361</v>
      </c>
      <c r="B82" s="537"/>
      <c r="C82" s="538">
        <f>(C81-C79)</f>
        <v>981451</v>
      </c>
      <c r="D82" s="538">
        <f t="shared" ref="D82:K82" si="11">(D81-D79)</f>
        <v>-139137</v>
      </c>
      <c r="E82" s="538">
        <f t="shared" si="11"/>
        <v>-4556</v>
      </c>
      <c r="F82" s="538">
        <f t="shared" si="11"/>
        <v>81309</v>
      </c>
      <c r="G82" s="538">
        <f t="shared" si="11"/>
        <v>5284</v>
      </c>
      <c r="H82" s="538">
        <f t="shared" si="11"/>
        <v>39052</v>
      </c>
      <c r="I82" s="538">
        <f t="shared" si="11"/>
        <v>-129190</v>
      </c>
      <c r="J82" s="538">
        <f t="shared" si="11"/>
        <v>65898</v>
      </c>
      <c r="K82" s="538">
        <f t="shared" si="11"/>
        <v>54912</v>
      </c>
    </row>
    <row r="83" spans="1:12" ht="14.25" hidden="1" thickTop="1" thickBot="1" x14ac:dyDescent="0.25">
      <c r="A83" s="539" t="s">
        <v>362</v>
      </c>
      <c r="B83" s="464"/>
      <c r="C83" s="540">
        <f>C82/C81</f>
        <v>0.47892549421088509</v>
      </c>
      <c r="D83" s="540">
        <f t="shared" ref="D83:K83" si="12">D82/D81</f>
        <v>-0.82817671007833149</v>
      </c>
      <c r="E83" s="540">
        <f t="shared" si="12"/>
        <v>-0.10340444847934635</v>
      </c>
      <c r="F83" s="540">
        <f t="shared" si="12"/>
        <v>0.43765575967661197</v>
      </c>
      <c r="G83" s="540">
        <f t="shared" si="12"/>
        <v>0.11909484313018391</v>
      </c>
      <c r="H83" s="540">
        <f t="shared" si="12"/>
        <v>0.17804159714053852</v>
      </c>
      <c r="I83" s="540">
        <f t="shared" si="12"/>
        <v>-0.17596070814684867</v>
      </c>
      <c r="J83" s="540">
        <f t="shared" si="12"/>
        <v>1</v>
      </c>
      <c r="K83" s="540">
        <f t="shared" si="12"/>
        <v>0.16190397565779388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6" activePane="bottomLeft" state="frozen"/>
      <selection activeCell="A47" sqref="A47"/>
      <selection pane="bottomLeft" activeCell="C271" sqref="C27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1900</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1438248</v>
      </c>
      <c r="D5" s="481">
        <v>273321</v>
      </c>
      <c r="E5" s="466">
        <v>214817</v>
      </c>
      <c r="F5" s="548">
        <v>133426</v>
      </c>
      <c r="G5" s="466">
        <v>115120</v>
      </c>
      <c r="H5" s="466"/>
      <c r="I5" s="466">
        <v>45571</v>
      </c>
      <c r="J5" s="467">
        <v>155018</v>
      </c>
      <c r="K5" s="466">
        <v>54625</v>
      </c>
    </row>
    <row r="6" spans="1:12" ht="15" x14ac:dyDescent="0.2">
      <c r="A6" s="463" t="s">
        <v>1760</v>
      </c>
      <c r="B6" s="470">
        <v>1130</v>
      </c>
      <c r="C6" s="466"/>
      <c r="D6" s="466"/>
      <c r="E6" s="475"/>
      <c r="F6" s="475"/>
      <c r="G6" s="468"/>
      <c r="H6" s="468"/>
      <c r="I6" s="468"/>
      <c r="J6" s="468"/>
      <c r="K6" s="468"/>
    </row>
    <row r="7" spans="1:12" x14ac:dyDescent="0.2">
      <c r="A7" s="463" t="s">
        <v>112</v>
      </c>
      <c r="B7" s="549">
        <v>1140</v>
      </c>
      <c r="C7" s="466"/>
      <c r="D7" s="466">
        <v>23979</v>
      </c>
      <c r="E7" s="468"/>
      <c r="F7" s="467"/>
      <c r="G7" s="467"/>
      <c r="H7" s="467"/>
      <c r="I7" s="468"/>
      <c r="J7" s="468"/>
      <c r="K7" s="468"/>
    </row>
    <row r="8" spans="1:12" x14ac:dyDescent="0.2">
      <c r="A8" s="463" t="s">
        <v>433</v>
      </c>
      <c r="B8" s="470">
        <v>1150</v>
      </c>
      <c r="C8" s="475"/>
      <c r="D8" s="475"/>
      <c r="E8" s="477"/>
      <c r="F8" s="477"/>
      <c r="G8" s="481">
        <v>115120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1438248</v>
      </c>
      <c r="D12" s="1729">
        <f t="shared" si="0"/>
        <v>297300</v>
      </c>
      <c r="E12" s="1729">
        <f t="shared" si="0"/>
        <v>214817</v>
      </c>
      <c r="F12" s="1729">
        <f t="shared" si="0"/>
        <v>133426</v>
      </c>
      <c r="G12" s="1729">
        <f t="shared" si="0"/>
        <v>230240</v>
      </c>
      <c r="H12" s="1729">
        <f t="shared" si="0"/>
        <v>0</v>
      </c>
      <c r="I12" s="1729">
        <f t="shared" si="0"/>
        <v>45571</v>
      </c>
      <c r="J12" s="1729">
        <f t="shared" si="0"/>
        <v>155018</v>
      </c>
      <c r="K12" s="1710">
        <f t="shared" si="0"/>
        <v>54625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4141</v>
      </c>
      <c r="D14" s="466">
        <v>856</v>
      </c>
      <c r="E14" s="466">
        <v>618</v>
      </c>
      <c r="F14" s="466">
        <v>384</v>
      </c>
      <c r="G14" s="466">
        <v>663</v>
      </c>
      <c r="H14" s="466"/>
      <c r="I14" s="466">
        <v>131</v>
      </c>
      <c r="J14" s="467">
        <v>446</v>
      </c>
      <c r="K14" s="466">
        <v>157</v>
      </c>
    </row>
    <row r="15" spans="1:12" ht="12.75" customHeight="1" x14ac:dyDescent="0.2">
      <c r="A15" s="463" t="s">
        <v>97</v>
      </c>
      <c r="B15" s="470">
        <v>1220</v>
      </c>
      <c r="C15" s="551">
        <v>2575</v>
      </c>
      <c r="D15" s="466">
        <v>532</v>
      </c>
      <c r="E15" s="466">
        <v>385</v>
      </c>
      <c r="F15" s="466">
        <v>239</v>
      </c>
      <c r="G15" s="466">
        <v>412</v>
      </c>
      <c r="H15" s="466"/>
      <c r="I15" s="466">
        <v>82</v>
      </c>
      <c r="J15" s="467">
        <v>278</v>
      </c>
      <c r="K15" s="466">
        <v>98</v>
      </c>
    </row>
    <row r="16" spans="1:12" ht="15" customHeight="1" x14ac:dyDescent="0.2">
      <c r="A16" s="463" t="s">
        <v>1761</v>
      </c>
      <c r="B16" s="549">
        <v>1230</v>
      </c>
      <c r="C16" s="551">
        <v>177817</v>
      </c>
      <c r="D16" s="466"/>
      <c r="E16" s="466"/>
      <c r="F16" s="466"/>
      <c r="G16" s="466">
        <v>20616</v>
      </c>
      <c r="H16" s="466"/>
      <c r="I16" s="466"/>
      <c r="J16" s="467"/>
      <c r="K16" s="466"/>
    </row>
    <row r="17" spans="1:11" ht="12.75" customHeight="1" x14ac:dyDescent="0.2">
      <c r="A17" s="463" t="s">
        <v>840</v>
      </c>
      <c r="B17" s="470">
        <v>1290</v>
      </c>
      <c r="C17" s="551">
        <v>662</v>
      </c>
      <c r="D17" s="466">
        <v>137</v>
      </c>
      <c r="E17" s="466">
        <v>99</v>
      </c>
      <c r="F17" s="466">
        <v>61</v>
      </c>
      <c r="G17" s="466">
        <v>106</v>
      </c>
      <c r="H17" s="466"/>
      <c r="I17" s="466">
        <v>21</v>
      </c>
      <c r="J17" s="467">
        <v>71</v>
      </c>
      <c r="K17" s="466">
        <v>26</v>
      </c>
    </row>
    <row r="18" spans="1:11" ht="12.75" customHeight="1" thickBot="1" x14ac:dyDescent="0.25">
      <c r="A18" s="1730" t="s">
        <v>558</v>
      </c>
      <c r="B18" s="1731"/>
      <c r="C18" s="1732">
        <f>SUM(C14:C17)</f>
        <v>185195</v>
      </c>
      <c r="D18" s="1732">
        <f t="shared" ref="D18:K18" si="1">SUM(D14:D17)</f>
        <v>1525</v>
      </c>
      <c r="E18" s="1732">
        <f t="shared" si="1"/>
        <v>1102</v>
      </c>
      <c r="F18" s="1732">
        <f t="shared" si="1"/>
        <v>684</v>
      </c>
      <c r="G18" s="1732">
        <f t="shared" si="1"/>
        <v>21797</v>
      </c>
      <c r="H18" s="1732">
        <f t="shared" si="1"/>
        <v>0</v>
      </c>
      <c r="I18" s="1732">
        <f t="shared" si="1"/>
        <v>234</v>
      </c>
      <c r="J18" s="1732">
        <f t="shared" si="1"/>
        <v>795</v>
      </c>
      <c r="K18" s="1733">
        <f t="shared" si="1"/>
        <v>281</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83659</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83659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170</v>
      </c>
      <c r="D65" s="466">
        <v>35</v>
      </c>
      <c r="E65" s="466">
        <v>25</v>
      </c>
      <c r="F65" s="467">
        <v>16</v>
      </c>
      <c r="G65" s="466">
        <v>27</v>
      </c>
      <c r="H65" s="466"/>
      <c r="I65" s="466">
        <v>5</v>
      </c>
      <c r="J65" s="467">
        <v>18</v>
      </c>
      <c r="K65" s="466">
        <v>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170</v>
      </c>
      <c r="D67" s="1710">
        <f t="shared" ref="D67:K67" si="2">SUM(D65:D66)</f>
        <v>35</v>
      </c>
      <c r="E67" s="1710">
        <f t="shared" si="2"/>
        <v>25</v>
      </c>
      <c r="F67" s="1710">
        <f t="shared" si="2"/>
        <v>16</v>
      </c>
      <c r="G67" s="1710">
        <f t="shared" si="2"/>
        <v>27</v>
      </c>
      <c r="H67" s="1710">
        <f t="shared" si="2"/>
        <v>0</v>
      </c>
      <c r="I67" s="1710">
        <f t="shared" si="2"/>
        <v>5</v>
      </c>
      <c r="J67" s="1710">
        <f t="shared" si="2"/>
        <v>18</v>
      </c>
      <c r="K67" s="1710">
        <f t="shared" si="2"/>
        <v>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442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14548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4066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19056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11529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11529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0</v>
      </c>
      <c r="D96" s="551"/>
      <c r="E96" s="479"/>
      <c r="F96" s="478"/>
      <c r="G96" s="478"/>
      <c r="H96" s="478"/>
      <c r="I96" s="478"/>
      <c r="J96" s="478"/>
      <c r="K96" s="478"/>
    </row>
    <row r="97" spans="1:12" ht="12.75" customHeight="1" x14ac:dyDescent="0.2">
      <c r="A97" s="1517" t="s">
        <v>262</v>
      </c>
      <c r="B97" s="559">
        <v>1930</v>
      </c>
      <c r="C97" s="489">
        <v>800</v>
      </c>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817</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430098</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25018</v>
      </c>
      <c r="D107" s="466"/>
      <c r="E107" s="466"/>
      <c r="F107" s="466">
        <v>2719</v>
      </c>
      <c r="G107" s="466"/>
      <c r="H107" s="466">
        <v>52255</v>
      </c>
      <c r="I107" s="466"/>
      <c r="J107" s="467"/>
      <c r="K107" s="466"/>
    </row>
    <row r="108" spans="1:12" ht="12.75" customHeight="1" thickBot="1" x14ac:dyDescent="0.25">
      <c r="A108" s="1730" t="s">
        <v>508</v>
      </c>
      <c r="B108" s="1734"/>
      <c r="C108" s="1729">
        <f>SUM(C95:C107)</f>
        <v>26635</v>
      </c>
      <c r="D108" s="1729">
        <f t="shared" ref="D108:K108" si="3">SUM(D95:D107)</f>
        <v>0</v>
      </c>
      <c r="E108" s="1729">
        <f t="shared" si="3"/>
        <v>0</v>
      </c>
      <c r="F108" s="1729">
        <f t="shared" si="3"/>
        <v>2719</v>
      </c>
      <c r="G108" s="1729">
        <f t="shared" si="3"/>
        <v>0</v>
      </c>
      <c r="H108" s="1729">
        <f t="shared" si="3"/>
        <v>482353</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1764492</v>
      </c>
      <c r="D109" s="1737">
        <f t="shared" si="4"/>
        <v>298860</v>
      </c>
      <c r="E109" s="1737">
        <f t="shared" si="4"/>
        <v>215944</v>
      </c>
      <c r="F109" s="1737">
        <f t="shared" si="4"/>
        <v>136845</v>
      </c>
      <c r="G109" s="1737">
        <f t="shared" si="4"/>
        <v>252064</v>
      </c>
      <c r="H109" s="1737">
        <f t="shared" si="4"/>
        <v>482353</v>
      </c>
      <c r="I109" s="1737">
        <f t="shared" si="4"/>
        <v>45810</v>
      </c>
      <c r="J109" s="1737">
        <f t="shared" si="4"/>
        <v>155831</v>
      </c>
      <c r="K109" s="1724">
        <f t="shared" si="4"/>
        <v>54912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5769784</v>
      </c>
      <c r="D117" s="481"/>
      <c r="E117" s="466"/>
      <c r="F117" s="481">
        <v>100000</v>
      </c>
      <c r="G117" s="481">
        <v>75000</v>
      </c>
      <c r="H117" s="466"/>
      <c r="I117" s="468"/>
      <c r="J117" s="467"/>
      <c r="K117" s="466"/>
    </row>
    <row r="118" spans="1:11" ht="12.75" customHeight="1" x14ac:dyDescent="0.2">
      <c r="A118" s="463" t="s">
        <v>1897</v>
      </c>
      <c r="B118" s="562">
        <v>3002</v>
      </c>
      <c r="C118" s="551"/>
      <c r="D118" s="466"/>
      <c r="E118" s="466"/>
      <c r="F118" s="466"/>
      <c r="G118" s="466"/>
      <c r="H118" s="466"/>
      <c r="I118" s="468"/>
      <c r="J118" s="467"/>
      <c r="K118" s="466"/>
    </row>
    <row r="119" spans="1:11" ht="12.75" customHeight="1" x14ac:dyDescent="0.2">
      <c r="A119" s="463" t="s">
        <v>1898</v>
      </c>
      <c r="B119" s="562">
        <v>3005</v>
      </c>
      <c r="C119" s="551"/>
      <c r="D119" s="466"/>
      <c r="E119" s="466"/>
      <c r="F119" s="466"/>
      <c r="G119" s="466"/>
      <c r="H119" s="466"/>
      <c r="I119" s="468"/>
      <c r="J119" s="467"/>
      <c r="K119" s="466"/>
    </row>
    <row r="120" spans="1:11" x14ac:dyDescent="0.2">
      <c r="A120" s="1518" t="s">
        <v>1899</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5769784</v>
      </c>
      <c r="D121" s="1729">
        <f t="shared" si="5"/>
        <v>0</v>
      </c>
      <c r="E121" s="1729">
        <f t="shared" si="5"/>
        <v>0</v>
      </c>
      <c r="F121" s="1729">
        <f t="shared" si="5"/>
        <v>100000</v>
      </c>
      <c r="G121" s="1729">
        <f t="shared" si="5"/>
        <v>75000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1520</v>
      </c>
      <c r="B125" s="562">
        <v>3105</v>
      </c>
      <c r="C125" s="466">
        <v>81553</v>
      </c>
      <c r="D125" s="561"/>
      <c r="E125" s="468"/>
      <c r="F125" s="466"/>
      <c r="G125" s="468"/>
      <c r="H125" s="468"/>
      <c r="I125" s="468"/>
      <c r="J125" s="468"/>
      <c r="K125" s="468"/>
    </row>
    <row r="126" spans="1:11" ht="12.75" customHeight="1" x14ac:dyDescent="0.2">
      <c r="A126" s="463" t="s">
        <v>922</v>
      </c>
      <c r="B126" s="562">
        <v>3110</v>
      </c>
      <c r="C126" s="551">
        <v>103309</v>
      </c>
      <c r="D126" s="466"/>
      <c r="E126" s="468"/>
      <c r="F126" s="466"/>
      <c r="G126" s="468"/>
      <c r="H126" s="468"/>
      <c r="I126" s="468"/>
      <c r="J126" s="468"/>
      <c r="K126" s="468"/>
    </row>
    <row r="127" spans="1:11" ht="12.75" customHeight="1" x14ac:dyDescent="0.2">
      <c r="A127" s="463" t="s">
        <v>107</v>
      </c>
      <c r="B127" s="562">
        <v>3120</v>
      </c>
      <c r="C127" s="466">
        <v>9269</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194131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10056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139156</v>
      </c>
      <c r="G151" s="467"/>
      <c r="H151" s="468"/>
      <c r="I151" s="468"/>
      <c r="J151" s="468"/>
      <c r="K151" s="468"/>
    </row>
    <row r="152" spans="1:11" ht="12.75" customHeight="1" x14ac:dyDescent="0.2">
      <c r="A152" s="463" t="s">
        <v>1117</v>
      </c>
      <c r="B152" s="562">
        <v>3510</v>
      </c>
      <c r="C152" s="551"/>
      <c r="D152" s="466"/>
      <c r="E152" s="561"/>
      <c r="F152" s="466">
        <v>187723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326879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21430</v>
      </c>
      <c r="D171" s="580"/>
      <c r="E171" s="580"/>
      <c r="F171" s="580"/>
      <c r="G171" s="581"/>
      <c r="H171" s="582"/>
      <c r="I171" s="581"/>
      <c r="J171" s="581"/>
      <c r="K171" s="582"/>
    </row>
    <row r="172" spans="1:11" ht="12.75" customHeight="1" thickTop="1" thickBot="1" x14ac:dyDescent="0.25">
      <c r="A172" s="2167" t="s">
        <v>418</v>
      </c>
      <c r="B172" s="2168"/>
      <c r="C172" s="1744">
        <f t="shared" ref="C172:K172" si="6">SUM(C131,C140,C144,C145:C149,C154,C155:C170,C171)</f>
        <v>225617</v>
      </c>
      <c r="D172" s="1744">
        <f t="shared" si="6"/>
        <v>0</v>
      </c>
      <c r="E172" s="1744">
        <f t="shared" si="6"/>
        <v>0</v>
      </c>
      <c r="F172" s="1744">
        <f t="shared" si="6"/>
        <v>326879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5995401</v>
      </c>
      <c r="D173" s="1737">
        <f>SUM(D121,D172)</f>
        <v>0</v>
      </c>
      <c r="E173" s="1737">
        <f>SUM(E121,E172)</f>
        <v>0</v>
      </c>
      <c r="F173" s="1737">
        <f t="shared" ref="F173:K173" si="7">SUM(F121,F172)</f>
        <v>426879</v>
      </c>
      <c r="G173" s="1737">
        <f t="shared" si="7"/>
        <v>75000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9" t="s">
        <v>1571</v>
      </c>
      <c r="B175" s="217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1763</v>
      </c>
      <c r="B178" s="2174"/>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7" t="s">
        <v>1762</v>
      </c>
      <c r="B179" s="217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1" t="s">
        <v>1901</v>
      </c>
      <c r="B185" s="2172"/>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19576</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19576</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1118</v>
      </c>
      <c r="B194" s="470">
        <v>4210</v>
      </c>
      <c r="C194" s="466">
        <v>412955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154253</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567208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431425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431425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1528</v>
      </c>
      <c r="B220" s="557">
        <v>4620</v>
      </c>
      <c r="C220" s="551">
        <v>85516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85516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65515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8964</v>
      </c>
      <c r="D270" s="576"/>
      <c r="E270" s="468"/>
      <c r="F270" s="576"/>
      <c r="G270" s="576"/>
      <c r="H270" s="468"/>
      <c r="I270" s="468"/>
      <c r="J270" s="468"/>
      <c r="K270" s="468"/>
    </row>
    <row r="271" spans="1:11" ht="12.75" customHeight="1" thickTop="1" thickBot="1" x14ac:dyDescent="0.25">
      <c r="A271" s="463" t="s">
        <v>395</v>
      </c>
      <c r="B271" s="470">
        <v>4992</v>
      </c>
      <c r="C271" s="575">
        <v>72291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1250495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1250495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9010388</v>
      </c>
      <c r="D275" s="1737">
        <f t="shared" si="12"/>
        <v>298860</v>
      </c>
      <c r="E275" s="1737">
        <f t="shared" si="12"/>
        <v>215944</v>
      </c>
      <c r="F275" s="1737">
        <f t="shared" si="12"/>
        <v>563724</v>
      </c>
      <c r="G275" s="1737">
        <f t="shared" si="12"/>
        <v>327064</v>
      </c>
      <c r="H275" s="1737">
        <f t="shared" si="12"/>
        <v>482353</v>
      </c>
      <c r="I275" s="1737">
        <f t="shared" si="12"/>
        <v>45810</v>
      </c>
      <c r="J275" s="1737">
        <f t="shared" si="12"/>
        <v>155831</v>
      </c>
      <c r="K275" s="1724">
        <f t="shared" si="12"/>
        <v>54912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20" zoomScaleNormal="120" workbookViewId="0">
      <pane ySplit="2" topLeftCell="A213" activePane="bottomLeft" state="frozen"/>
      <selection activeCell="A47" sqref="A47"/>
      <selection pane="bottomLeft" activeCell="L237" sqref="L23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1900</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3086450</v>
      </c>
      <c r="D5" s="466">
        <v>588649</v>
      </c>
      <c r="E5" s="466">
        <v>2933</v>
      </c>
      <c r="F5" s="466">
        <v>33142</v>
      </c>
      <c r="G5" s="466">
        <v>1650</v>
      </c>
      <c r="H5" s="466">
        <v>550</v>
      </c>
      <c r="I5" s="467">
        <v>372</v>
      </c>
      <c r="J5" s="467"/>
      <c r="K5" s="1693">
        <f>SUM(C5:J5)</f>
        <v>3713746</v>
      </c>
      <c r="L5" s="466">
        <v>3858190</v>
      </c>
    </row>
    <row r="6" spans="1:14" x14ac:dyDescent="0.2">
      <c r="A6" s="1526" t="s">
        <v>1508</v>
      </c>
      <c r="B6" s="615" t="s">
        <v>1506</v>
      </c>
      <c r="C6" s="477"/>
      <c r="D6" s="477"/>
      <c r="E6" s="466"/>
      <c r="F6" s="477"/>
      <c r="G6" s="477"/>
      <c r="H6" s="477"/>
      <c r="I6" s="477"/>
      <c r="J6" s="477"/>
      <c r="K6" s="1693">
        <f>SUM(C6,E6)</f>
        <v>0</v>
      </c>
      <c r="L6" s="466">
        <v>750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1214790</v>
      </c>
      <c r="D8" s="466">
        <v>233049</v>
      </c>
      <c r="E8" s="466"/>
      <c r="F8" s="466">
        <f>169</f>
        <v>169</v>
      </c>
      <c r="G8" s="466"/>
      <c r="H8" s="466"/>
      <c r="I8" s="467"/>
      <c r="J8" s="467"/>
      <c r="K8" s="1693">
        <f t="shared" si="0"/>
        <v>1448008</v>
      </c>
      <c r="L8" s="466">
        <v>1523500</v>
      </c>
    </row>
    <row r="9" spans="1:14" x14ac:dyDescent="0.2">
      <c r="A9" s="1526" t="s">
        <v>745</v>
      </c>
      <c r="B9" s="615" t="s">
        <v>1025</v>
      </c>
      <c r="C9" s="467">
        <v>94458</v>
      </c>
      <c r="D9" s="467">
        <v>18058</v>
      </c>
      <c r="E9" s="467"/>
      <c r="F9" s="467">
        <v>7</v>
      </c>
      <c r="G9" s="467"/>
      <c r="H9" s="467"/>
      <c r="I9" s="467"/>
      <c r="J9" s="467"/>
      <c r="K9" s="1693">
        <f t="shared" si="0"/>
        <v>112523</v>
      </c>
      <c r="L9" s="466">
        <v>156920</v>
      </c>
    </row>
    <row r="10" spans="1:14" x14ac:dyDescent="0.2">
      <c r="A10" s="1526" t="s">
        <v>746</v>
      </c>
      <c r="B10" s="615">
        <v>1250</v>
      </c>
      <c r="C10" s="466">
        <v>300277</v>
      </c>
      <c r="D10" s="466">
        <v>63796</v>
      </c>
      <c r="E10" s="466">
        <v>4682</v>
      </c>
      <c r="F10" s="466">
        <v>19414</v>
      </c>
      <c r="G10" s="466"/>
      <c r="H10" s="466"/>
      <c r="I10" s="467"/>
      <c r="J10" s="467"/>
      <c r="K10" s="1693">
        <f t="shared" si="0"/>
        <v>388169</v>
      </c>
      <c r="L10" s="466">
        <v>382600</v>
      </c>
    </row>
    <row r="11" spans="1:14" x14ac:dyDescent="0.2">
      <c r="A11" s="1526" t="s">
        <v>1192</v>
      </c>
      <c r="B11" s="615" t="s">
        <v>163</v>
      </c>
      <c r="C11" s="467">
        <v>790</v>
      </c>
      <c r="D11" s="467">
        <v>91</v>
      </c>
      <c r="E11" s="467"/>
      <c r="F11" s="467"/>
      <c r="G11" s="467"/>
      <c r="H11" s="467"/>
      <c r="I11" s="467"/>
      <c r="J11" s="467"/>
      <c r="K11" s="1693">
        <f t="shared" si="0"/>
        <v>881</v>
      </c>
      <c r="L11" s="466">
        <v>200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v>51919</v>
      </c>
      <c r="D14" s="466">
        <v>5016</v>
      </c>
      <c r="E14" s="466">
        <v>2014</v>
      </c>
      <c r="F14" s="466">
        <v>4560</v>
      </c>
      <c r="G14" s="466"/>
      <c r="H14" s="466">
        <v>3500</v>
      </c>
      <c r="I14" s="467"/>
      <c r="J14" s="467"/>
      <c r="K14" s="1693">
        <f t="shared" si="0"/>
        <v>67009</v>
      </c>
      <c r="L14" s="466">
        <v>69016</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1766</v>
      </c>
      <c r="B33" s="1691" t="s">
        <v>591</v>
      </c>
      <c r="C33" s="1692">
        <f>SUM(C5:C32)</f>
        <v>4748684</v>
      </c>
      <c r="D33" s="1692">
        <f t="shared" ref="D33:L33" si="1">SUM(D5:D32)</f>
        <v>908659</v>
      </c>
      <c r="E33" s="1692">
        <f t="shared" si="1"/>
        <v>9629</v>
      </c>
      <c r="F33" s="1692">
        <f t="shared" si="1"/>
        <v>57292</v>
      </c>
      <c r="G33" s="1692">
        <f t="shared" si="1"/>
        <v>1650</v>
      </c>
      <c r="H33" s="1692">
        <f t="shared" si="1"/>
        <v>4050</v>
      </c>
      <c r="I33" s="1692">
        <f t="shared" si="1"/>
        <v>372</v>
      </c>
      <c r="J33" s="1692">
        <f t="shared" si="1"/>
        <v>0</v>
      </c>
      <c r="K33" s="1692">
        <f t="shared" si="1"/>
        <v>5730336</v>
      </c>
      <c r="L33" s="1692">
        <f t="shared" si="1"/>
        <v>5991176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v>44598</v>
      </c>
      <c r="D38" s="466">
        <v>4759</v>
      </c>
      <c r="E38" s="466"/>
      <c r="F38" s="466">
        <v>1555</v>
      </c>
      <c r="G38" s="466"/>
      <c r="H38" s="466"/>
      <c r="I38" s="467"/>
      <c r="J38" s="467"/>
      <c r="K38" s="1693">
        <f t="shared" si="2"/>
        <v>50912</v>
      </c>
      <c r="L38" s="466">
        <v>40595</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v>78839</v>
      </c>
      <c r="D40" s="466">
        <v>9096</v>
      </c>
      <c r="E40" s="466"/>
      <c r="F40" s="466"/>
      <c r="G40" s="466"/>
      <c r="H40" s="466"/>
      <c r="I40" s="467"/>
      <c r="J40" s="467"/>
      <c r="K40" s="1693">
        <f t="shared" si="2"/>
        <v>87935</v>
      </c>
      <c r="L40" s="466">
        <v>94009</v>
      </c>
    </row>
    <row r="41" spans="1:14" x14ac:dyDescent="0.2">
      <c r="A41" s="1526" t="s">
        <v>1767</v>
      </c>
      <c r="B41" s="615">
        <v>2190</v>
      </c>
      <c r="C41" s="466">
        <v>36903</v>
      </c>
      <c r="D41" s="466">
        <v>786</v>
      </c>
      <c r="E41" s="466"/>
      <c r="F41" s="466"/>
      <c r="G41" s="466"/>
      <c r="H41" s="466"/>
      <c r="I41" s="467"/>
      <c r="J41" s="467"/>
      <c r="K41" s="1693">
        <f t="shared" si="2"/>
        <v>37689</v>
      </c>
      <c r="L41" s="466">
        <v>12550</v>
      </c>
    </row>
    <row r="42" spans="1:14" ht="12.75" customHeight="1" thickBot="1" x14ac:dyDescent="0.25">
      <c r="A42" s="1690" t="s">
        <v>581</v>
      </c>
      <c r="B42" s="1691" t="s">
        <v>740</v>
      </c>
      <c r="C42" s="1692">
        <f>SUM(C36:C41)</f>
        <v>160340</v>
      </c>
      <c r="D42" s="1692">
        <f t="shared" ref="D42:L42" si="3">SUM(D36:D41)</f>
        <v>14641</v>
      </c>
      <c r="E42" s="1692">
        <f t="shared" si="3"/>
        <v>0</v>
      </c>
      <c r="F42" s="1692">
        <f t="shared" si="3"/>
        <v>1555</v>
      </c>
      <c r="G42" s="1692">
        <f t="shared" si="3"/>
        <v>0</v>
      </c>
      <c r="H42" s="1692">
        <f t="shared" si="3"/>
        <v>0</v>
      </c>
      <c r="I42" s="1692">
        <f t="shared" si="3"/>
        <v>0</v>
      </c>
      <c r="J42" s="1692">
        <f t="shared" si="3"/>
        <v>0</v>
      </c>
      <c r="K42" s="1692">
        <f t="shared" si="3"/>
        <v>176536</v>
      </c>
      <c r="L42" s="1692">
        <f t="shared" si="3"/>
        <v>147154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36349</v>
      </c>
      <c r="D44" s="481">
        <v>16565</v>
      </c>
      <c r="E44" s="481">
        <v>20714</v>
      </c>
      <c r="F44" s="481">
        <v>18875</v>
      </c>
      <c r="G44" s="481">
        <v>6667</v>
      </c>
      <c r="H44" s="481"/>
      <c r="I44" s="467">
        <v>409</v>
      </c>
      <c r="J44" s="467"/>
      <c r="K44" s="1694">
        <f>SUM(C44:J44)</f>
        <v>99579</v>
      </c>
      <c r="L44" s="481">
        <v>46550</v>
      </c>
    </row>
    <row r="45" spans="1:14" x14ac:dyDescent="0.2">
      <c r="A45" s="1526" t="s">
        <v>869</v>
      </c>
      <c r="B45" s="615">
        <v>2220</v>
      </c>
      <c r="C45" s="466"/>
      <c r="D45" s="466"/>
      <c r="E45" s="466"/>
      <c r="F45" s="466">
        <v>16673</v>
      </c>
      <c r="G45" s="466"/>
      <c r="H45" s="466"/>
      <c r="I45" s="467"/>
      <c r="J45" s="467"/>
      <c r="K45" s="1694">
        <f>SUM(C45:J45)</f>
        <v>16673</v>
      </c>
      <c r="L45" s="466">
        <v>44800</v>
      </c>
    </row>
    <row r="46" spans="1:14" x14ac:dyDescent="0.2">
      <c r="A46" s="1526" t="s">
        <v>870</v>
      </c>
      <c r="B46" s="615">
        <v>2230</v>
      </c>
      <c r="C46" s="466"/>
      <c r="D46" s="466"/>
      <c r="E46" s="466"/>
      <c r="F46" s="466"/>
      <c r="G46" s="466"/>
      <c r="H46" s="466"/>
      <c r="I46" s="467"/>
      <c r="J46" s="467"/>
      <c r="K46" s="1694">
        <f>SUM(C46:J46)</f>
        <v>0</v>
      </c>
      <c r="L46" s="466">
        <v>16000</v>
      </c>
    </row>
    <row r="47" spans="1:14" ht="12.75" customHeight="1" thickBot="1" x14ac:dyDescent="0.25">
      <c r="A47" s="1690" t="s">
        <v>582</v>
      </c>
      <c r="B47" s="1691" t="s">
        <v>32</v>
      </c>
      <c r="C47" s="1692">
        <f>SUM(C44:C46)</f>
        <v>36349</v>
      </c>
      <c r="D47" s="1692">
        <f t="shared" ref="D47:K47" si="4">SUM(D44:D46)</f>
        <v>16565</v>
      </c>
      <c r="E47" s="1692">
        <f t="shared" si="4"/>
        <v>20714</v>
      </c>
      <c r="F47" s="1692">
        <f t="shared" si="4"/>
        <v>35548</v>
      </c>
      <c r="G47" s="1692">
        <f t="shared" si="4"/>
        <v>6667</v>
      </c>
      <c r="H47" s="1692">
        <f t="shared" si="4"/>
        <v>0</v>
      </c>
      <c r="I47" s="1692">
        <f t="shared" si="4"/>
        <v>409</v>
      </c>
      <c r="J47" s="1692">
        <f t="shared" si="4"/>
        <v>0</v>
      </c>
      <c r="K47" s="1692">
        <f t="shared" si="4"/>
        <v>116252</v>
      </c>
      <c r="L47" s="1692">
        <f>SUM(L44:L46)</f>
        <v>107350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30226</v>
      </c>
      <c r="F49" s="481">
        <v>10</v>
      </c>
      <c r="G49" s="481"/>
      <c r="H49" s="481">
        <v>3168</v>
      </c>
      <c r="I49" s="467"/>
      <c r="J49" s="467"/>
      <c r="K49" s="1694">
        <f>SUM(C49:J49)</f>
        <v>33404</v>
      </c>
      <c r="L49" s="481">
        <v>83200</v>
      </c>
    </row>
    <row r="50" spans="1:14" x14ac:dyDescent="0.2">
      <c r="A50" s="1526" t="s">
        <v>872</v>
      </c>
      <c r="B50" s="615">
        <v>2320</v>
      </c>
      <c r="C50" s="466">
        <v>296622</v>
      </c>
      <c r="D50" s="466">
        <v>40611</v>
      </c>
      <c r="E50" s="466">
        <v>31461</v>
      </c>
      <c r="F50" s="466">
        <v>14137</v>
      </c>
      <c r="G50" s="466"/>
      <c r="H50" s="466">
        <v>28039</v>
      </c>
      <c r="I50" s="467"/>
      <c r="J50" s="467"/>
      <c r="K50" s="1694">
        <f>SUM(C50:J50)</f>
        <v>410870</v>
      </c>
      <c r="L50" s="466">
        <v>414850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296622</v>
      </c>
      <c r="D53" s="1692">
        <f t="shared" ref="D53:L53" si="5">SUM(D49:D52)</f>
        <v>40611</v>
      </c>
      <c r="E53" s="1692">
        <f t="shared" si="5"/>
        <v>61687</v>
      </c>
      <c r="F53" s="1692">
        <f t="shared" si="5"/>
        <v>14147</v>
      </c>
      <c r="G53" s="1692">
        <f t="shared" si="5"/>
        <v>0</v>
      </c>
      <c r="H53" s="1692">
        <f t="shared" si="5"/>
        <v>31207</v>
      </c>
      <c r="I53" s="1692">
        <f t="shared" si="5"/>
        <v>0</v>
      </c>
      <c r="J53" s="1692">
        <f t="shared" si="5"/>
        <v>0</v>
      </c>
      <c r="K53" s="1692">
        <f t="shared" si="5"/>
        <v>444274</v>
      </c>
      <c r="L53" s="1692">
        <f t="shared" si="5"/>
        <v>498050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349322</v>
      </c>
      <c r="D55" s="481">
        <v>60027</v>
      </c>
      <c r="E55" s="481">
        <v>34915</v>
      </c>
      <c r="F55" s="481">
        <v>9724</v>
      </c>
      <c r="G55" s="481"/>
      <c r="H55" s="481"/>
      <c r="I55" s="467"/>
      <c r="J55" s="467"/>
      <c r="K55" s="1694">
        <f>SUM(C55:J55)</f>
        <v>453988</v>
      </c>
      <c r="L55" s="481">
        <v>456890</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349322</v>
      </c>
      <c r="D57" s="1696">
        <f t="shared" ref="D57:K57" si="6">SUM(D55:D56)</f>
        <v>60027</v>
      </c>
      <c r="E57" s="1696">
        <f t="shared" si="6"/>
        <v>34915</v>
      </c>
      <c r="F57" s="1696">
        <f t="shared" si="6"/>
        <v>9724</v>
      </c>
      <c r="G57" s="1696">
        <f t="shared" si="6"/>
        <v>0</v>
      </c>
      <c r="H57" s="1696">
        <f t="shared" si="6"/>
        <v>0</v>
      </c>
      <c r="I57" s="1696">
        <f t="shared" si="6"/>
        <v>0</v>
      </c>
      <c r="J57" s="1696">
        <f t="shared" si="6"/>
        <v>0</v>
      </c>
      <c r="K57" s="1696">
        <f t="shared" si="6"/>
        <v>453988</v>
      </c>
      <c r="L57" s="1692">
        <f>SUM(L55:L56)</f>
        <v>456890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64451</v>
      </c>
      <c r="D59" s="481">
        <v>4759</v>
      </c>
      <c r="E59" s="481"/>
      <c r="F59" s="481">
        <v>2001</v>
      </c>
      <c r="G59" s="481"/>
      <c r="H59" s="481"/>
      <c r="I59" s="467"/>
      <c r="J59" s="467"/>
      <c r="K59" s="1694">
        <f t="shared" ref="K59:K64" si="7">SUM(C59:J59)</f>
        <v>71211</v>
      </c>
      <c r="L59" s="481">
        <v>71484</v>
      </c>
      <c r="M59" s="610"/>
      <c r="N59" s="610"/>
    </row>
    <row r="60" spans="1:14" s="343" customFormat="1" x14ac:dyDescent="0.2">
      <c r="A60" s="1526" t="s">
        <v>483</v>
      </c>
      <c r="B60" s="615">
        <v>2520</v>
      </c>
      <c r="C60" s="466"/>
      <c r="D60" s="466"/>
      <c r="E60" s="466"/>
      <c r="F60" s="466"/>
      <c r="G60" s="466"/>
      <c r="H60" s="466"/>
      <c r="I60" s="467"/>
      <c r="J60" s="467"/>
      <c r="K60" s="1694">
        <f t="shared" si="7"/>
        <v>0</v>
      </c>
      <c r="L60" s="466">
        <v>0</v>
      </c>
      <c r="M60" s="610"/>
      <c r="N60" s="610"/>
    </row>
    <row r="61" spans="1:14" s="343" customFormat="1" x14ac:dyDescent="0.2">
      <c r="A61" s="1526" t="s">
        <v>206</v>
      </c>
      <c r="B61" s="615">
        <v>2540</v>
      </c>
      <c r="C61" s="466">
        <v>57935</v>
      </c>
      <c r="D61" s="466">
        <v>34</v>
      </c>
      <c r="E61" s="466">
        <v>339222</v>
      </c>
      <c r="F61" s="466">
        <v>1031</v>
      </c>
      <c r="G61" s="466"/>
      <c r="H61" s="466"/>
      <c r="I61" s="467"/>
      <c r="J61" s="467"/>
      <c r="K61" s="1694">
        <f t="shared" si="7"/>
        <v>398222</v>
      </c>
      <c r="L61" s="466">
        <v>397109</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136297</v>
      </c>
      <c r="D63" s="466">
        <v>22787</v>
      </c>
      <c r="E63" s="466">
        <v>135</v>
      </c>
      <c r="F63" s="466">
        <v>211066</v>
      </c>
      <c r="G63" s="466"/>
      <c r="H63" s="466">
        <v>270</v>
      </c>
      <c r="I63" s="467"/>
      <c r="J63" s="467"/>
      <c r="K63" s="1694">
        <f t="shared" si="7"/>
        <v>370555</v>
      </c>
      <c r="L63" s="466">
        <v>442050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258683</v>
      </c>
      <c r="D65" s="1692">
        <f t="shared" ref="D65:L65" si="8">SUM(D59:D64)</f>
        <v>27580</v>
      </c>
      <c r="E65" s="1692">
        <f t="shared" si="8"/>
        <v>339357</v>
      </c>
      <c r="F65" s="1692">
        <f t="shared" si="8"/>
        <v>214098</v>
      </c>
      <c r="G65" s="1692">
        <f t="shared" si="8"/>
        <v>0</v>
      </c>
      <c r="H65" s="1692">
        <f t="shared" si="8"/>
        <v>270</v>
      </c>
      <c r="I65" s="1692">
        <f t="shared" si="8"/>
        <v>0</v>
      </c>
      <c r="J65" s="1692">
        <f t="shared" si="8"/>
        <v>0</v>
      </c>
      <c r="K65" s="1692">
        <f t="shared" si="8"/>
        <v>839988</v>
      </c>
      <c r="L65" s="1692">
        <f t="shared" si="8"/>
        <v>910643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v>898</v>
      </c>
      <c r="F68" s="466">
        <v>5880</v>
      </c>
      <c r="G68" s="466">
        <v>12798</v>
      </c>
      <c r="H68" s="466"/>
      <c r="I68" s="467"/>
      <c r="J68" s="467"/>
      <c r="K68" s="1694">
        <f>SUM(C68:J68)</f>
        <v>19576</v>
      </c>
      <c r="L68" s="466">
        <v>25000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80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898</v>
      </c>
      <c r="F72" s="1692">
        <f t="shared" si="9"/>
        <v>5880</v>
      </c>
      <c r="G72" s="1692">
        <f t="shared" si="9"/>
        <v>12798</v>
      </c>
      <c r="H72" s="1692">
        <f t="shared" si="9"/>
        <v>0</v>
      </c>
      <c r="I72" s="1692">
        <f t="shared" si="9"/>
        <v>0</v>
      </c>
      <c r="J72" s="1692">
        <f t="shared" si="9"/>
        <v>0</v>
      </c>
      <c r="K72" s="1692">
        <f t="shared" si="9"/>
        <v>19576</v>
      </c>
      <c r="L72" s="1692">
        <f>SUM(L67:L71)</f>
        <v>25080</v>
      </c>
      <c r="M72" s="610"/>
      <c r="N72" s="610"/>
    </row>
    <row r="73" spans="1:14" s="343" customFormat="1" ht="14.25" thickTop="1" thickBot="1" x14ac:dyDescent="0.25">
      <c r="A73" s="1532" t="s">
        <v>1037</v>
      </c>
      <c r="B73" s="633" t="s">
        <v>595</v>
      </c>
      <c r="C73" s="573">
        <v>7442</v>
      </c>
      <c r="D73" s="573"/>
      <c r="E73" s="573"/>
      <c r="F73" s="573">
        <v>988</v>
      </c>
      <c r="G73" s="573"/>
      <c r="H73" s="573"/>
      <c r="I73" s="531"/>
      <c r="J73" s="531"/>
      <c r="K73" s="1692">
        <f>SUM(C73:J73)</f>
        <v>8430</v>
      </c>
      <c r="L73" s="576">
        <v>6700</v>
      </c>
      <c r="M73" s="610"/>
      <c r="N73" s="610"/>
    </row>
    <row r="74" spans="1:14" ht="12.75" customHeight="1" thickTop="1" thickBot="1" x14ac:dyDescent="0.25">
      <c r="A74" s="1690" t="s">
        <v>865</v>
      </c>
      <c r="B74" s="1698">
        <v>2000</v>
      </c>
      <c r="C74" s="1699">
        <f>SUM(C42,C47,C53,C57,C65,C72,C73)</f>
        <v>1108758</v>
      </c>
      <c r="D74" s="1699">
        <f t="shared" ref="D74:K74" si="10">SUM(D42,D47,D53,D57,D65,D72,D73)</f>
        <v>159424</v>
      </c>
      <c r="E74" s="1699">
        <f t="shared" si="10"/>
        <v>457571</v>
      </c>
      <c r="F74" s="1699">
        <f t="shared" si="10"/>
        <v>281940</v>
      </c>
      <c r="G74" s="1699">
        <f t="shared" si="10"/>
        <v>19465</v>
      </c>
      <c r="H74" s="1699">
        <f t="shared" si="10"/>
        <v>31477</v>
      </c>
      <c r="I74" s="1699">
        <f t="shared" si="10"/>
        <v>409</v>
      </c>
      <c r="J74" s="1699">
        <f t="shared" si="10"/>
        <v>0</v>
      </c>
      <c r="K74" s="1699">
        <f t="shared" si="10"/>
        <v>2059044</v>
      </c>
      <c r="L74" s="1699">
        <f>SUM(L42,L47,L53,L57,L65,L72,L73)</f>
        <v>2151867</v>
      </c>
    </row>
    <row r="75" spans="1:14" s="259" customFormat="1" ht="15.75" customHeight="1" thickTop="1" thickBot="1" x14ac:dyDescent="0.25">
      <c r="A75" s="1632" t="s">
        <v>49</v>
      </c>
      <c r="B75" s="1633" t="s">
        <v>596</v>
      </c>
      <c r="C75" s="573">
        <v>1500</v>
      </c>
      <c r="D75" s="573"/>
      <c r="E75" s="573"/>
      <c r="F75" s="573">
        <v>2335</v>
      </c>
      <c r="G75" s="573"/>
      <c r="H75" s="573"/>
      <c r="I75" s="531"/>
      <c r="J75" s="531"/>
      <c r="K75" s="1692">
        <f>SUM(C75:J75)</f>
        <v>3835</v>
      </c>
      <c r="L75" s="576">
        <v>4050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235722</v>
      </c>
      <c r="F79" s="617"/>
      <c r="G79" s="617"/>
      <c r="H79" s="466"/>
      <c r="I79" s="477"/>
      <c r="J79" s="477"/>
      <c r="K79" s="1693">
        <f t="shared" si="11"/>
        <v>235722</v>
      </c>
      <c r="L79" s="466">
        <v>320000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1564</v>
      </c>
      <c r="B84" s="1700">
        <v>4100</v>
      </c>
      <c r="C84" s="617"/>
      <c r="D84" s="617"/>
      <c r="E84" s="1692">
        <f>SUM(E78:E83)</f>
        <v>235722</v>
      </c>
      <c r="F84" s="617"/>
      <c r="G84" s="617"/>
      <c r="H84" s="1692">
        <f>SUM(H78:H83)</f>
        <v>0</v>
      </c>
      <c r="I84" s="477"/>
      <c r="J84" s="477"/>
      <c r="K84" s="1692">
        <f>SUM(K78:K83)</f>
        <v>235722</v>
      </c>
      <c r="L84" s="1692">
        <f>SUM(L78:L83)</f>
        <v>320000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1567</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1566</v>
      </c>
      <c r="B102" s="1700">
        <v>4000</v>
      </c>
      <c r="C102" s="617"/>
      <c r="D102" s="617"/>
      <c r="E102" s="1699">
        <f>SUM(E84,E92,E100,E101)</f>
        <v>235722</v>
      </c>
      <c r="F102" s="617"/>
      <c r="G102" s="617"/>
      <c r="H102" s="1699">
        <f>SUM(H84,H92,H100,H101)</f>
        <v>0</v>
      </c>
      <c r="I102" s="477"/>
      <c r="J102" s="477"/>
      <c r="K102" s="1699">
        <f>SUM(K84,K92,K100,K101)</f>
        <v>235722</v>
      </c>
      <c r="L102" s="1699">
        <f>SUM(L84,L92,L100,L101)</f>
        <v>320000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5858942</v>
      </c>
      <c r="D114" s="1692">
        <f t="shared" ref="D114:K114" si="13">SUM(D33,D74,D75,D102,D112,D113)</f>
        <v>1068083</v>
      </c>
      <c r="E114" s="1692">
        <f t="shared" si="13"/>
        <v>702922</v>
      </c>
      <c r="F114" s="1692">
        <f t="shared" si="13"/>
        <v>341567</v>
      </c>
      <c r="G114" s="1692">
        <f t="shared" si="13"/>
        <v>21115</v>
      </c>
      <c r="H114" s="1692">
        <f>SUM(H33,H74,H75,H102,H112,H113)</f>
        <v>35527</v>
      </c>
      <c r="I114" s="1692">
        <f t="shared" si="13"/>
        <v>781</v>
      </c>
      <c r="J114" s="1692">
        <f t="shared" si="13"/>
        <v>0</v>
      </c>
      <c r="K114" s="1692">
        <f t="shared" si="13"/>
        <v>8028937</v>
      </c>
      <c r="L114" s="1692">
        <f>SUM(L33,L74,L75,L102,L112,L113)</f>
        <v>8467093</v>
      </c>
    </row>
    <row r="115" spans="1:14" ht="13.5" thickTop="1" x14ac:dyDescent="0.2">
      <c r="A115" s="2179" t="s">
        <v>1053</v>
      </c>
      <c r="B115" s="2180"/>
      <c r="C115" s="619"/>
      <c r="D115" s="619"/>
      <c r="E115" s="619"/>
      <c r="F115" s="619"/>
      <c r="G115" s="619"/>
      <c r="H115" s="619"/>
      <c r="I115" s="619"/>
      <c r="J115" s="619"/>
      <c r="K115" s="1706">
        <f>'Revenues 9-14'!C275-'Expenditures 15-22'!K114</f>
        <v>981451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c r="D124" s="466"/>
      <c r="E124" s="466">
        <v>160500</v>
      </c>
      <c r="F124" s="466">
        <v>208159</v>
      </c>
      <c r="G124" s="466">
        <v>65196</v>
      </c>
      <c r="H124" s="466"/>
      <c r="I124" s="467">
        <v>4142</v>
      </c>
      <c r="J124" s="467"/>
      <c r="K124" s="1692">
        <f>SUM(C124:J124)</f>
        <v>437997</v>
      </c>
      <c r="L124" s="466">
        <v>283800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0</v>
      </c>
      <c r="D127" s="1692">
        <f t="shared" ref="D127:L127" si="14">SUM(D122:D126)</f>
        <v>0</v>
      </c>
      <c r="E127" s="1692">
        <f t="shared" si="14"/>
        <v>160500</v>
      </c>
      <c r="F127" s="1692">
        <f t="shared" si="14"/>
        <v>208159</v>
      </c>
      <c r="G127" s="1692">
        <f t="shared" si="14"/>
        <v>65196</v>
      </c>
      <c r="H127" s="1692">
        <f t="shared" si="14"/>
        <v>0</v>
      </c>
      <c r="I127" s="1692">
        <f t="shared" si="14"/>
        <v>4142</v>
      </c>
      <c r="J127" s="1692">
        <f t="shared" si="14"/>
        <v>0</v>
      </c>
      <c r="K127" s="1692">
        <f t="shared" si="14"/>
        <v>437997</v>
      </c>
      <c r="L127" s="1692">
        <f t="shared" si="14"/>
        <v>283800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0</v>
      </c>
      <c r="D129" s="1699">
        <f t="shared" ref="D129:L129" si="15">SUM(D120,D127,D128)</f>
        <v>0</v>
      </c>
      <c r="E129" s="1699">
        <f t="shared" si="15"/>
        <v>160500</v>
      </c>
      <c r="F129" s="1699">
        <f t="shared" si="15"/>
        <v>208159</v>
      </c>
      <c r="G129" s="1699">
        <f t="shared" si="15"/>
        <v>65196</v>
      </c>
      <c r="H129" s="1699">
        <f t="shared" si="15"/>
        <v>0</v>
      </c>
      <c r="I129" s="1699">
        <f t="shared" si="15"/>
        <v>4142</v>
      </c>
      <c r="J129" s="1699">
        <f t="shared" si="15"/>
        <v>0</v>
      </c>
      <c r="K129" s="1699">
        <f t="shared" si="15"/>
        <v>437997</v>
      </c>
      <c r="L129" s="1699">
        <f t="shared" si="15"/>
        <v>283800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1952</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6" t="s">
        <v>641</v>
      </c>
      <c r="B151" s="2176"/>
      <c r="C151" s="1692">
        <f>SUM(C129,C130,C139,C149,C150)</f>
        <v>0</v>
      </c>
      <c r="D151" s="1692">
        <f t="shared" ref="D151:K151" si="16">SUM(D129,D130,D139,D149,D150)</f>
        <v>0</v>
      </c>
      <c r="E151" s="1692">
        <f t="shared" si="16"/>
        <v>160500</v>
      </c>
      <c r="F151" s="1692">
        <f t="shared" si="16"/>
        <v>208159</v>
      </c>
      <c r="G151" s="1692">
        <f t="shared" si="16"/>
        <v>65196</v>
      </c>
      <c r="H151" s="1692">
        <f t="shared" si="16"/>
        <v>0</v>
      </c>
      <c r="I151" s="1692">
        <f t="shared" si="16"/>
        <v>4142</v>
      </c>
      <c r="J151" s="1692">
        <f t="shared" si="16"/>
        <v>0</v>
      </c>
      <c r="K151" s="1692">
        <f t="shared" si="16"/>
        <v>437997</v>
      </c>
      <c r="L151" s="1692">
        <f>SUM(L129,L130,L139,L149,L150)</f>
        <v>283800</v>
      </c>
    </row>
    <row r="152" spans="1:14" ht="12.75" customHeight="1" thickTop="1" x14ac:dyDescent="0.2">
      <c r="A152" s="2199" t="s">
        <v>1240</v>
      </c>
      <c r="B152" s="2200"/>
      <c r="C152" s="619"/>
      <c r="D152" s="619"/>
      <c r="E152" s="619"/>
      <c r="F152" s="619"/>
      <c r="G152" s="619"/>
      <c r="H152" s="619"/>
      <c r="I152" s="619"/>
      <c r="J152" s="617"/>
      <c r="K152" s="1706">
        <f>'Revenues 9-14'!D275-'Expenditures 15-22'!K151</f>
        <v>-139137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1953</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1952</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1954</v>
      </c>
      <c r="C158" s="617"/>
      <c r="D158" s="617"/>
      <c r="E158" s="617"/>
      <c r="F158" s="617"/>
      <c r="G158" s="617"/>
      <c r="H158" s="467"/>
      <c r="I158" s="617"/>
      <c r="J158" s="617"/>
      <c r="K158" s="1693">
        <f>H158</f>
        <v>0</v>
      </c>
      <c r="L158" s="467">
        <v>0</v>
      </c>
      <c r="M158" s="620"/>
      <c r="N158" s="620"/>
    </row>
    <row r="159" spans="1:14" s="621" customFormat="1" ht="12" x14ac:dyDescent="0.2">
      <c r="A159" s="1849" t="s">
        <v>1955</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1956</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87461</v>
      </c>
      <c r="I169" s="617"/>
      <c r="J169" s="617"/>
      <c r="K169" s="1693">
        <f>SUM(C169:H169)</f>
        <v>87461</v>
      </c>
      <c r="L169" s="657">
        <v>221039</v>
      </c>
    </row>
    <row r="170" spans="1:14" ht="33.75" customHeight="1" x14ac:dyDescent="0.2">
      <c r="A170" s="670" t="s">
        <v>1768</v>
      </c>
      <c r="B170" s="672" t="s">
        <v>31</v>
      </c>
      <c r="C170" s="617"/>
      <c r="D170" s="617"/>
      <c r="E170" s="617"/>
      <c r="F170" s="617"/>
      <c r="G170" s="617"/>
      <c r="H170" s="569">
        <v>132539</v>
      </c>
      <c r="I170" s="617"/>
      <c r="J170" s="617"/>
      <c r="K170" s="1693">
        <f>SUM(C170:J170)</f>
        <v>132539</v>
      </c>
      <c r="L170" s="569">
        <v>0</v>
      </c>
    </row>
    <row r="171" spans="1:14" ht="15.75" customHeight="1" x14ac:dyDescent="0.2">
      <c r="A171" s="622" t="s">
        <v>790</v>
      </c>
      <c r="B171" s="673" t="s">
        <v>86</v>
      </c>
      <c r="C171" s="617"/>
      <c r="D171" s="617"/>
      <c r="E171" s="466"/>
      <c r="F171" s="617"/>
      <c r="G171" s="617"/>
      <c r="H171" s="569">
        <v>500</v>
      </c>
      <c r="I171" s="477"/>
      <c r="J171" s="617"/>
      <c r="K171" s="1693">
        <f>SUM(C171:J171)</f>
        <v>500</v>
      </c>
      <c r="L171" s="569">
        <v>0</v>
      </c>
    </row>
    <row r="172" spans="1:14" ht="12.75" customHeight="1" thickBot="1" x14ac:dyDescent="0.25">
      <c r="A172" s="1690" t="s">
        <v>659</v>
      </c>
      <c r="B172" s="1691" t="s">
        <v>513</v>
      </c>
      <c r="C172" s="617"/>
      <c r="D172" s="617"/>
      <c r="E172" s="1699">
        <f>SUM(E168,E169,E170,E171)</f>
        <v>0</v>
      </c>
      <c r="F172" s="617"/>
      <c r="G172" s="617"/>
      <c r="H172" s="1699">
        <f>SUM(H168,H169,H170,H171)</f>
        <v>220500</v>
      </c>
      <c r="I172" s="639"/>
      <c r="J172" s="617"/>
      <c r="K172" s="1699">
        <f>SUM(K168,K169,K170,K171)</f>
        <v>220500</v>
      </c>
      <c r="L172" s="1699">
        <f>SUM(L168,L169,L170,L171)</f>
        <v>221039</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220500</v>
      </c>
      <c r="I174" s="639"/>
      <c r="J174" s="617"/>
      <c r="K174" s="1699">
        <f>SUM(K160,K172,K173)</f>
        <v>220500</v>
      </c>
      <c r="L174" s="1699">
        <f>SUM(L160,L172,L173)</f>
        <v>221039</v>
      </c>
    </row>
    <row r="175" spans="1:14" ht="13.5" thickTop="1" x14ac:dyDescent="0.2">
      <c r="A175" s="2179" t="s">
        <v>1053</v>
      </c>
      <c r="B175" s="2180"/>
      <c r="C175" s="617"/>
      <c r="D175" s="617"/>
      <c r="E175" s="617"/>
      <c r="F175" s="617"/>
      <c r="G175" s="617"/>
      <c r="H175" s="619"/>
      <c r="I175" s="617"/>
      <c r="J175" s="617"/>
      <c r="K175" s="1706">
        <f>'Revenues 9-14'!E275-'Expenditures 15-22'!K174</f>
        <v>-4556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5977</v>
      </c>
      <c r="D182" s="466"/>
      <c r="E182" s="466">
        <v>476438</v>
      </c>
      <c r="F182" s="466"/>
      <c r="G182" s="466"/>
      <c r="H182" s="466"/>
      <c r="I182" s="467"/>
      <c r="J182" s="467"/>
      <c r="K182" s="1693">
        <f>SUM(C182:J182)</f>
        <v>482415</v>
      </c>
      <c r="L182" s="466">
        <v>450500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5977</v>
      </c>
      <c r="D184" s="1699">
        <f t="shared" ref="D184:J184" si="17">SUM(D180,D182,D183)</f>
        <v>0</v>
      </c>
      <c r="E184" s="1699">
        <f t="shared" si="17"/>
        <v>476438</v>
      </c>
      <c r="F184" s="1699">
        <f t="shared" si="17"/>
        <v>0</v>
      </c>
      <c r="G184" s="1699">
        <f t="shared" si="17"/>
        <v>0</v>
      </c>
      <c r="H184" s="1699">
        <f t="shared" si="17"/>
        <v>0</v>
      </c>
      <c r="I184" s="1699">
        <f t="shared" si="17"/>
        <v>0</v>
      </c>
      <c r="J184" s="1699">
        <f t="shared" si="17"/>
        <v>0</v>
      </c>
      <c r="K184" s="1699">
        <f>SUM(K180,K182,K183)</f>
        <v>482415</v>
      </c>
      <c r="L184" s="1699">
        <f>SUM(L180, L182:L183)</f>
        <v>450500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1566</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1769</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5977</v>
      </c>
      <c r="D210" s="1692">
        <f>SUM(D184,D185)</f>
        <v>0</v>
      </c>
      <c r="E210" s="1692">
        <f>SUM(E184,E185,E196)</f>
        <v>476438</v>
      </c>
      <c r="F210" s="1692">
        <f>SUM(F184,F185)</f>
        <v>0</v>
      </c>
      <c r="G210" s="1692">
        <f>SUM(G184,G185)</f>
        <v>0</v>
      </c>
      <c r="H210" s="1692">
        <f>SUM(H184,H185,H196,H208,H209)</f>
        <v>0</v>
      </c>
      <c r="I210" s="1692">
        <f>SUM(I184,I185)</f>
        <v>0</v>
      </c>
      <c r="J210" s="1692">
        <f>SUM(J184,J185)</f>
        <v>0</v>
      </c>
      <c r="K210" s="1693">
        <f>SUM(K184,K185,K196,K208,K209)</f>
        <v>482415</v>
      </c>
      <c r="L210" s="1692">
        <f>SUM(L184,L185,L196,L208,L209)</f>
        <v>450500</v>
      </c>
    </row>
    <row r="211" spans="1:14" ht="13.5" thickTop="1" x14ac:dyDescent="0.2">
      <c r="A211" s="2179" t="s">
        <v>1053</v>
      </c>
      <c r="B211" s="2180"/>
      <c r="C211" s="619"/>
      <c r="D211" s="619"/>
      <c r="E211" s="619"/>
      <c r="F211" s="619"/>
      <c r="G211" s="619"/>
      <c r="H211" s="619"/>
      <c r="I211" s="617"/>
      <c r="J211" s="617"/>
      <c r="K211" s="1706">
        <f>'Revenues 9-14'!F275-'Expenditures 15-22'!K210</f>
        <v>81309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45195</v>
      </c>
      <c r="E215" s="617"/>
      <c r="F215" s="617"/>
      <c r="G215" s="617"/>
      <c r="H215" s="617"/>
      <c r="I215" s="617"/>
      <c r="J215" s="617"/>
      <c r="K215" s="1693">
        <f>D215</f>
        <v>45195</v>
      </c>
      <c r="L215" s="466">
        <v>46600</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89158</v>
      </c>
      <c r="E217" s="617"/>
      <c r="F217" s="617"/>
      <c r="G217" s="617"/>
      <c r="H217" s="617"/>
      <c r="I217" s="617"/>
      <c r="J217" s="617"/>
      <c r="K217" s="1693">
        <f t="shared" si="19"/>
        <v>89158</v>
      </c>
      <c r="L217" s="466">
        <v>88800</v>
      </c>
    </row>
    <row r="218" spans="1:14" x14ac:dyDescent="0.2">
      <c r="A218" s="1526" t="s">
        <v>296</v>
      </c>
      <c r="B218" s="615" t="s">
        <v>1025</v>
      </c>
      <c r="C218" s="617"/>
      <c r="D218" s="467">
        <v>6265</v>
      </c>
      <c r="E218" s="617"/>
      <c r="F218" s="617"/>
      <c r="G218" s="617"/>
      <c r="H218" s="617"/>
      <c r="I218" s="617"/>
      <c r="J218" s="617"/>
      <c r="K218" s="1693">
        <f t="shared" si="19"/>
        <v>6265</v>
      </c>
      <c r="L218" s="466">
        <v>12100</v>
      </c>
    </row>
    <row r="219" spans="1:14" x14ac:dyDescent="0.2">
      <c r="A219" s="1526" t="s">
        <v>297</v>
      </c>
      <c r="B219" s="615">
        <v>1250</v>
      </c>
      <c r="C219" s="617"/>
      <c r="D219" s="466">
        <v>54826</v>
      </c>
      <c r="E219" s="617"/>
      <c r="F219" s="617"/>
      <c r="G219" s="617"/>
      <c r="H219" s="617"/>
      <c r="I219" s="617"/>
      <c r="J219" s="617"/>
      <c r="K219" s="1693">
        <f t="shared" si="19"/>
        <v>54826</v>
      </c>
      <c r="L219" s="466">
        <v>57950</v>
      </c>
    </row>
    <row r="220" spans="1:14" x14ac:dyDescent="0.2">
      <c r="A220" s="1526" t="s">
        <v>298</v>
      </c>
      <c r="B220" s="615" t="s">
        <v>163</v>
      </c>
      <c r="C220" s="617"/>
      <c r="D220" s="467">
        <v>11</v>
      </c>
      <c r="E220" s="617"/>
      <c r="F220" s="617"/>
      <c r="G220" s="617"/>
      <c r="H220" s="617"/>
      <c r="I220" s="617"/>
      <c r="J220" s="617"/>
      <c r="K220" s="1693">
        <f t="shared" si="19"/>
        <v>11</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v>1383</v>
      </c>
      <c r="E223" s="617"/>
      <c r="F223" s="617"/>
      <c r="G223" s="617"/>
      <c r="H223" s="617"/>
      <c r="I223" s="617"/>
      <c r="J223" s="617"/>
      <c r="K223" s="1693">
        <f t="shared" si="19"/>
        <v>1383</v>
      </c>
      <c r="L223" s="466">
        <v>1865</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196838</v>
      </c>
      <c r="E229" s="617"/>
      <c r="F229" s="617"/>
      <c r="G229" s="617"/>
      <c r="H229" s="617"/>
      <c r="I229" s="617"/>
      <c r="J229" s="617"/>
      <c r="K229" s="1692">
        <f>SUM(K215:K228)</f>
        <v>196838</v>
      </c>
      <c r="L229" s="1692">
        <f>SUM(L215:L228)</f>
        <v>207315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v>7868</v>
      </c>
      <c r="E234" s="617"/>
      <c r="F234" s="617"/>
      <c r="G234" s="617"/>
      <c r="H234" s="617"/>
      <c r="I234" s="617"/>
      <c r="J234" s="617"/>
      <c r="K234" s="1693">
        <f t="shared" si="20"/>
        <v>7868</v>
      </c>
      <c r="L234" s="466">
        <v>9000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10</v>
      </c>
    </row>
    <row r="237" spans="1:12" x14ac:dyDescent="0.2">
      <c r="A237" s="1526" t="s">
        <v>167</v>
      </c>
      <c r="B237" s="615">
        <v>2190</v>
      </c>
      <c r="C237" s="617"/>
      <c r="D237" s="466">
        <v>11201</v>
      </c>
      <c r="E237" s="617"/>
      <c r="F237" s="617"/>
      <c r="G237" s="617"/>
      <c r="H237" s="617"/>
      <c r="I237" s="617"/>
      <c r="J237" s="617"/>
      <c r="K237" s="1693">
        <f t="shared" si="20"/>
        <v>11201</v>
      </c>
      <c r="L237" s="466">
        <v>9250</v>
      </c>
    </row>
    <row r="238" spans="1:12" ht="12.75" customHeight="1" thickBot="1" x14ac:dyDescent="0.25">
      <c r="A238" s="1690" t="s">
        <v>581</v>
      </c>
      <c r="B238" s="1697" t="s">
        <v>740</v>
      </c>
      <c r="C238" s="617"/>
      <c r="D238" s="1692">
        <f>SUM(D232:D237)</f>
        <v>19069</v>
      </c>
      <c r="E238" s="617"/>
      <c r="F238" s="617"/>
      <c r="G238" s="617"/>
      <c r="H238" s="617"/>
      <c r="I238" s="617"/>
      <c r="J238" s="617"/>
      <c r="K238" s="1692">
        <f>SUM(K232:K237)</f>
        <v>19069</v>
      </c>
      <c r="L238" s="1692">
        <f>SUM(L232:L237)</f>
        <v>18260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491</v>
      </c>
      <c r="E240" s="617"/>
      <c r="F240" s="617"/>
      <c r="G240" s="617"/>
      <c r="H240" s="617"/>
      <c r="I240" s="617"/>
      <c r="J240" s="617"/>
      <c r="K240" s="1694">
        <f>D240</f>
        <v>491</v>
      </c>
      <c r="L240" s="481">
        <v>150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491</v>
      </c>
      <c r="E243" s="617"/>
      <c r="F243" s="617"/>
      <c r="G243" s="617"/>
      <c r="H243" s="617"/>
      <c r="I243" s="617"/>
      <c r="J243" s="617"/>
      <c r="K243" s="1692">
        <f>SUM(K240:K242)</f>
        <v>491</v>
      </c>
      <c r="L243" s="1692">
        <f>SUM(L240:L242)</f>
        <v>150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v>34274</v>
      </c>
      <c r="E246" s="617"/>
      <c r="F246" s="617"/>
      <c r="G246" s="617"/>
      <c r="H246" s="617"/>
      <c r="I246" s="617"/>
      <c r="J246" s="617"/>
      <c r="K246" s="1694">
        <f t="shared" ref="K246:K256" si="21">D246</f>
        <v>34274</v>
      </c>
      <c r="L246" s="466">
        <v>36000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1903</v>
      </c>
      <c r="B249" s="684" t="s">
        <v>300</v>
      </c>
      <c r="C249" s="617"/>
      <c r="D249" s="474"/>
      <c r="E249" s="617"/>
      <c r="F249" s="617"/>
      <c r="G249" s="617"/>
      <c r="H249" s="617"/>
      <c r="I249" s="617"/>
      <c r="J249" s="617"/>
      <c r="K249" s="1694">
        <f t="shared" si="21"/>
        <v>0</v>
      </c>
      <c r="L249" s="466">
        <v>0</v>
      </c>
    </row>
    <row r="250" spans="1:12" x14ac:dyDescent="0.2">
      <c r="A250" s="1527" t="s">
        <v>1904</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34274</v>
      </c>
      <c r="E257" s="617"/>
      <c r="F257" s="617"/>
      <c r="G257" s="617"/>
      <c r="H257" s="617"/>
      <c r="I257" s="617"/>
      <c r="J257" s="617"/>
      <c r="K257" s="1692">
        <f>SUM(K245:K256)</f>
        <v>34274</v>
      </c>
      <c r="L257" s="1692">
        <f>SUM(L245:L256)</f>
        <v>36000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18648</v>
      </c>
      <c r="E259" s="617"/>
      <c r="F259" s="617"/>
      <c r="G259" s="617"/>
      <c r="H259" s="617"/>
      <c r="I259" s="617"/>
      <c r="J259" s="617"/>
      <c r="K259" s="1694">
        <f>D259</f>
        <v>18648</v>
      </c>
      <c r="L259" s="481">
        <v>19350</v>
      </c>
    </row>
    <row r="260" spans="1:14" s="598" customFormat="1" x14ac:dyDescent="0.2">
      <c r="A260" s="1544" t="s">
        <v>1902</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18648</v>
      </c>
      <c r="E261" s="617"/>
      <c r="F261" s="617"/>
      <c r="G261" s="617"/>
      <c r="H261" s="617"/>
      <c r="I261" s="617"/>
      <c r="J261" s="617"/>
      <c r="K261" s="1692">
        <f>SUM(K259:K260)</f>
        <v>18648</v>
      </c>
      <c r="L261" s="1692">
        <f>SUM(L259:L260)</f>
        <v>19350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12976</v>
      </c>
      <c r="E263" s="617"/>
      <c r="F263" s="617"/>
      <c r="G263" s="617"/>
      <c r="H263" s="617"/>
      <c r="I263" s="617"/>
      <c r="J263" s="617"/>
      <c r="K263" s="1694">
        <f>D263</f>
        <v>12976</v>
      </c>
      <c r="L263" s="481">
        <v>14400</v>
      </c>
    </row>
    <row r="264" spans="1:14" x14ac:dyDescent="0.2">
      <c r="A264" s="1526" t="s">
        <v>483</v>
      </c>
      <c r="B264" s="686">
        <v>2520</v>
      </c>
      <c r="C264" s="617"/>
      <c r="D264" s="466"/>
      <c r="E264" s="617"/>
      <c r="F264" s="617"/>
      <c r="G264" s="617"/>
      <c r="H264" s="617"/>
      <c r="I264" s="617"/>
      <c r="J264" s="617"/>
      <c r="K264" s="1694">
        <f t="shared" ref="K264:K269" si="22">D264</f>
        <v>0</v>
      </c>
      <c r="L264" s="466">
        <v>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11552</v>
      </c>
      <c r="E266" s="617"/>
      <c r="F266" s="617"/>
      <c r="G266" s="617"/>
      <c r="H266" s="617"/>
      <c r="I266" s="617"/>
      <c r="J266" s="617"/>
      <c r="K266" s="1694">
        <f t="shared" si="22"/>
        <v>11552</v>
      </c>
      <c r="L266" s="466">
        <v>12500</v>
      </c>
    </row>
    <row r="267" spans="1:14" x14ac:dyDescent="0.2">
      <c r="A267" s="1526" t="s">
        <v>1010</v>
      </c>
      <c r="B267" s="615">
        <v>2550</v>
      </c>
      <c r="C267" s="617"/>
      <c r="D267" s="466">
        <v>1230</v>
      </c>
      <c r="E267" s="617"/>
      <c r="F267" s="617"/>
      <c r="G267" s="617"/>
      <c r="H267" s="617"/>
      <c r="I267" s="617"/>
      <c r="J267" s="617"/>
      <c r="K267" s="1694">
        <f t="shared" si="22"/>
        <v>1230</v>
      </c>
      <c r="L267" s="466">
        <v>1200</v>
      </c>
    </row>
    <row r="268" spans="1:14" x14ac:dyDescent="0.2">
      <c r="A268" s="1526" t="s">
        <v>102</v>
      </c>
      <c r="B268" s="615">
        <v>2560</v>
      </c>
      <c r="C268" s="617"/>
      <c r="D268" s="466">
        <v>24862</v>
      </c>
      <c r="E268" s="617"/>
      <c r="F268" s="617"/>
      <c r="G268" s="617"/>
      <c r="H268" s="617"/>
      <c r="I268" s="617"/>
      <c r="J268" s="617"/>
      <c r="K268" s="1694">
        <f t="shared" si="22"/>
        <v>24862</v>
      </c>
      <c r="L268" s="466">
        <v>29800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50620</v>
      </c>
      <c r="E270" s="617"/>
      <c r="F270" s="617"/>
      <c r="G270" s="617"/>
      <c r="H270" s="617"/>
      <c r="I270" s="617"/>
      <c r="J270" s="617"/>
      <c r="K270" s="1692">
        <f>SUM(K263:K269)</f>
        <v>50620</v>
      </c>
      <c r="L270" s="1692">
        <f>SUM(L263:L269)</f>
        <v>57900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1531</v>
      </c>
      <c r="E278" s="617"/>
      <c r="F278" s="617"/>
      <c r="G278" s="617"/>
      <c r="H278" s="617"/>
      <c r="I278" s="617"/>
      <c r="J278" s="617"/>
      <c r="K278" s="1707">
        <f>D278</f>
        <v>1531</v>
      </c>
      <c r="L278" s="657">
        <v>1450</v>
      </c>
    </row>
    <row r="279" spans="1:12" ht="12.75" customHeight="1" thickBot="1" x14ac:dyDescent="0.25">
      <c r="A279" s="1720" t="s">
        <v>865</v>
      </c>
      <c r="B279" s="1703">
        <v>2000</v>
      </c>
      <c r="C279" s="617"/>
      <c r="D279" s="1699">
        <f>SUM(D238,D243,D257,D261,D270,D277,D278)</f>
        <v>124633</v>
      </c>
      <c r="E279" s="617"/>
      <c r="F279" s="617"/>
      <c r="G279" s="617"/>
      <c r="H279" s="617"/>
      <c r="I279" s="617"/>
      <c r="J279" s="617"/>
      <c r="K279" s="1699">
        <f>SUM(K238,K243,K257,K261,K270,K277,K278)</f>
        <v>124633</v>
      </c>
      <c r="L279" s="1699">
        <f>SUM(L238,L243,L257,L261,L270,L277,L278)</f>
        <v>133110</v>
      </c>
    </row>
    <row r="280" spans="1:12" ht="15.75" customHeight="1" thickTop="1" thickBot="1" x14ac:dyDescent="0.25">
      <c r="A280" s="1646" t="s">
        <v>930</v>
      </c>
      <c r="B280" s="1635">
        <v>3000</v>
      </c>
      <c r="C280" s="617"/>
      <c r="D280" s="576">
        <v>309</v>
      </c>
      <c r="E280" s="617"/>
      <c r="F280" s="617"/>
      <c r="G280" s="617"/>
      <c r="H280" s="617"/>
      <c r="I280" s="617"/>
      <c r="J280" s="617"/>
      <c r="K280" s="1701">
        <f>D280</f>
        <v>309</v>
      </c>
      <c r="L280" s="576">
        <v>450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1952</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1566</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7" t="s">
        <v>526</v>
      </c>
      <c r="B295" s="2198"/>
      <c r="C295" s="617"/>
      <c r="D295" s="1692">
        <f>SUM(D229,D279,D280,D285)</f>
        <v>321780</v>
      </c>
      <c r="E295" s="617"/>
      <c r="F295" s="617"/>
      <c r="G295" s="617"/>
      <c r="H295" s="1692">
        <f>H293</f>
        <v>0</v>
      </c>
      <c r="I295" s="617"/>
      <c r="J295" s="617"/>
      <c r="K295" s="1692">
        <f>SUM(K229,K279,K280,K285,K293,K294)</f>
        <v>321780</v>
      </c>
      <c r="L295" s="1692">
        <f>SUM(L229,L279,L280,L285,L293,L294)</f>
        <v>340875</v>
      </c>
    </row>
    <row r="296" spans="1:14" ht="13.5" thickTop="1" x14ac:dyDescent="0.2">
      <c r="A296" s="2179" t="s">
        <v>1053</v>
      </c>
      <c r="B296" s="2180"/>
      <c r="C296" s="617"/>
      <c r="D296" s="619"/>
      <c r="E296" s="617"/>
      <c r="F296" s="617"/>
      <c r="G296" s="617"/>
      <c r="H296" s="688"/>
      <c r="I296" s="617"/>
      <c r="J296" s="617"/>
      <c r="K296" s="1706">
        <f>'Revenues 9-14'!G275-'Expenditures 15-22'!K295</f>
        <v>5284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2875</v>
      </c>
      <c r="F301" s="466"/>
      <c r="G301" s="466">
        <v>264710</v>
      </c>
      <c r="H301" s="466"/>
      <c r="I301" s="467">
        <v>78</v>
      </c>
      <c r="J301" s="467"/>
      <c r="K301" s="1693">
        <f>SUM(C301:J301)</f>
        <v>267663</v>
      </c>
      <c r="L301" s="467">
        <v>85000</v>
      </c>
    </row>
    <row r="302" spans="1:14" ht="13.5" customHeight="1" x14ac:dyDescent="0.2">
      <c r="A302" s="1539" t="s">
        <v>1037</v>
      </c>
      <c r="B302" s="615" t="s">
        <v>595</v>
      </c>
      <c r="C302" s="466"/>
      <c r="D302" s="466"/>
      <c r="E302" s="466"/>
      <c r="F302" s="466"/>
      <c r="G302" s="466"/>
      <c r="H302" s="466"/>
      <c r="I302" s="467"/>
      <c r="J302" s="467"/>
      <c r="K302" s="1693">
        <f>SUM(C302:J302)</f>
        <v>0</v>
      </c>
      <c r="L302" s="466">
        <v>351187</v>
      </c>
    </row>
    <row r="303" spans="1:14" ht="12.75" customHeight="1" thickBot="1" x14ac:dyDescent="0.25">
      <c r="A303" s="1690" t="s">
        <v>865</v>
      </c>
      <c r="B303" s="1691" t="s">
        <v>590</v>
      </c>
      <c r="C303" s="1699">
        <f>SUM(C301:C302)</f>
        <v>0</v>
      </c>
      <c r="D303" s="1699">
        <f t="shared" ref="D303:L303" si="23">SUM(D301:D302)</f>
        <v>0</v>
      </c>
      <c r="E303" s="1699">
        <f t="shared" si="23"/>
        <v>2875</v>
      </c>
      <c r="F303" s="1699">
        <f t="shared" si="23"/>
        <v>0</v>
      </c>
      <c r="G303" s="1699">
        <f t="shared" si="23"/>
        <v>264710</v>
      </c>
      <c r="H303" s="1699">
        <f t="shared" si="23"/>
        <v>0</v>
      </c>
      <c r="I303" s="1699">
        <f t="shared" si="23"/>
        <v>78</v>
      </c>
      <c r="J303" s="1699">
        <f t="shared" si="23"/>
        <v>0</v>
      </c>
      <c r="K303" s="1699">
        <f t="shared" si="23"/>
        <v>267663</v>
      </c>
      <c r="L303" s="1699">
        <f t="shared" si="23"/>
        <v>436187</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1957</v>
      </c>
      <c r="B306" s="691" t="s">
        <v>1952</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1566</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4" t="s">
        <v>295</v>
      </c>
      <c r="B312" s="2195"/>
      <c r="C312" s="1692">
        <f>SUM(C303)</f>
        <v>0</v>
      </c>
      <c r="D312" s="1692">
        <f>SUM(D303)</f>
        <v>0</v>
      </c>
      <c r="E312" s="1692">
        <f>SUM(E303,E310)</f>
        <v>2875</v>
      </c>
      <c r="F312" s="1692">
        <f>SUM(F303)</f>
        <v>0</v>
      </c>
      <c r="G312" s="1692">
        <f>SUM(G303)</f>
        <v>264710</v>
      </c>
      <c r="H312" s="1692">
        <f>SUM(H303,H310)</f>
        <v>0</v>
      </c>
      <c r="I312" s="1692">
        <f>SUM(I303)</f>
        <v>78</v>
      </c>
      <c r="J312" s="1692">
        <f>SUM(J303)</f>
        <v>0</v>
      </c>
      <c r="K312" s="1692">
        <f>SUM(K303,K310,K311)</f>
        <v>267663</v>
      </c>
      <c r="L312" s="1692">
        <f>SUM(L303,L310,L311)</f>
        <v>436187</v>
      </c>
      <c r="M312" s="666"/>
      <c r="N312" s="666"/>
    </row>
    <row r="313" spans="1:14" ht="13.5" thickTop="1" x14ac:dyDescent="0.2">
      <c r="A313" s="2190" t="s">
        <v>1053</v>
      </c>
      <c r="B313" s="2191"/>
      <c r="C313" s="627"/>
      <c r="D313" s="627"/>
      <c r="E313" s="627"/>
      <c r="F313" s="627"/>
      <c r="G313" s="627"/>
      <c r="H313" s="627"/>
      <c r="I313" s="627"/>
      <c r="J313" s="627"/>
      <c r="K313" s="1707">
        <f>'Revenues 9-14'!H275-'Expenditures 15-22'!K312</f>
        <v>214690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1903</v>
      </c>
      <c r="B320" s="699" t="s">
        <v>300</v>
      </c>
      <c r="C320" s="467"/>
      <c r="D320" s="467"/>
      <c r="E320" s="467">
        <v>44451</v>
      </c>
      <c r="F320" s="467"/>
      <c r="G320" s="467"/>
      <c r="H320" s="467"/>
      <c r="I320" s="467"/>
      <c r="J320" s="467"/>
      <c r="K320" s="1693">
        <f t="shared" ref="K320:K327" si="24">SUM(C320:J320)</f>
        <v>44451</v>
      </c>
      <c r="L320" s="467">
        <v>7200</v>
      </c>
      <c r="M320" s="666"/>
      <c r="N320" s="666"/>
    </row>
    <row r="321" spans="1:14" s="675" customFormat="1" x14ac:dyDescent="0.2">
      <c r="A321" s="1541" t="s">
        <v>318</v>
      </c>
      <c r="B321" s="698" t="s">
        <v>301</v>
      </c>
      <c r="C321" s="467"/>
      <c r="D321" s="467"/>
      <c r="E321" s="467">
        <v>4911</v>
      </c>
      <c r="F321" s="467"/>
      <c r="G321" s="467"/>
      <c r="H321" s="467"/>
      <c r="I321" s="467"/>
      <c r="J321" s="467"/>
      <c r="K321" s="1693">
        <f t="shared" si="24"/>
        <v>4911</v>
      </c>
      <c r="L321" s="467">
        <v>10000</v>
      </c>
      <c r="M321" s="666"/>
      <c r="N321" s="666"/>
    </row>
    <row r="322" spans="1:14" s="675" customFormat="1" x14ac:dyDescent="0.2">
      <c r="A322" s="1541" t="s">
        <v>256</v>
      </c>
      <c r="B322" s="698" t="s">
        <v>302</v>
      </c>
      <c r="C322" s="467"/>
      <c r="D322" s="467"/>
      <c r="E322" s="467">
        <v>6371</v>
      </c>
      <c r="F322" s="467"/>
      <c r="G322" s="467"/>
      <c r="H322" s="467"/>
      <c r="I322" s="467"/>
      <c r="J322" s="467"/>
      <c r="K322" s="1693">
        <f t="shared" si="24"/>
        <v>6371</v>
      </c>
      <c r="L322" s="467">
        <v>58800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v>31248</v>
      </c>
      <c r="D325" s="467"/>
      <c r="E325" s="467"/>
      <c r="F325" s="467"/>
      <c r="G325" s="467"/>
      <c r="H325" s="467"/>
      <c r="I325" s="467"/>
      <c r="J325" s="467"/>
      <c r="K325" s="1693">
        <f t="shared" si="24"/>
        <v>31248</v>
      </c>
      <c r="L325" s="467">
        <v>69000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2952</v>
      </c>
      <c r="F327" s="467"/>
      <c r="G327" s="467"/>
      <c r="H327" s="467"/>
      <c r="I327" s="467"/>
      <c r="J327" s="467"/>
      <c r="K327" s="1693">
        <f t="shared" si="24"/>
        <v>2952</v>
      </c>
      <c r="L327" s="467">
        <v>11000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31248</v>
      </c>
      <c r="D330" s="1692">
        <f t="shared" ref="D330:J330" si="25">SUM(D319:D329)</f>
        <v>0</v>
      </c>
      <c r="E330" s="1692">
        <f t="shared" si="25"/>
        <v>58685</v>
      </c>
      <c r="F330" s="1692">
        <f t="shared" si="25"/>
        <v>0</v>
      </c>
      <c r="G330" s="1692">
        <f t="shared" si="25"/>
        <v>0</v>
      </c>
      <c r="H330" s="1692">
        <f t="shared" si="25"/>
        <v>0</v>
      </c>
      <c r="I330" s="1692">
        <f t="shared" si="25"/>
        <v>0</v>
      </c>
      <c r="J330" s="1692">
        <f t="shared" si="25"/>
        <v>0</v>
      </c>
      <c r="K330" s="1692">
        <f>SUM(K319:K329)</f>
        <v>89933</v>
      </c>
      <c r="L330" s="1692">
        <f>SUM(L319:L329)</f>
        <v>156000</v>
      </c>
      <c r="M330" s="666"/>
      <c r="N330" s="666"/>
    </row>
    <row r="331" spans="1:14" s="675" customFormat="1" ht="12.75" customHeight="1" thickTop="1" x14ac:dyDescent="0.2">
      <c r="A331" s="1854" t="s">
        <v>1958</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1952</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1954</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1959</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31248</v>
      </c>
      <c r="D342" s="1692">
        <f>SUM(D330)</f>
        <v>0</v>
      </c>
      <c r="E342" s="1692">
        <f>SUM(E330)</f>
        <v>58685</v>
      </c>
      <c r="F342" s="1692">
        <f>SUM(F330)</f>
        <v>0</v>
      </c>
      <c r="G342" s="1692">
        <f>SUM(G330)</f>
        <v>0</v>
      </c>
      <c r="H342" s="1692">
        <f>SUM(H330,H334,H340)</f>
        <v>0</v>
      </c>
      <c r="I342" s="1692">
        <f>SUM(I330)</f>
        <v>0</v>
      </c>
      <c r="J342" s="1692">
        <f>SUM(J330)</f>
        <v>0</v>
      </c>
      <c r="K342" s="1692">
        <f>SUM(K330,K334,K340)</f>
        <v>89933</v>
      </c>
      <c r="L342" s="1699">
        <f>SUM(L330,L340,L341)</f>
        <v>156000</v>
      </c>
    </row>
    <row r="343" spans="1:14" ht="12.75" customHeight="1" thickTop="1" x14ac:dyDescent="0.2">
      <c r="A343" s="2192" t="s">
        <v>1053</v>
      </c>
      <c r="B343" s="2193"/>
      <c r="C343" s="617"/>
      <c r="D343" s="617"/>
      <c r="E343" s="617"/>
      <c r="F343" s="617"/>
      <c r="G343" s="617"/>
      <c r="H343" s="617"/>
      <c r="I343" s="617"/>
      <c r="J343" s="617"/>
      <c r="K343" s="1706">
        <f>'Revenues 9-14'!J275-'Expenditures 15-22'!K342</f>
        <v>65898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0</v>
      </c>
      <c r="H348" s="466"/>
      <c r="I348" s="467"/>
      <c r="J348" s="467"/>
      <c r="K348" s="1693">
        <f>SUM(C348:J348)</f>
        <v>0</v>
      </c>
      <c r="L348" s="466">
        <v>0</v>
      </c>
    </row>
    <row r="349" spans="1:14" x14ac:dyDescent="0.2">
      <c r="A349" s="1526" t="s">
        <v>206</v>
      </c>
      <c r="B349" s="615">
        <v>2540</v>
      </c>
      <c r="C349" s="466"/>
      <c r="D349" s="466"/>
      <c r="E349" s="466"/>
      <c r="F349" s="466">
        <v>0</v>
      </c>
      <c r="G349" s="466"/>
      <c r="H349" s="466"/>
      <c r="I349" s="467"/>
      <c r="J349" s="467"/>
      <c r="K349" s="1693">
        <f>SUM(C349:J349)</f>
        <v>0</v>
      </c>
      <c r="L349" s="466">
        <v>20000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20000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20000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1960</v>
      </c>
      <c r="B354" s="684" t="s">
        <v>1952</v>
      </c>
      <c r="C354" s="617"/>
      <c r="D354" s="617"/>
      <c r="E354" s="617"/>
      <c r="F354" s="617"/>
      <c r="G354" s="617"/>
      <c r="H354" s="474"/>
      <c r="I354" s="702"/>
      <c r="J354" s="617"/>
      <c r="K354" s="1721">
        <f>H354</f>
        <v>0</v>
      </c>
      <c r="L354" s="471">
        <v>0</v>
      </c>
    </row>
    <row r="355" spans="1:14" ht="12.75" customHeight="1" x14ac:dyDescent="0.2">
      <c r="A355" s="1535" t="s">
        <v>1961</v>
      </c>
      <c r="B355" s="691" t="s">
        <v>1954</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1566</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20000</v>
      </c>
    </row>
    <row r="368" spans="1:14" ht="13.5" thickTop="1" x14ac:dyDescent="0.2">
      <c r="A368" s="2179" t="s">
        <v>1053</v>
      </c>
      <c r="B368" s="2180"/>
      <c r="C368" s="655"/>
      <c r="D368" s="655"/>
      <c r="E368" s="627"/>
      <c r="F368" s="627"/>
      <c r="G368" s="627"/>
      <c r="H368" s="627"/>
      <c r="I368" s="627"/>
      <c r="J368" s="624"/>
      <c r="K368" s="1693">
        <f>'Revenues 9-14'!K275-'Expenditures 15-22'!K367</f>
        <v>54912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4d435f69-8686-490b-bd6d-b153bf22ab50"/>
    <ds:schemaRef ds:uri="http://schemas.microsoft.com/office/2006/metadata/properties"/>
    <ds:schemaRef ds:uri="http://purl.org/dc/term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Sec-2 (2)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2018-11-28T22:50:40Z</cp:lastPrinted>
  <dcterms:created xsi:type="dcterms:W3CDTF">2003-10-29T19:06:34Z</dcterms:created>
  <dcterms:modified xsi:type="dcterms:W3CDTF">2018-12-03T20:55:04Z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