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81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4"/>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D7765" i="106" s="1"/>
  <c r="B7764" i="106"/>
  <c r="J85" i="28"/>
  <c r="B7758" i="106" s="1"/>
  <c r="D7758" i="106" s="1"/>
  <c r="J88" i="28"/>
  <c r="K6" i="29"/>
  <c r="B7763" i="106" s="1"/>
  <c r="D7763" i="106" s="1"/>
  <c r="B7762" i="106"/>
  <c r="K12" i="12"/>
  <c r="K23" i="12"/>
  <c r="J12" i="12"/>
  <c r="B7718" i="106" s="1"/>
  <c r="D7718" i="106" s="1"/>
  <c r="J21" i="12"/>
  <c r="J23" i="12" s="1"/>
  <c r="B7729" i="106"/>
  <c r="D7729" i="106" s="1"/>
  <c r="B7734" i="106"/>
  <c r="D7734" i="106" s="1"/>
  <c r="B7726" i="106"/>
  <c r="D7726" i="106" s="1"/>
  <c r="D76" i="3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D7761" i="106" s="1"/>
  <c r="L127" i="29"/>
  <c r="L129" i="29" s="1"/>
  <c r="L139" i="29"/>
  <c r="L149" i="29"/>
  <c r="I7" i="145"/>
  <c r="I6" i="145"/>
  <c r="D78" i="36"/>
  <c r="K75" i="29"/>
  <c r="K130" i="29"/>
  <c r="F56" i="34"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4"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9" i="127"/>
  <c r="B70" i="127"/>
  <c r="D26" i="108"/>
  <c r="E26" i="108"/>
  <c r="F26" i="108"/>
  <c r="D27" i="108"/>
  <c r="E27" i="108"/>
  <c r="F27" i="108"/>
  <c r="G27" i="108"/>
  <c r="E28" i="108"/>
  <c r="F36" i="108"/>
  <c r="G28" i="108"/>
  <c r="D31" i="108"/>
  <c r="E31" i="108"/>
  <c r="G31"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C38" i="34"/>
  <c r="D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C51" i="34"/>
  <c r="D51" i="34"/>
  <c r="C52" i="34"/>
  <c r="F52" i="34"/>
  <c r="C53" i="34"/>
  <c r="D53" i="34"/>
  <c r="C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B2633" i="106"/>
  <c r="D2633" i="106" s="1"/>
  <c r="D7" i="118"/>
  <c r="D8" i="118"/>
  <c r="D9" i="118"/>
  <c r="H14" i="118"/>
  <c r="H19" i="118"/>
  <c r="H24" i="118"/>
  <c r="J22" i="37"/>
  <c r="L22" i="37" l="1"/>
  <c r="H33" i="118"/>
  <c r="D14" i="4"/>
  <c r="B2570" i="106" s="1"/>
  <c r="D2570" i="106" s="1"/>
  <c r="F37" i="34"/>
  <c r="G38" i="108"/>
  <c r="D36" i="108"/>
  <c r="K24" i="12"/>
  <c r="L5" i="11"/>
  <c r="B2056" i="106" s="1"/>
  <c r="D2056" i="106" s="1"/>
  <c r="D54" i="36"/>
  <c r="B5096" i="106"/>
  <c r="D5096" i="106" s="1"/>
  <c r="D15" i="7"/>
  <c r="B1772" i="106" s="1"/>
  <c r="D1772" i="106" s="1"/>
  <c r="D7" i="7"/>
  <c r="B1763" i="106" s="1"/>
  <c r="D1763" i="106" s="1"/>
  <c r="H28" i="118"/>
  <c r="D68" i="36"/>
  <c r="D22" i="37"/>
  <c r="E33" i="108"/>
  <c r="F42" i="34"/>
  <c r="F50" i="34"/>
  <c r="G35" i="108"/>
  <c r="F68" i="34"/>
  <c r="F46" i="34"/>
  <c r="E35" i="108"/>
  <c r="D24" i="37"/>
  <c r="B4270" i="106" s="1"/>
  <c r="D4270" i="106" s="1"/>
  <c r="F34" i="34"/>
  <c r="G34" i="108"/>
  <c r="G29" i="108"/>
  <c r="E29" i="108"/>
  <c r="F38" i="34"/>
  <c r="G26" i="108"/>
  <c r="D6103" i="106"/>
  <c r="D11" i="37"/>
  <c r="D31" i="36"/>
  <c r="H29" i="118"/>
  <c r="D17" i="7"/>
  <c r="B4104" i="106" s="1"/>
  <c r="D4104" i="106" s="1"/>
  <c r="B1126" i="106"/>
  <c r="D1126" i="106" s="1"/>
  <c r="I210" i="29"/>
  <c r="J210" i="29"/>
  <c r="B7072" i="106" s="1"/>
  <c r="D7072" i="106" s="1"/>
  <c r="G39" i="108"/>
  <c r="F28" i="108"/>
  <c r="B2836" i="106"/>
  <c r="D2836" i="106" s="1"/>
  <c r="F14" i="4"/>
  <c r="B2597" i="106" s="1"/>
  <c r="D2597" i="106" s="1"/>
  <c r="F37" i="108"/>
  <c r="D37" i="108"/>
  <c r="D41" i="108" s="1"/>
  <c r="E43" i="108" s="1"/>
  <c r="F106" i="34"/>
  <c r="F136" i="34"/>
  <c r="B6289" i="106"/>
  <c r="D6289" i="106" s="1"/>
  <c r="H112" i="29"/>
  <c r="B7018" i="106" s="1"/>
  <c r="D7018" i="106" s="1"/>
  <c r="F127" i="34"/>
  <c r="D9" i="7"/>
  <c r="B1767" i="106" s="1"/>
  <c r="D1767" i="106" s="1"/>
  <c r="D4" i="7"/>
  <c r="B1760" i="106" s="1"/>
  <c r="D1760" i="106" s="1"/>
  <c r="C352" i="29"/>
  <c r="C367" i="29" s="1"/>
  <c r="B3622" i="106" s="1"/>
  <c r="D3622" i="106" s="1"/>
  <c r="F172" i="5"/>
  <c r="B5644" i="106" s="1"/>
  <c r="D5644" i="106" s="1"/>
  <c r="K173" i="5"/>
  <c r="K6" i="4" s="1"/>
  <c r="B3570" i="106" s="1"/>
  <c r="D3570" i="106" s="1"/>
  <c r="I173" i="5"/>
  <c r="B4216" i="106" s="1"/>
  <c r="D4216" i="106" s="1"/>
  <c r="G172" i="5"/>
  <c r="G173" i="5" s="1"/>
  <c r="B5778" i="106" s="1"/>
  <c r="D5778" i="106" s="1"/>
  <c r="J77" i="4"/>
  <c r="B6262" i="106" s="1"/>
  <c r="D6262" i="106" s="1"/>
  <c r="G15" i="145"/>
  <c r="L13" i="11"/>
  <c r="B2060" i="106" s="1"/>
  <c r="D2060" i="106" s="1"/>
  <c r="L15" i="11"/>
  <c r="B3459" i="106" s="1"/>
  <c r="D3459" i="106" s="1"/>
  <c r="D11" i="7"/>
  <c r="B1768" i="106" s="1"/>
  <c r="D1768" i="106" s="1"/>
  <c r="I24" i="12"/>
  <c r="N22" i="3"/>
  <c r="B283" i="106" s="1"/>
  <c r="D283" i="106" s="1"/>
  <c r="J41" i="3"/>
  <c r="B6216" i="106" s="1"/>
  <c r="D6216" i="106" s="1"/>
  <c r="D69" i="36"/>
  <c r="F21" i="8"/>
  <c r="F19" i="7"/>
  <c r="B1807" i="106" s="1"/>
  <c r="D1807" i="106" s="1"/>
  <c r="G5" i="4"/>
  <c r="B3409" i="106" s="1"/>
  <c r="D3409" i="106" s="1"/>
  <c r="E109" i="5"/>
  <c r="E4" i="4" s="1"/>
  <c r="B2630" i="106" s="1"/>
  <c r="D2630" i="106" s="1"/>
  <c r="D5" i="7"/>
  <c r="B1761" i="106" s="1"/>
  <c r="D1761" i="106" s="1"/>
  <c r="I274" i="5"/>
  <c r="B4435" i="106" s="1"/>
  <c r="D4435" i="106" s="1"/>
  <c r="D109" i="5"/>
  <c r="B5356" i="106" s="1"/>
  <c r="D5356" i="106" s="1"/>
  <c r="H173" i="5"/>
  <c r="B5906" i="106" s="1"/>
  <c r="D5906" i="106" s="1"/>
  <c r="F130" i="34"/>
  <c r="F77" i="4"/>
  <c r="B3255" i="106" s="1"/>
  <c r="D3255" i="106" s="1"/>
  <c r="K350" i="29"/>
  <c r="B3670" i="106" s="1"/>
  <c r="D3670" i="106" s="1"/>
  <c r="J129" i="29"/>
  <c r="B7038" i="106" s="1"/>
  <c r="D7038" i="106" s="1"/>
  <c r="I129" i="29"/>
  <c r="B7037" i="106" s="1"/>
  <c r="D7037" i="106" s="1"/>
  <c r="J352" i="29"/>
  <c r="B3647" i="106"/>
  <c r="D3647" i="106" s="1"/>
  <c r="L367" i="29"/>
  <c r="K285" i="29"/>
  <c r="B3724" i="106" s="1"/>
  <c r="D3724" i="106" s="1"/>
  <c r="G210" i="29"/>
  <c r="E174" i="29"/>
  <c r="B1309" i="106" s="1"/>
  <c r="D1309" i="106" s="1"/>
  <c r="L342" i="29"/>
  <c r="L312" i="29"/>
  <c r="I342" i="29"/>
  <c r="B7222" i="106" s="1"/>
  <c r="D7222" i="106" s="1"/>
  <c r="H365" i="29"/>
  <c r="H342" i="29"/>
  <c r="B7221" i="106" s="1"/>
  <c r="D7221" i="106" s="1"/>
  <c r="C129" i="29"/>
  <c r="B1225" i="106" s="1"/>
  <c r="D1225" i="106" s="1"/>
  <c r="D12" i="7"/>
  <c r="B1769" i="106" s="1"/>
  <c r="D1769" i="106" s="1"/>
  <c r="H109" i="5"/>
  <c r="F128" i="34"/>
  <c r="D5" i="4"/>
  <c r="B3406" i="106" s="1"/>
  <c r="D3406" i="106" s="1"/>
  <c r="K274" i="5"/>
  <c r="K7" i="4" s="1"/>
  <c r="B3718" i="106" s="1"/>
  <c r="D3718" i="106" s="1"/>
  <c r="F131" i="34"/>
  <c r="B5383" i="106"/>
  <c r="D5383" i="106" s="1"/>
  <c r="B5752" i="106"/>
  <c r="D5752" i="106" s="1"/>
  <c r="J274" i="5"/>
  <c r="B7054" i="106" s="1"/>
  <c r="D7054" i="106" s="1"/>
  <c r="F111" i="34"/>
  <c r="B6238" i="106"/>
  <c r="D6238" i="106" s="1"/>
  <c r="K76" i="4"/>
  <c r="B3586" i="106" s="1"/>
  <c r="D3586" i="106" s="1"/>
  <c r="K41" i="3"/>
  <c r="G30" i="108"/>
  <c r="E30" i="108"/>
  <c r="C172" i="5"/>
  <c r="C109" i="5"/>
  <c r="B5121" i="106" s="1"/>
  <c r="D5121" i="106" s="1"/>
  <c r="D13" i="7"/>
  <c r="B3726" i="106" s="1"/>
  <c r="D3726" i="106" s="1"/>
  <c r="B5066" i="106"/>
  <c r="D5066" i="106" s="1"/>
  <c r="B1329" i="106"/>
  <c r="D1329" i="106" s="1"/>
  <c r="F61" i="34"/>
  <c r="B1746" i="106"/>
  <c r="D1746" i="106" s="1"/>
  <c r="K184" i="29"/>
  <c r="F13" i="4" s="1"/>
  <c r="B2596" i="106" s="1"/>
  <c r="D2596" i="106" s="1"/>
  <c r="B1410" i="106"/>
  <c r="D1410" i="106" s="1"/>
  <c r="G109" i="5"/>
  <c r="C342" i="29"/>
  <c r="B7216" i="106" s="1"/>
  <c r="D7216" i="106" s="1"/>
  <c r="B3649" i="106"/>
  <c r="D3649" i="106" s="1"/>
  <c r="G367" i="29"/>
  <c r="B3650" i="106" s="1"/>
  <c r="D365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7733" i="106" l="1"/>
  <c r="D7733" i="106" s="1"/>
  <c r="K26" i="12"/>
  <c r="B7743" i="106" s="1"/>
  <c r="D7743" i="106" s="1"/>
  <c r="I151" i="29"/>
  <c r="F59" i="34" s="1"/>
  <c r="C151" i="29"/>
  <c r="B1226" i="106" s="1"/>
  <c r="D1226" i="106" s="1"/>
  <c r="D7255" i="106"/>
  <c r="D7252" i="106"/>
  <c r="D7254" i="106"/>
  <c r="D7251" i="106"/>
  <c r="D7256" i="106"/>
  <c r="D7253" i="106"/>
  <c r="B5527" i="106"/>
  <c r="D5527" i="106" s="1"/>
  <c r="F173" i="5"/>
  <c r="F6" i="4" s="1"/>
  <c r="B2593" i="106" s="1"/>
  <c r="D2593" i="106" s="1"/>
  <c r="D7250" i="106"/>
  <c r="K28" i="118"/>
  <c r="O27" i="118" s="1"/>
  <c r="O29" i="118" s="1"/>
  <c r="B1317" i="106"/>
  <c r="D1317" i="106" s="1"/>
  <c r="B3628" i="106"/>
  <c r="D3628" i="106" s="1"/>
  <c r="B1266" i="106"/>
  <c r="D1266" i="106" s="1"/>
  <c r="B6014" i="106"/>
  <c r="D6014" i="106" s="1"/>
  <c r="I7" i="4"/>
  <c r="B4444" i="106" s="1"/>
  <c r="D4444" i="106" s="1"/>
  <c r="K365" i="29"/>
  <c r="K16" i="4" s="1"/>
  <c r="F41" i="108"/>
  <c r="G43" i="108" s="1"/>
  <c r="J7" i="4"/>
  <c r="B6022" i="106"/>
  <c r="D6022" i="106" s="1"/>
  <c r="D4" i="4"/>
  <c r="B2564" i="106" s="1"/>
  <c r="D2564" i="106" s="1"/>
  <c r="B5770" i="106"/>
  <c r="D5770" i="106" s="1"/>
  <c r="B1328" i="106"/>
  <c r="D1328" i="106" s="1"/>
  <c r="B7071" i="106"/>
  <c r="D7071" i="106" s="1"/>
  <c r="F66" i="34"/>
  <c r="K352" i="29"/>
  <c r="K77" i="4"/>
  <c r="B3587" i="106" s="1"/>
  <c r="D3587" i="106" s="1"/>
  <c r="G6" i="4"/>
  <c r="B2604" i="106" s="1"/>
  <c r="D2604" i="106" s="1"/>
  <c r="B3621" i="106"/>
  <c r="D3621" i="106" s="1"/>
  <c r="J151" i="29"/>
  <c r="B7052" i="106" s="1"/>
  <c r="D7052" i="106" s="1"/>
  <c r="I6" i="4"/>
  <c r="B5011" i="106" s="1"/>
  <c r="D5011" i="106" s="1"/>
  <c r="H275" i="5"/>
  <c r="B5915" i="106" s="1"/>
  <c r="D5915" i="106" s="1"/>
  <c r="L114" i="29"/>
  <c r="H6" i="4"/>
  <c r="B2656" i="106" s="1"/>
  <c r="D2656" i="106" s="1"/>
  <c r="D274" i="5"/>
  <c r="D7" i="4" s="1"/>
  <c r="D51" i="36"/>
  <c r="N23" i="3"/>
  <c r="B284" i="106" s="1"/>
  <c r="D284" i="106" s="1"/>
  <c r="L16" i="11"/>
  <c r="B2061" i="106" s="1"/>
  <c r="D2061" i="106" s="1"/>
  <c r="B2031" i="106"/>
  <c r="D2031" i="106" s="1"/>
  <c r="I26" i="12"/>
  <c r="B7741" i="106" s="1"/>
  <c r="D7741" i="106" s="1"/>
  <c r="B1996" i="106"/>
  <c r="D1996" i="106" s="1"/>
  <c r="B1879" i="106"/>
  <c r="D1879" i="106" s="1"/>
  <c r="H22" i="37"/>
  <c r="J16" i="4"/>
  <c r="B6226" i="106" s="1"/>
  <c r="D6226" i="106" s="1"/>
  <c r="F274" i="5"/>
  <c r="F7" i="4" s="1"/>
  <c r="B2594" i="106" s="1"/>
  <c r="D2594" i="106" s="1"/>
  <c r="B5914" i="106"/>
  <c r="D5914" i="106" s="1"/>
  <c r="J367" i="29"/>
  <c r="B7245" i="106" s="1"/>
  <c r="D7245" i="106" s="1"/>
  <c r="B7235" i="106"/>
  <c r="D7235" i="106" s="1"/>
  <c r="D44" i="36"/>
  <c r="B1365" i="106"/>
  <c r="D1365" i="106" s="1"/>
  <c r="F65" i="34"/>
  <c r="H367" i="29"/>
  <c r="B3660" i="106" s="1"/>
  <c r="D3660" i="106" s="1"/>
  <c r="B7242" i="106"/>
  <c r="D7242" i="106" s="1"/>
  <c r="F73" i="34"/>
  <c r="G15" i="4"/>
  <c r="B6032" i="106" s="1"/>
  <c r="D6032" i="106" s="1"/>
  <c r="B6025" i="106"/>
  <c r="D6025" i="106" s="1"/>
  <c r="H4" i="4"/>
  <c r="B3568" i="106"/>
  <c r="D3568" i="106" s="1"/>
  <c r="D52" i="36"/>
  <c r="C114" i="29"/>
  <c r="B757" i="106" s="1"/>
  <c r="D757" i="106" s="1"/>
  <c r="B5214" i="106"/>
  <c r="D5214" i="106" s="1"/>
  <c r="C173" i="5"/>
  <c r="C4" i="4"/>
  <c r="B2551" i="106" s="1"/>
  <c r="D2551" i="106" s="1"/>
  <c r="B1381" i="106"/>
  <c r="D1381" i="106" s="1"/>
  <c r="B6024" i="106"/>
  <c r="D6024" i="106" s="1"/>
  <c r="G4" i="4"/>
  <c r="B2603" i="106" s="1"/>
  <c r="D2603" i="106" s="1"/>
  <c r="D19" i="7"/>
  <c r="B1775" i="106" s="1"/>
  <c r="D1775" i="106" s="1"/>
  <c r="K342" i="29"/>
  <c r="F13" i="34"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5719" i="106" l="1"/>
  <c r="D5719" i="106" s="1"/>
  <c r="B5653" i="106"/>
  <c r="D5653" i="106" s="1"/>
  <c r="B7224" i="106"/>
  <c r="D7224" i="106" s="1"/>
  <c r="B7243" i="106"/>
  <c r="D7243" i="106" s="1"/>
  <c r="K367" i="29"/>
  <c r="B3678" i="106" s="1"/>
  <c r="D3678" i="106" s="1"/>
  <c r="K13" i="4"/>
  <c r="B3572" i="106" s="1"/>
  <c r="D3572" i="106" s="1"/>
  <c r="B3672" i="106"/>
  <c r="D3672" i="106" s="1"/>
  <c r="D275" i="5"/>
  <c r="B5508" i="106" s="1"/>
  <c r="D5508" i="106" s="1"/>
  <c r="B5507" i="106"/>
  <c r="D5507" i="106" s="1"/>
  <c r="F24" i="37"/>
  <c r="F275" i="5"/>
  <c r="B5720" i="106" s="1"/>
  <c r="D5720" i="106" s="1"/>
  <c r="J8" i="4"/>
  <c r="B6223" i="106" s="1"/>
  <c r="D6223" i="106" s="1"/>
  <c r="B2655" i="106"/>
  <c r="D2655" i="106" s="1"/>
  <c r="H8" i="4"/>
  <c r="B1145" i="106"/>
  <c r="D1145" i="106" s="1"/>
  <c r="B5223" i="106"/>
  <c r="D5223" i="106" s="1"/>
  <c r="C6" i="4"/>
  <c r="B2553" i="106" s="1"/>
  <c r="D2553" i="106" s="1"/>
  <c r="F8" i="4"/>
  <c r="D8" i="146" s="1"/>
  <c r="E41" i="108"/>
  <c r="E44" i="108" s="1"/>
  <c r="E45" i="108" s="1"/>
  <c r="G41" i="108"/>
  <c r="G44" i="108" s="1"/>
  <c r="G45" i="108" s="1"/>
  <c r="J1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K17" i="4" l="1"/>
  <c r="K19" i="4" s="1"/>
  <c r="B4144" i="106" s="1"/>
  <c r="D4144" i="106" s="1"/>
  <c r="K368" i="29"/>
  <c r="B3681" i="106" s="1"/>
  <c r="D3681" i="106" s="1"/>
  <c r="J20" i="4"/>
  <c r="B6230" i="106" s="1"/>
  <c r="D6230" i="106" s="1"/>
  <c r="B6227" i="106"/>
  <c r="D6227" i="106" s="1"/>
  <c r="F76" i="34"/>
  <c r="H10" i="4"/>
  <c r="B4127" i="106" s="1"/>
  <c r="D4127" i="106" s="1"/>
  <c r="B2658" i="106"/>
  <c r="D2658" i="106" s="1"/>
  <c r="D8" i="4"/>
  <c r="D10" i="4" s="1"/>
  <c r="B4123" i="106" s="1"/>
  <c r="D4123" i="106" s="1"/>
  <c r="J19" i="4"/>
  <c r="B6229" i="106" s="1"/>
  <c r="D6229" i="106" s="1"/>
  <c r="D10" i="171"/>
  <c r="D19" i="171" s="1"/>
  <c r="D32" i="171" s="1"/>
  <c r="D49" i="171" s="1"/>
  <c r="F10" i="4"/>
  <c r="B4125" i="106" s="1"/>
  <c r="D4125" i="106" s="1"/>
  <c r="B2595" i="106"/>
  <c r="D259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J78" i="4"/>
  <c r="J81" i="4" s="1"/>
  <c r="B2568" i="106"/>
  <c r="D2568" i="106" s="1"/>
  <c r="C8" i="146"/>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B3576" i="106"/>
  <c r="D3576" i="106" s="1"/>
  <c r="B6263" i="106" l="1"/>
  <c r="D6263" i="106" s="1"/>
  <c r="C10" i="146"/>
  <c r="F8" i="146"/>
  <c r="D78" i="4"/>
  <c r="B3239" i="106" s="1"/>
  <c r="D3239"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F181" i="34" l="1"/>
  <c r="F183" i="34"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<sst xmlns="http://schemas.openxmlformats.org/spreadsheetml/2006/main" count="5105" uniqueCount="2138">
  <si>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</si>
  <si>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</si>
  <si>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</si>
  <si>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</si>
  <si>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</si>
  <si>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</si>
  <si>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</si>
  <si>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</si>
  <si>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</si>
  <si>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</si>
  <si>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</si>
  <si>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</si>
  <si>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</si>
  <si>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</si>
  <si>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</si>
  <si>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</si>
  <si>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</si>
  <si>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</si>
  <si>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</si>
  <si>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</si>
  <si>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</si>
  <si>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</si>
  <si>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</si>
  <si>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</si>
  <si>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</si>
  <si>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</si>
  <si>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</si>
  <si>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</si>
  <si>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</si>
  <si>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</si>
  <si>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</si>
  <si>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</si>
  <si>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</si>
  <si>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</si>
  <si>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</si>
  <si>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</si>
  <si>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</si>
  <si>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</si>
  <si>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</si>
  <si>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</si>
  <si>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</si>
  <si>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</si>
  <si>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</si>
  <si>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</si>
  <si>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</si>
  <si>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</si>
  <si>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</si>
  <si>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</si>
  <si>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</si>
  <si>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</si>
  <si>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</si>
  <si>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</si>
  <si>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</si>
  <si>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</si>
  <si>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</si>
  <si>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</si>
  <si>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</si>
  <si>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</si>
  <si>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</si>
  <si>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</si>
  <si>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</si>
  <si>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</si>
  <si>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</si>
  <si>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</si>
  <si>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</si>
  <si>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</si>
  <si>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</si>
  <si>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</si>
  <si>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</si>
  <si>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</si>
  <si>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</si>
  <si>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</si>
  <si>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</si>
  <si>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</si>
  <si>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</si>
  <si>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</si>
  <si>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</si>
  <si>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</si>
  <si>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</si>
  <si>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</si>
  <si>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</si>
  <si>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</si>
  <si>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</si>
  <si>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</si>
  <si>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</si>
  <si>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</si>
  <si>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</si>
  <si>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</si>
  <si>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</si>
  <si>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</si>
  <si>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</si>
  <si>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</si>
  <si>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</si>
  <si>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</si>
  <si>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</si>
  <si>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</si>
  <si>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</si>
  <si>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</si>
  <si>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</si>
  <si>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</si>
  <si>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</si>
  <si>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</si>
  <si>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</si>
  <si>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</si>
  <si>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</si>
  <si>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</si>
  <si>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</si>
  <si>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</si>
  <si>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</si>
  <si>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</si>
  <si>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</si>
  <si>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</si>
  <si>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</si>
  <si>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</si>
  <si>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</si>
  <si>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</si>
  <si>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</si>
  <si>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</si>
  <si>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</si>
  <si>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</si>
  <si>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</si>
  <si>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</si>
  <si>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</si>
  <si>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</si>
  <si>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</si>
  <si>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</si>
  <si>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</si>
  <si>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</si>
  <si>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</si>
  <si>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</si>
  <si>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</si>
  <si>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</si>
  <si>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</si>
  <si>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</si>
  <si>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</si>
  <si>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</si>
  <si>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</si>
  <si>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</si>
  <si>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</si>
  <si>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</si>
  <si>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</si>
  <si>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</si>
  <si>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</si>
  <si>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</si>
  <si>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</si>
  <si>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</si>
  <si>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</si>
  <si>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</si>
  <si>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</si>
  <si>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</si>
  <si>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</si>
  <si>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</si>
  <si>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</si>
  <si>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</si>
  <si>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</si>
  <si>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</si>
  <si>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</si>
  <si>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</si>
  <si>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</si>
  <si>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</si>
  <si>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</si>
  <si>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</si>
  <si>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</si>
  <si>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</si>
  <si>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</si>
  <si>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</si>
  <si>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</si>
  <si>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</si>
  <si>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</si>
  <si>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</si>
  <si>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</si>
  <si>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</si>
  <si>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</si>
  <si>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</si>
  <si>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</si>
  <si>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</si>
  <si>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</si>
  <si>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</si>
  <si>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</si>
  <si>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</si>
  <si>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</si>
  <si>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</si>
  <si>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</si>
  <si>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</si>
  <si>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</si>
  <si>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</si>
  <si>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</si>
  <si>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</si>
  <si>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</si>
  <si>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</si>
  <si>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</si>
  <si>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</si>
  <si>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</si>
  <si>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</si>
  <si>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</si>
  <si>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</si>
  <si>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</si>
  <si>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</si>
  <si>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</si>
  <si>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</si>
  <si>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</si>
  <si>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</si>
  <si>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</si>
  <si>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</si>
  <si>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</si>
  <si>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</si>
  <si>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</si>
  <si>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</si>
  <si>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</si>
  <si>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</si>
  <si>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</si>
  <si>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</si>
  <si>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</si>
  <si>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</si>
  <si>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</si>
  <si>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</si>
  <si>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</si>
  <si>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</si>
  <si>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</si>
  <si>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</si>
  <si>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</si>
  <si>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</si>
  <si>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</si>
  <si>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</si>
  <si>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</si>
  <si>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</si>
  <si>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</si>
  <si>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</si>
  <si>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</si>
  <si>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</si>
  <si>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</si>
  <si>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</si>
  <si>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</si>
  <si>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</si>
  <si>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</si>
  <si>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</si>
  <si>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</si>
  <si>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</si>
  <si>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</si>
  <si>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</si>
  <si>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</si>
  <si>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</si>
  <si>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</si>
  <si>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</si>
  <si>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</si>
  <si>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</si>
  <si>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</si>
  <si>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</si>
  <si>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</si>
  <si>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</si>
  <si>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</si>
  <si>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</si>
  <si>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</si>
  <si>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</si>
  <si>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</si>
  <si>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</si>
  <si>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</si>
  <si>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</si>
  <si>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</si>
  <si>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</si>
  <si>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</si>
  <si>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</si>
  <si>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</si>
  <si>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</si>
  <si>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</si>
  <si>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</si>
  <si>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</si>
  <si>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</si>
  <si>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</si>
  <si>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</si>
  <si>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</si>
  <si>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</si>
  <si>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</si>
  <si>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</si>
  <si>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</si>
  <si>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</si>
  <si>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</si>
  <si>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</si>
  <si>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</si>
  <si>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</si>
  <si>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</si>
  <si>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</si>
  <si>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</si>
  <si>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</si>
  <si>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</si>
  <si>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</si>
  <si>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</si>
  <si>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</si>
  <si>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</si>
  <si>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</si>
  <si>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</si>
  <si>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</si>
  <si>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</si>
  <si>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</si>
  <si>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</si>
  <si>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</si>
  <si>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</si>
  <si>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</si>
  <si>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</si>
  <si>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</si>
  <si>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</si>
  <si>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</si>
  <si>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</si>
  <si>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</si>
  <si>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</si>
  <si>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</si>
  <si>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</si>
  <si>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</si>
  <si>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</si>
  <si>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</si>
  <si>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</si>
  <si>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</si>
  <si>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</si>
  <si>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</si>
  <si>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</si>
  <si>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</si>
  <si>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</si>
  <si>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</si>
  <si>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</si>
  <si>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</si>
  <si>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</si>
  <si>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</si>
  <si>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</si>
  <si>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</si>
  <si>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</si>
  <si>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</si>
  <si>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</si>
  <si>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</si>
  <si>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</si>
  <si>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</si>
  <si>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</si>
  <si>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</si>
  <si>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</si>
  <si>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</si>
  <si>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</si>
  <si>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</si>
  <si>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</si>
  <si>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</si>
  <si>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</si>
  <si>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</si>
  <si>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</si>
  <si>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</si>
  <si>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</si>
  <si>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</si>
  <si>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</si>
  <si>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</si>
  <si>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</si>
  <si>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</si>
  <si>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</si>
  <si>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</si>
  <si>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</si>
  <si>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</si>
  <si>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</si>
  <si>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</si>
  <si>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</si>
  <si>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</si>
  <si>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</si>
  <si>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</si>
  <si>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</si>
  <si>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</si>
  <si>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</si>
  <si>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</si>
  <si>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</si>
  <si>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</si>
  <si>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</si>
  <si>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</si>
  <si>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</si>
  <si>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</si>
  <si>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</si>
  <si>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</si>
  <si>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</si>
  <si>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</si>
  <si>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</si>
  <si>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</si>
  <si>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</si>
  <si>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</si>
  <si>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</si>
  <si>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</si>
  <si>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</si>
  <si>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</si>
  <si>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</si>
  <si>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</si>
  <si>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</si>
  <si>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</si>
  <si>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</si>
  <si>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</si>
  <si>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</si>
  <si>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</si>
  <si>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</si>
  <si>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</si>
  <si>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</si>
  <si>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</si>
  <si>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</si>
  <si>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</si>
  <si>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</si>
  <si>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</si>
  <si>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</si>
  <si>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</si>
  <si>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</si>
  <si>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</si>
  <si>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</si>
  <si>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</si>
  <si>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</si>
  <si>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</si>
  <si>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</si>
  <si>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</si>
  <si>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</si>
  <si>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</si>
  <si>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</si>
  <si>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</si>
  <si>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</si>
  <si>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</si>
  <si>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</si>
  <si>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</si>
  <si>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</si>
  <si>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</si>
  <si>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</si>
  <si>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</si>
  <si>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</si>
  <si>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</si>
  <si>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</si>
  <si>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</si>
  <si>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</si>
  <si>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</si>
  <si>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</si>
  <si>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</si>
  <si>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</si>
  <si>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</si>
  <si>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</si>
  <si>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</si>
  <si>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</si>
  <si>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</si>
  <si>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</si>
  <si>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</si>
  <si>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</si>
  <si>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</si>
  <si>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</si>
  <si>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</si>
  <si>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</si>
  <si>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</si>
  <si>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</si>
  <si>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</si>
  <si>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</si>
  <si>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</si>
  <si>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</si>
  <si>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</si>
  <si>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</si>
  <si>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</si>
  <si>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</si>
  <si>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</si>
  <si>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</si>
  <si>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</si>
  <si>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</si>
  <si>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</si>
  <si>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</si>
  <si>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</si>
  <si>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</si>
  <si>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</si>
  <si>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</si>
  <si>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</si>
  <si>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</si>
  <si>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</si>
  <si>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</si>
  <si>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</si>
  <si>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</si>
  <si>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</si>
  <si>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</si>
  <si>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</si>
  <si>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</si>
  <si>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</si>
  <si>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</si>
  <si>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</si>
  <si>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</si>
  <si>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</si>
  <si>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</si>
  <si>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</si>
  <si>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</si>
  <si>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</si>
  <si>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</si>
  <si>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</si>
  <si>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</si>
  <si>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</si>
  <si>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</si>
  <si>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</si>
  <si>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</si>
  <si>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</si>
  <si>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</si>
  <si>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</si>
  <si>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</si>
  <si>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</si>
  <si>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</si>
  <si>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</si>
  <si>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</si>
  <si>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</si>
  <si>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</si>
  <si>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</si>
  <si>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</si>
  <si>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</si>
  <si>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</si>
  <si>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</si>
  <si>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</si>
  <si>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</si>
  <si>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</si>
  <si>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</si>
  <si>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</si>
  <si>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</si>
  <si>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</si>
  <si>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</si>
  <si>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</si>
  <si>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</si>
  <si>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</si>
  <si>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</si>
  <si>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</si>
  <si>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</si>
  <si>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</si>
  <si>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</si>
  <si>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</si>
  <si>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</si>
  <si>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</si>
  <si>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</si>
  <si>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</si>
  <si>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</si>
  <si>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</si>
  <si>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</si>
  <si>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</si>
  <si>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</si>
  <si>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</si>
  <si>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</si>
  <si>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</si>
  <si>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</si>
  <si>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</si>
  <si>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</si>
  <si>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</si>
  <si>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</si>
  <si>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</si>
  <si>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</si>
  <si>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</si>
  <si>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</si>
  <si>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</si>
  <si>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</si>
  <si>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</si>
  <si>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</si>
  <si>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</si>
  <si>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</si>
  <si>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</si>
  <si>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</si>
  <si>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</si>
  <si>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</si>
  <si>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</si>
  <si>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</si>
  <si>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</si>
  <si>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</si>
  <si>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</si>
  <si>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</si>
  <si>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</si>
  <si>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</si>
  <si>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</si>
  <si>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</si>
  <si>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</si>
  <si>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</si>
  <si>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</si>
  <si>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</si>
  <si>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</si>
  <si>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</si>
  <si>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</si>
  <si>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</si>
  <si>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</si>
  <si>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</si>
  <si>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</si>
  <si>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</si>
  <si>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</si>
  <si>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</si>
  <si>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</si>
  <si>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</si>
  <si>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</si>
  <si>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</si>
  <si>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</si>
  <si>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</si>
  <si>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</si>
  <si>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</si>
  <si>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</si>
  <si>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</si>
  <si>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</si>
  <si>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</si>
  <si>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</si>
  <si>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</si>
  <si>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</si>
  <si>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</si>
  <si>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</si>
  <si>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</si>
  <si>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</si>
  <si>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</si>
  <si>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</si>
  <si>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</si>
  <si>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</si>
  <si>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</si>
  <si>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</si>
  <si>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</si>
  <si>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</si>
  <si>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</si>
  <si>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</si>
  <si>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</si>
  <si>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</si>
  <si>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</si>
  <si>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</si>
  <si>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</si>
  <si>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</si>
  <si>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</si>
  <si>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</si>
  <si>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</si>
  <si>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</si>
  <si>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</si>
  <si>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</si>
  <si>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</si>
  <si>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</si>
  <si>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</si>
  <si>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</si>
  <si>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</si>
  <si>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</si>
  <si>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</si>
  <si>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</si>
  <si>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</si>
  <si>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</si>
  <si>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</si>
  <si>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</si>
  <si>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</si>
  <si>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</si>
  <si>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</si>
  <si>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</si>
  <si>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</si>
  <si>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</si>
  <si>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</si>
  <si>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</si>
  <si>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</si>
  <si>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</si>
  <si>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</si>
  <si>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</si>
  <si>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</si>
  <si>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</si>
  <si>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</si>
  <si>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</si>
  <si>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</si>
  <si>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</si>
  <si>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</si>
  <si>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</si>
  <si>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</si>
  <si>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</si>
  <si>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</si>
  <si>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</si>
  <si>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</si>
  <si>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</si>
  <si>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</si>
  <si>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</si>
  <si>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</si>
  <si>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</si>
  <si>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</si>
  <si>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</si>
  <si>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</si>
  <si>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</si>
  <si>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</si>
  <si>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</si>
  <si>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</si>
  <si>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</si>
  <si>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</si>
  <si>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</si>
  <si>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</si>
  <si>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</si>
  <si>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</si>
  <si>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</si>
  <si>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</si>
  <si>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</si>
  <si>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</si>
  <si>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</si>
  <si>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</si>
  <si>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</si>
  <si>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</si>
  <si>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</si>
  <si>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</si>
  <si>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</si>
  <si>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</si>
  <si>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</si>
  <si>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</si>
  <si>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</si>
  <si>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</si>
  <si>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</si>
  <si>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</si>
  <si>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</si>
  <si>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</si>
  <si>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</si>
  <si>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</si>
  <si>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</si>
  <si>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</si>
  <si>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</si>
  <si>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</si>
  <si>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</si>
  <si>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</si>
  <si>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</si>
  <si>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</si>
  <si>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</si>
  <si>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</si>
  <si>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</si>
  <si>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</si>
  <si>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</si>
  <si>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</si>
  <si>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</si>
  <si>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</si>
  <si>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</si>
  <si>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</si>
  <si>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</si>
  <si>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</si>
  <si>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</si>
  <si>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</si>
  <si>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</si>
  <si>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</si>
  <si>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</si>
  <si>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</si>
  <si>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</si>
  <si>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</si>
  <si>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</si>
  <si>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</si>
  <si>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</si>
  <si>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</si>
  <si>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</si>
  <si>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</si>
  <si>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</si>
  <si>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</si>
  <si>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</si>
  <si>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</si>
  <si>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</si>
  <si>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</si>
  <si>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</si>
  <si>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</si>
  <si>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</si>
  <si>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</si>
  <si>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</si>
  <si>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</si>
  <si>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</si>
  <si>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</si>
  <si>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</si>
  <si>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</si>
  <si>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</si>
  <si>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</si>
  <si>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</si>
  <si>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</si>
  <si>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</si>
  <si>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</si>
  <si>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</si>
  <si>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</si>
  <si>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</si>
  <si>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</si>
  <si>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</si>
  <si>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</si>
  <si>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</si>
  <si>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</si>
  <si>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</si>
  <si>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</si>
  <si>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</si>
  <si>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</si>
  <si>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</si>
  <si>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</si>
  <si>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</si>
  <si>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</si>
  <si>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</si>
  <si>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</si>
  <si>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</si>
  <si>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</si>
  <si>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</si>
  <si>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</si>
  <si>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</si>
  <si>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</si>
  <si>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</si>
  <si>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</si>
  <si>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</si>
  <si>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</si>
  <si>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</si>
  <si>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</si>
  <si>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</si>
  <si>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</si>
  <si>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</si>
  <si>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</si>
  <si>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</si>
  <si>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</si>
  <si>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</si>
  <si>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</si>
  <si>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</si>
  <si>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</si>
  <si>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</si>
  <si>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</si>
  <si>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</si>
  <si>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</si>
  <si>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</si>
  <si>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</si>
  <si>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</si>
  <si>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</si>
  <si>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</si>
  <si>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</si>
  <si>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</si>
  <si>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</si>
  <si>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</si>
  <si>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</si>
  <si>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</si>
  <si>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</si>
  <si>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</si>
  <si>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</si>
  <si>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</si>
  <si>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</si>
  <si>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</si>
  <si>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</si>
  <si>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</si>
  <si>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</si>
  <si>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</si>
  <si>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</si>
  <si>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</si>
  <si>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</si>
  <si>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</si>
  <si>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</si>
  <si>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</si>
  <si>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</si>
  <si>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</si>
  <si>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</si>
  <si>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</si>
  <si>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</si>
  <si>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</si>
  <si>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</si>
  <si>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</si>
  <si>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</si>
  <si>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</si>
  <si>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</si>
  <si>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</si>
  <si>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</si>
  <si>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</si>
  <si>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</si>
  <si>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</si>
  <si>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</si>
  <si>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</si>
  <si>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</si>
  <si>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</si>
  <si>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</si>
  <si>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</si>
  <si>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</si>
  <si>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</si>
  <si>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</si>
  <si>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</si>
  <si>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</si>
  <si>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</si>
  <si>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</si>
  <si>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</si>
  <si>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</si>
  <si>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</si>
  <si>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</si>
  <si>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</si>
  <si>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</si>
  <si>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</si>
  <si>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</si>
  <si>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</si>
  <si>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</si>
  <si>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</si>
  <si>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</si>
  <si>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</si>
  <si>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</si>
  <si>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</si>
  <si>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</si>
  <si>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</si>
  <si>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</si>
  <si>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</si>
  <si>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</si>
  <si>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</si>
  <si>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</si>
  <si>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</si>
  <si>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</si>
  <si>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</si>
  <si>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</si>
  <si>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</si>
  <si>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</si>
  <si>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</si>
  <si>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</si>
  <si>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</si>
  <si>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</si>
  <si>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</si>
  <si>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</si>
  <si>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</si>
  <si>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</si>
  <si>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</si>
  <si>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</si>
  <si>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</si>
  <si>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</si>
  <si>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</si>
  <si>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</si>
  <si>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</si>
  <si>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</si>
  <si>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</si>
  <si>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</si>
  <si>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</si>
  <si>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</si>
  <si>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</si>
  <si>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</si>
  <si>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</si>
  <si>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</si>
  <si>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</si>
  <si>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</si>
  <si>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</si>
  <si>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</si>
  <si>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</si>
  <si>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</si>
  <si>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</si>
  <si>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</si>
  <si>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</si>
  <si>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</si>
  <si>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</si>
  <si>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</si>
  <si>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</si>
  <si>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</si>
  <si>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</si>
  <si>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</si>
  <si>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</si>
  <si>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</si>
  <si>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</si>
  <si>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</si>
  <si>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</si>
  <si>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</si>
  <si>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</si>
  <si>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</si>
  <si>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</si>
  <si>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</si>
  <si>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</si>
  <si>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</si>
  <si>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</si>
  <si>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</si>
  <si>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</si>
  <si>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</si>
  <si>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</si>
  <si>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</si>
  <si>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</si>
  <si>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</si>
  <si>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</si>
  <si>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</si>
  <si>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</si>
  <si>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</si>
  <si>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</si>
  <si>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</si>
  <si>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</si>
  <si>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</si>
  <si>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</si>
  <si>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</si>
  <si>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</si>
  <si>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</si>
  <si>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</si>
  <si>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</si>
  <si>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</si>
  <si>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</si>
  <si>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</si>
  <si>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</si>
  <si>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</si>
  <si>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</si>
  <si>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</si>
  <si>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</si>
  <si>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</si>
  <si>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</si>
  <si>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</si>
  <si>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</si>
  <si>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</si>
  <si>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</si>
  <si>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</si>
  <si>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</si>
  <si>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</si>
  <si>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</si>
  <si>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</si>
  <si>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</si>
  <si>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</si>
  <si>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</si>
  <si>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</si>
  <si>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</si>
  <si>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</si>
  <si>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</si>
  <si>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</si>
  <si>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</si>
  <si>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</si>
  <si>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</si>
  <si>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</si>
  <si>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</si>
  <si>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</si>
  <si>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</si>
  <si>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</si>
  <si>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</si>
  <si>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</si>
  <si>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</si>
  <si>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</si>
  <si>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</si>
  <si>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</si>
  <si>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</si>
  <si>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</si>
  <si>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</si>
  <si>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</si>
  <si>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</si>
  <si>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</si>
  <si>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</si>
  <si>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</si>
  <si>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</si>
  <si>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</si>
  <si>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</si>
  <si>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</si>
  <si>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</si>
  <si>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</si>
  <si>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</si>
  <si>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</si>
  <si>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</si>
  <si>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</si>
  <si>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</si>
  <si>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</si>
  <si>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</si>
  <si>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</si>
  <si>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</si>
  <si>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</si>
  <si>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</si>
  <si>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</si>
  <si>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</si>
  <si>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</si>
  <si>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</si>
  <si>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</si>
  <si>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</si>
  <si>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</si>
  <si>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</si>
  <si>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</si>
  <si>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</si>
  <si>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</si>
  <si>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</si>
  <si>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</si>
  <si>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</si>
  <si>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</si>
  <si>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</si>
  <si>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</si>
  <si>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</si>
  <si>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</si>
  <si>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</si>
  <si>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</si>
  <si>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</si>
  <si>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</si>
  <si>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</si>
  <si>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</si>
  <si>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</si>
  <si>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</si>
  <si>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</si>
  <si>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</si>
  <si>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</si>
  <si>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</si>
  <si>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</si>
  <si>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</si>
  <si>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</si>
  <si>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</si>
  <si>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</si>
  <si>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</si>
  <si>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</si>
  <si>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</si>
  <si>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</si>
  <si>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</si>
  <si>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</si>
  <si>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</si>
  <si>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</si>
  <si>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</si>
  <si>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</si>
  <si>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</si>
  <si>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</si>
  <si>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</si>
  <si>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</si>
  <si>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</si>
  <si>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</si>
  <si>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</si>
  <si>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</si>
  <si>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</si>
  <si>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</si>
  <si>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</si>
  <si>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</si>
  <si>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</si>
  <si>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</si>
  <si>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</si>
  <si>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</si>
  <si>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</si>
  <si>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</si>
  <si>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</si>
  <si>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</si>
  <si>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</si>
  <si>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</si>
  <si>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</si>
  <si>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</si>
  <si>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</si>
  <si>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</si>
  <si>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</si>
  <si>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</si>
  <si>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</si>
  <si>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</si>
  <si>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</si>
  <si>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</si>
  <si>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</si>
  <si>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</si>
  <si>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</si>
  <si>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</si>
  <si>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</si>
  <si>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</si>
  <si>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</si>
  <si>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</si>
  <si>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</si>
  <si>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</si>
  <si>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</si>
  <si>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</si>
  <si>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</si>
  <si>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</si>
  <si>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</si>
  <si>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</si>
  <si>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</si>
  <si>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</si>
  <si>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</si>
  <si>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</si>
  <si>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</si>
  <si>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</si>
  <si>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</si>
  <si>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</si>
  <si>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</si>
  <si>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</si>
  <si>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</si>
  <si>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</si>
  <si>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</si>
  <si>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</si>
  <si>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</si>
  <si>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</si>
  <si>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</si>
  <si>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</si>
  <si>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</si>
  <si>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</si>
  <si>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</si>
  <si>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</si>
  <si>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</si>
  <si>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</si>
  <si>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</si>
  <si>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</si>
  <si>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</si>
  <si>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</si>
  <si>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</si>
  <si>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</si>
  <si>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</si>
  <si>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</si>
  <si>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</si>
  <si>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</si>
  <si>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</si>
  <si>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</si>
  <si>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</si>
  <si>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</si>
  <si>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</si>
  <si>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</si>
  <si>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</si>
  <si>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</si>
  <si>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</si>
  <si>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</si>
  <si>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</si>
  <si>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</si>
  <si>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</si>
  <si>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</si>
  <si>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</si>
  <si>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</si>
  <si>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</si>
  <si>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</si>
  <si>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</si>
  <si>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</si>
  <si>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</si>
  <si>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</si>
  <si>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</si>
  <si>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</si>
  <si>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</si>
  <si>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</si>
  <si>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</si>
  <si>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</si>
  <si>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</si>
  <si>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</si>
  <si>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</si>
  <si>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</si>
  <si>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</si>
  <si>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</si>
  <si>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</si>
  <si>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</si>
  <si>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</si>
  <si>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</si>
  <si>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</si>
  <si>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</si>
  <si>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</si>
  <si>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</si>
  <si>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</si>
  <si>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</si>
  <si>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</si>
  <si>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</si>
  <si>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</si>
  <si>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</si>
  <si>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</si>
  <si>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</si>
  <si>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</si>
  <si>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</si>
  <si>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</si>
  <si>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</si>
  <si>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</si>
  <si>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</si>
  <si>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</si>
  <si>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</si>
  <si>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</si>
  <si>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</si>
  <si>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</si>
  <si>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</si>
  <si>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</si>
  <si>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</si>
  <si>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</si>
  <si>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</si>
  <si>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</si>
  <si>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</si>
  <si>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</si>
  <si>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</si>
  <si>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</si>
  <si>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</si>
  <si>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</si>
  <si>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</si>
  <si>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</si>
  <si>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</si>
  <si>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</si>
  <si>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</si>
  <si>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</si>
  <si>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</si>
  <si>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</si>
  <si>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</si>
  <si>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</si>
  <si>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</si>
  <si>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</si>
  <si>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</si>
  <si>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</si>
  <si>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</si>
  <si>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</si>
  <si>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</si>
  <si>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</si>
  <si>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</si>
  <si>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</si>
  <si>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</si>
  <si>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</si>
  <si>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</si>
  <si>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</si>
  <si>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</si>
  <si>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</si>
  <si>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</si>
  <si>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</si>
  <si>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</si>
  <si>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</si>
  <si>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</si>
  <si>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</si>
  <si>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</si>
  <si>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</si>
  <si>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</si>
  <si>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</si>
  <si>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</si>
  <si>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</si>
  <si>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</si>
  <si>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</si>
  <si>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</si>
  <si>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</si>
  <si>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</si>
  <si>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</si>
  <si>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</si>
  <si>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</si>
  <si>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</si>
  <si>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</si>
  <si>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</si>
  <si>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</si>
  <si>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</si>
  <si>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</si>
  <si>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</si>
  <si>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</si>
  <si>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</si>
  <si>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</si>
  <si>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</si>
  <si>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</si>
  <si>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</si>
  <si>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</si>
  <si>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</si>
  <si>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</si>
  <si>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</si>
  <si>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</si>
  <si>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</si>
  <si>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</si>
  <si>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</si>
  <si>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</si>
  <si>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</si>
  <si>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</si>
  <si>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</si>
  <si>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</si>
  <si>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</si>
  <si>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</si>
  <si>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</si>
  <si>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</si>
  <si>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</si>
  <si>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</si>
  <si>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</si>
  <si>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</si>
  <si>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</si>
  <si>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</si>
  <si>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</si>
  <si>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</si>
  <si>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</si>
  <si>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</si>
  <si>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</si>
  <si>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</si>
  <si>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</si>
  <si>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</si>
  <si>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</si>
  <si>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</si>
  <si>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</si>
  <si>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</si>
  <si>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</si>
  <si>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</si>
  <si>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</si>
  <si>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</si>
  <si>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</si>
  <si>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</si>
  <si>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</si>
  <si>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</si>
  <si>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</si>
  <si>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</si>
  <si>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</si>
  <si>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</si>
  <si>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</si>
  <si>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</si>
  <si>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</si>
  <si>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</si>
  <si>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</si>
  <si>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</si>
  <si>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</si>
  <si>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</si>
  <si>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</si>
  <si>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</si>
  <si>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</si>
  <si>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</si>
  <si>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</si>
  <si>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</si>
  <si>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</si>
  <si>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</si>
  <si>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</si>
  <si>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</si>
  <si>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</si>
  <si>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</si>
  <si>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</si>
  <si>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</si>
  <si>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</si>
  <si>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</si>
  <si>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</si>
  <si>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</si>
  <si>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</si>
  <si>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</si>
  <si>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</si>
  <si>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</si>
  <si>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</si>
  <si>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</si>
  <si>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</si>
  <si>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</si>
  <si>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</si>
  <si>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</si>
  <si>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</si>
  <si>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</si>
  <si>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</si>
  <si>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</si>
  <si>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</si>
  <si>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</si>
  <si>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</si>
  <si>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</si>
  <si>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</si>
  <si>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</si>
  <si>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</si>
  <si>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</si>
  <si>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</si>
  <si>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</si>
  <si>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</si>
  <si>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</si>
  <si>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</si>
  <si>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</si>
  <si>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</si>
  <si>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</si>
  <si>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</si>
  <si>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</si>
  <si>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</si>
  <si>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</si>
  <si>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</si>
  <si>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</si>
  <si>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</si>
  <si>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</si>
  <si>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</si>
  <si>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</si>
  <si>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</si>
  <si>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</si>
  <si>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</si>
  <si>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</si>
  <si>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</si>
  <si>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</si>
  <si>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</si>
  <si>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</si>
  <si>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</si>
  <si>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</si>
  <si>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</si>
  <si>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</si>
  <si>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</si>
  <si>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</si>
  <si>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</si>
  <si>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</si>
  <si>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</si>
  <si>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</si>
  <si>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</si>
  <si>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</si>
  <si>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</si>
  <si>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</si>
  <si>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</si>
  <si>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</si>
  <si>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</si>
  <si>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</si>
  <si>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</si>
  <si>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</si>
  <si>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</si>
  <si>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</si>
  <si>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</si>
  <si>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</si>
  <si>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</si>
  <si>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</si>
  <si>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</si>
  <si>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</si>
  <si>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</si>
  <si>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</si>
  <si>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</si>
  <si>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</si>
  <si>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</si>
  <si>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</si>
  <si>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</si>
  <si>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</si>
  <si>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</si>
  <si>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</si>
  <si>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</si>
  <si>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</si>
  <si>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</si>
  <si>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</si>
  <si>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</si>
  <si>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</si>
  <si>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</si>
  <si>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</si>
  <si>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</si>
  <si>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</si>
  <si>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</si>
  <si>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</si>
  <si>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</si>
  <si>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</si>
  <si>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</si>
  <si>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</si>
  <si>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</si>
  <si>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</si>
  <si>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</si>
  <si>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</si>
  <si>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</si>
  <si>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</si>
  <si>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</si>
  <si>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</si>
  <si>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</si>
  <si>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</si>
  <si>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</si>
  <si>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</si>
  <si>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</si>
  <si>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</si>
  <si>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</si>
  <si>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</si>
  <si>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</si>
  <si>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</si>
  <si>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</si>
  <si>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</si>
  <si>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</si>
  <si>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</si>
  <si>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</si>
  <si>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</si>
  <si>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</si>
  <si>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</si>
  <si>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</si>
  <si>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</si>
  <si>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</si>
  <si>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</si>
  <si>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</si>
  <si>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</si>
  <si>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</si>
  <si>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</si>
  <si>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</si>
  <si>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</si>
  <si>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</si>
  <si>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</si>
  <si>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</si>
  <si>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</si>
  <si>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</si>
  <si>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</si>
  <si>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</si>
  <si>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</si>
  <si>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</si>
  <si>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</si>
  <si>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</si>
  <si>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</si>
  <si>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</si>
  <si>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</si>
  <si>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</si>
  <si>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</si>
  <si>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</si>
  <si>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</si>
  <si>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</si>
  <si>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</si>
  <si>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</si>
  <si>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</si>
  <si>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</si>
  <si>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</si>
  <si>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</si>
  <si>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</si>
  <si>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</si>
  <si>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</si>
  <si>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</si>
  <si>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</si>
  <si>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</si>
  <si>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</si>
  <si>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</si>
  <si>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</si>
  <si>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</si>
  <si>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</si>
  <si>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</si>
  <si>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</si>
  <si>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</si>
  <si>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</si>
  <si>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</si>
  <si>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</si>
  <si>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</si>
  <si>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</si>
  <si>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</si>
  <si>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</si>
  <si>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</si>
  <si>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</si>
  <si>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</si>
  <si>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</si>
  <si>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</si>
  <si>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</si>
  <si>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</si>
  <si>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</si>
  <si>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</si>
  <si>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</si>
  <si>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</si>
  <si>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</si>
  <si>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</si>
  <si>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</si>
  <si>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</si>
  <si>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</si>
  <si>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</si>
  <si>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</si>
  <si>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</si>
  <si>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</si>
  <si>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</si>
  <si>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</si>
  <si>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</si>
  <si>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</si>
  <si>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</si>
  <si>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</si>
  <si>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</si>
  <si>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</si>
  <si>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</si>
  <si>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</si>
  <si>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</si>
  <si>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</si>
  <si>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</si>
  <si>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</si>
  <si>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</si>
  <si>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</si>
  <si>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</si>
  <si>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</si>
  <si>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</si>
  <si>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</si>
  <si>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</si>
  <si>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</si>
  <si>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</si>
  <si>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</si>
  <si>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</si>
  <si>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</si>
  <si>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</si>
  <si>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</si>
  <si>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</si>
  <si>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</si>
  <si>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</si>
  <si>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</si>
  <si>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</si>
  <si>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</si>
  <si>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</si>
  <si>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</si>
  <si>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</si>
  <si>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</si>
  <si>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</si>
  <si>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</si>
  <si>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</si>
  <si>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</si>
  <si>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</si>
  <si>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</si>
  <si>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</si>
  <si>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</si>
  <si>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</si>
  <si>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</si>
  <si>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</si>
  <si>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</si>
  <si>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</si>
  <si>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</si>
  <si>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</si>
  <si>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</si>
  <si>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</si>
  <si>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</si>
  <si>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</si>
  <si>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</si>
  <si>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</si>
  <si>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</si>
  <si>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</si>
  <si>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</si>
  <si>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</si>
  <si>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</si>
  <si>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</si>
  <si>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</si>
  <si>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</si>
  <si>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</si>
  <si>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</si>
  <si>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</si>
  <si>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</si>
  <si>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</si>
  <si>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</si>
  <si>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</si>
  <si>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</si>
  <si>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</si>
  <si>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</si>
  <si>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</si>
  <si>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</si>
  <si>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</si>
  <si>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</si>
  <si>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</si>
  <si>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</si>
  <si>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</si>
  <si>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</si>
  <si>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</si>
  <si>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</si>
  <si>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</si>
  <si>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</si>
  <si>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</si>
  <si>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</si>
  <si>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</si>
  <si>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</si>
  <si>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</si>
  <si>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</si>
  <si>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</si>
  <si>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</si>
  <si>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</si>
  <si>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</si>
  <si>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</si>
  <si>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</si>
  <si>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</si>
  <si>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</si>
  <si>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</si>
  <si>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</si>
  <si>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</si>
  <si>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</si>
  <si>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</si>
  <si>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</si>
  <si>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</si>
  <si>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</si>
  <si>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</si>
  <si>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</si>
  <si>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</si>
  <si>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</si>
  <si>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</si>
  <si>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</si>
  <si>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</si>
  <si>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</si>
  <si>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</si>
  <si>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</si>
  <si>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</si>
  <si>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</si>
  <si>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</si>
  <si>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</si>
  <si>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</si>
  <si>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</si>
  <si>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</si>
  <si>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</si>
  <si>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</si>
  <si>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</si>
  <si>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</si>
  <si>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</si>
  <si>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</si>
  <si>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</si>
  <si>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</si>
  <si>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</si>
  <si>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</si>
  <si>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</si>
  <si>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</si>
  <si>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</si>
  <si>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</si>
  <si>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</si>
  <si>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</si>
  <si>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</si>
  <si>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</si>
  <si>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</si>
  <si>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</si>
  <si>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</si>
  <si>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</si>
  <si>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</si>
  <si>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</si>
  <si>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</si>
  <si>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</si>
  <si>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</si>
  <si>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</si>
  <si>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</si>
  <si>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</si>
  <si>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</si>
  <si>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</si>
  <si>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</si>
  <si>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</si>
  <si>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</si>
  <si>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</si>
  <si>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</si>
  <si>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</si>
  <si>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</si>
  <si>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</si>
  <si>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</si>
  <si>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</si>
  <si>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</si>
  <si>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</si>
  <si>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</si>
  <si>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</si>
  <si>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</si>
  <si>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</si>
  <si>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</si>
  <si>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</si>
  <si>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</si>
  <si>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</si>
  <si>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</si>
  <si>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</si>
  <si>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</si>
  <si>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</si>
  <si>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</si>
  <si>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</si>
  <si>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</si>
  <si>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</si>
  <si>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</si>
  <si>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</si>
  <si>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</si>
  <si>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</si>
  <si>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</si>
  <si>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</si>
  <si>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</si>
  <si>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</si>
  <si>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</si>
  <si>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</si>
  <si>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</si>
  <si>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</si>
  <si>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</si>
  <si>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</si>
  <si>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</si>
  <si>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</si>
  <si>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</si>
  <si>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</si>
  <si>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</si>
  <si>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</si>
  <si>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</si>
  <si>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</si>
  <si>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</si>
  <si>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</si>
  <si>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</si>
  <si>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</si>
  <si>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</si>
  <si>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</si>
  <si>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</si>
  <si>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</si>
  <si>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</si>
  <si>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</si>
  <si>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</si>
  <si>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</si>
  <si>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</si>
  <si>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</si>
  <si>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</si>
  <si>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</si>
  <si>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</si>
  <si>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</si>
  <si>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</si>
  <si>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</si>
  <si>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</si>
  <si>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</si>
  <si>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</si>
  <si>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</si>
  <si>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</si>
  <si>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</si>
  <si>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</si>
  <si>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</si>
  <si>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</si>
  <si>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</si>
  <si>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</si>
  <si>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</si>
  <si>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</si>
  <si>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</si>
  <si>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</si>
  <si>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</si>
  <si>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</si>
  <si>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</si>
  <si>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</si>
  <si>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</si>
  <si>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</si>
  <si>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</si>
  <si>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</si>
  <si>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</si>
  <si>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</si>
  <si>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</si>
  <si>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</si>
  <si>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</si>
  <si>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</si>
  <si>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</si>
  <si>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</si>
  <si>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</si>
  <si>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</si>
  <si>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</si>
  <si>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</si>
  <si>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</si>
  <si>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</si>
  <si>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</si>
  <si>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</si>
  <si>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</si>
  <si>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</si>
  <si>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</si>
  <si>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</si>
  <si>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</si>
  <si>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</si>
  <si>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</si>
  <si>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</si>
  <si>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</si>
  <si>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</si>
  <si>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</si>
  <si>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</si>
  <si>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</si>
  <si>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</si>
  <si>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</si>
  <si>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</si>
  <si>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</si>
  <si>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</si>
  <si>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</si>
  <si>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</si>
  <si>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</si>
  <si>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</si>
  <si>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</si>
  <si>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</si>
  <si>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</si>
  <si>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</si>
  <si>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</si>
  <si>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</si>
  <si>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</si>
  <si>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</si>
  <si>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</si>
  <si>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</si>
  <si>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</si>
  <si>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</si>
  <si>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</si>
  <si>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</si>
  <si>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</si>
  <si>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</si>
  <si>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</si>
  <si>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</si>
  <si>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</si>
  <si>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</si>
  <si>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</si>
  <si>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</si>
  <si>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</si>
  <si>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</si>
  <si>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</si>
  <si>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</si>
  <si>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</si>
  <si>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</si>
  <si>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</si>
  <si>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</si>
  <si>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</si>
  <si>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</si>
  <si>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</si>
  <si>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</si>
  <si>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</si>
  <si>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</si>
  <si>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</si>
  <si>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</si>
  <si>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</si>
  <si>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</si>
  <si>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</si>
  <si>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</si>
  <si>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</si>
  <si>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</si>
  <si>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</si>
  <si>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</si>
  <si>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</si>
  <si>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</si>
  <si>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</si>
  <si>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</si>
  <si>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</si>
  <si>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</si>
  <si>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</si>
  <si>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</si>
  <si>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</si>
  <si>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</si>
  <si>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</si>
  <si>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</si>
  <si>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</si>
  <si>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</si>
  <si>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</si>
  <si>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</si>
  <si>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</si>
  <si>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</si>
  <si>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</si>
  <si>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</si>
  <si>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</si>
  <si>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</si>
  <si>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</si>
  <si>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</si>
  <si>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</si>
  <si>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</si>
  <si>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</si>
  <si>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</si>
  <si>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</si>
  <si>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</si>
  <si>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</si>
  <si>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</si>
  <si>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</si>
  <si>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</si>
  <si>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</si>
  <si>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</si>
  <si>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</si>
  <si>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</si>
  <si>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</si>
  <si>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</si>
  <si>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</si>
  <si>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</si>
  <si>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</si>
  <si>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</si>
  <si>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</si>
  <si>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</si>
  <si>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</si>
  <si>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</si>
  <si>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</si>
  <si>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</si>
  <si>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</si>
  <si>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</si>
  <si>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</si>
  <si>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</si>
  <si>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</si>
  <si>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</si>
  <si>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</si>
  <si>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</si>
  <si>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</si>
  <si>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</si>
  <si>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</si>
  <si>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</si>
  <si>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</si>
  <si>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</si>
  <si>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</si>
  <si>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</si>
  <si>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</si>
  <si>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</si>
  <si>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</si>
  <si>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</si>
  <si>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</si>
  <si>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</si>
  <si>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</si>
  <si>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</si>
  <si>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</si>
  <si>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</si>
  <si>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</si>
  <si>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</si>
  <si>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</si>
  <si>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</si>
  <si>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</si>
  <si>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</si>
  <si>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</si>
  <si>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</si>
  <si>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</si>
  <si>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</si>
  <si>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</si>
  <si>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</si>
  <si>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</si>
  <si>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</si>
  <si>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</si>
  <si>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</si>
  <si>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</si>
  <si>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</si>
  <si>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</si>
  <si>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</si>
  <si>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</si>
  <si>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</si>
  <si>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</si>
  <si>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</si>
  <si>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</si>
  <si>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</si>
  <si>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</si>
  <si>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</si>
  <si>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</si>
  <si>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</si>
  <si>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</si>
  <si>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</si>
  <si>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</si>
  <si>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</si>
  <si>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</si>
  <si>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</si>
  <si>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</si>
  <si>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</si>
  <si>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</si>
  <si>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</si>
  <si>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</si>
  <si>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</si>
  <si>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</si>
  <si>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</si>
  <si>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</si>
  <si>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</si>
  <si>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</si>
  <si>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</si>
  <si>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</si>
  <si>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</si>
  <si>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</si>
  <si>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</si>
  <si>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</si>
  <si>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</si>
  <si>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</si>
  <si>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</si>
  <si>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</si>
  <si>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</si>
  <si>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</si>
  <si>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</si>
  <si>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</si>
  <si>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</si>
  <si>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</si>
  <si>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</si>
  <si>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</si>
  <si>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</si>
  <si>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</si>
  <si>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</si>
  <si>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</si>
  <si>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</si>
  <si>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</si>
  <si>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</si>
  <si>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</si>
  <si>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</si>
  <si>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</si>
  <si>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</si>
  <si>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</si>
  <si>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</si>
  <si>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</si>
  <si>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</si>
  <si>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</si>
  <si>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</si>
  <si>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</si>
  <si>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</si>
  <si>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</si>
  <si>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</si>
  <si>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</si>
  <si>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</si>
  <si>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</si>
  <si>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</si>
  <si>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</si>
  <si>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</si>
  <si>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</si>
  <si>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</si>
  <si>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</si>
  <si>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</si>
  <si>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</si>
  <si>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</si>
  <si>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</si>
  <si>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</si>
  <si>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</si>
  <si>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</si>
  <si>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</si>
  <si>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</si>
  <si>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</si>
  <si>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</si>
  <si>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</si>
  <si>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</si>
  <si>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</si>
  <si>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</si>
  <si>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</si>
  <si>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</si>
  <si>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</si>
  <si>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</si>
  <si>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Kemper CPA Group LLP</t>
  </si>
  <si>
    <t>Michelle Smith, CPA</t>
  </si>
  <si>
    <t>7200 Eagle Crest Blvd.</t>
  </si>
  <si>
    <t>Evansville</t>
  </si>
  <si>
    <t>IN</t>
  </si>
  <si>
    <t>(812)421-8000</t>
  </si>
  <si>
    <t>(812)421-2292</t>
  </si>
  <si>
    <t>mdsmith@kempercpa.com</t>
  </si>
  <si>
    <t>Wayne, White</t>
  </si>
  <si>
    <t xml:space="preserve">300 West King </t>
  </si>
  <si>
    <t>Fairfield</t>
  </si>
  <si>
    <t>Jill Fulkerson</t>
  </si>
  <si>
    <t>jfulkerson@fchsmules.com</t>
  </si>
  <si>
    <t>(618)842-2649</t>
  </si>
  <si>
    <t>(618)842-5187</t>
  </si>
  <si>
    <t>General Obligation Bonds Series 2016</t>
  </si>
  <si>
    <t>General Obligation Funding Bonds Series 2016A</t>
  </si>
  <si>
    <t>Lease Purchase Agreement</t>
  </si>
  <si>
    <t>Lease Purchase - School Bus</t>
  </si>
  <si>
    <t>Lease Purchase - School Activity Bus</t>
  </si>
  <si>
    <t>Wabash and Ohio Valley Special Ed District (See below)</t>
  </si>
  <si>
    <t>New Hope Comm. Consolidated School Dist #6 (See below)</t>
  </si>
  <si>
    <t>Ohio and Wabash Valley Regional Voc. System (See below)</t>
  </si>
  <si>
    <t>Line 26: Includes school districts within the counties of Edwards, Gallatin, Hamilton, Hardin, Pope, Saline, Wabash, Wayne, and White.</t>
  </si>
  <si>
    <t>Line 30: Regional Office of Education.</t>
  </si>
  <si>
    <t>Line 31: Includes school districts within the counties of Edwards, Gallatin, Hamilton, Hardin, Pope, Saline, Wabash, Wayne, and White.</t>
  </si>
  <si>
    <t>Page 10, Line 81, Account No. 1790 - Other District/School Activity Revenue</t>
  </si>
  <si>
    <t>Educational Fund (10) - Yearbook sales, $16,345</t>
  </si>
  <si>
    <t>Educational Fund (10) - Tech E-Rate, $2,775; TRS Refund, $20,857; ROE Slot Fee Refund, $21,448; Miscellaneous $3,731</t>
  </si>
  <si>
    <t>Transportation Fund (40) - Bus Fees, $120; Operations &amp; Maintenance Fund (20) - Miscellaneous, $4,016.</t>
  </si>
  <si>
    <t>Page 12, Line 172, Account No. 3999 - Other Restricted Revenue from State Sources</t>
  </si>
  <si>
    <t>Educational Fund (10) - State of Illinois Library Grant, $1,500.</t>
  </si>
  <si>
    <t>Audit Checklist, Line 8 - Total Long-Term Debt Issued (P24, Cell F49) must = Principal on Long-Term Debt Sold (P8, Cells C33:K33).</t>
  </si>
  <si>
    <t>Audit Checklist, Line 8 - Total Long-Term Debt (Principal) Retired (P18, Cell H170) must = Debt Service - Long-Term Debt (Principal) Retired (P24, Cells H49).</t>
  </si>
  <si>
    <t>total debt issued on page 24 includes $33,900 of debt proceeds for the purchase of a school activity bus in the Transportation Fund.</t>
  </si>
  <si>
    <t>A difference of $33,900 between the long-term debt issued on page 24 and from principal on long-term debt sold on page 8 exists because</t>
  </si>
  <si>
    <t>The principal payments for debt service in the amount of $51,464 are lease purchase payments accounted for in the Transportation Fund in Account No. 5300,</t>
  </si>
  <si>
    <t>Payments of Principal on Long-Term Debt.</t>
  </si>
  <si>
    <t>District personnel do not possess the necessary accounting expertise to prevent, detect, or correct potential omissions in the footnotes to the financial statements.</t>
  </si>
  <si>
    <t>In the absence of the necessary knowledge and expertise, the District must rely on the auditors to ensure the notes to the financial statements are properly presented.</t>
  </si>
  <si>
    <t>The District cannot prepare the notes to the financial statements.</t>
  </si>
  <si>
    <t>The District personnel have not obtained the necessary knowledge or expertise.</t>
  </si>
  <si>
    <t>The District should provide the necessary training to the personnel or contract with an independent contractor with the knowledge to properly prepare the notes to the financial statements.</t>
  </si>
  <si>
    <t>Management has allowed actual expenditures disbursed to exceed budgeted amounts in the following funds: (8) Tort, and (9) Fire Prevention &amp; Safety.</t>
  </si>
  <si>
    <t>The Tort and Fire Prevention &amp; Safety Funds incurred actual expenditures disbursed in excess of budgeted amounts.</t>
  </si>
  <si>
    <t>The District is authorizing and making disbursements that exceed the amounts represented to the citizens of the District in the adopted budget.</t>
  </si>
  <si>
    <t>The School Board has the responsibility to monitor actual expenditures disbursed and to compare disbursements to the budget adopted by the School Board. The School Board is approving disbursements without adequately monitoring the budget.</t>
  </si>
  <si>
    <t>The School Board, District administration, and management will compare actual expenditures disbursed with the amounts in the adopted budgets on a regular basis and adopt amended budgets as necessary under the circumstances.</t>
  </si>
  <si>
    <t>We, the School Board, District administration, and management will compare actual expenditures disbursed with the amounts in the adopted budgets on a regular basis and adopt amended budgets as necessary.</t>
  </si>
  <si>
    <t>2017-001</t>
  </si>
  <si>
    <t>Lacks sufficient expertise to prepare financial statements.</t>
  </si>
  <si>
    <t>Unresolved - See Finding 2018-001</t>
  </si>
  <si>
    <t>2017-002</t>
  </si>
  <si>
    <t>Overexpenditure of budgeted amounts.</t>
  </si>
  <si>
    <t>Unresolved - See Finding 2018-002</t>
  </si>
  <si>
    <t>The District does not currently employ an individual with the necessary knowledge and expertise to draft the footnotes to the financial statements.</t>
  </si>
  <si>
    <t>Illinois Complied Statutes requires total expenditures disbursed to not exceed budgeted amounts. During the current fiscal year, budgets were exceeded in the following funds: Educational ($3,128), Tort ($8,025), and Fire Prevention &amp; Safety ($115,129).</t>
  </si>
  <si>
    <t>Page 10, Line 107, Account No. 1999 - Other Local Revenues</t>
  </si>
  <si>
    <t>The District does not currently see the value in the additional cost of seeking additional accounting expertise to prepare financial statements.</t>
  </si>
  <si>
    <t>Fairfield CHSD 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</si>
</sst>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4" fillId="0" borderId="162" xfId="3" applyFont="1" applyBorder="1" applyProtection="1">
      <protection locked="0"/>
    </xf>
    <xf numFmtId="0" fontId="51" fillId="0" borderId="0" xfId="3" applyFont="1" applyAlignment="1" applyProtection="1">
      <alignment horizontal="center" vertical="center"/>
    </xf>
    <xf numFmtId="0" fontId="54" fillId="0" borderId="0" xfId="3" applyFont="1" applyBorder="1" applyAlignment="1" applyProtection="1">
      <alignment horizontal="center"/>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0</xdr:row>
          <xdr:rowOff>0</xdr:rowOff>
        </xdr:from>
        <xdr:to>
          <xdr:col>12</xdr:col>
          <xdr:colOff>428625</xdr:colOff>
          <xdr:row>43</xdr:row>
          <xdr:rowOff>104775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20096225016</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2086</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2137</v>
      </c>
      <c r="B17" s="1996"/>
      <c r="C17" s="1996"/>
      <c r="D17" s="1996"/>
      <c r="E17" s="1996"/>
      <c r="F17" s="1996"/>
      <c r="G17" s="1996"/>
      <c r="H17" s="2021"/>
      <c r="T17" s="2052" t="s">
        <v>2080</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2087</v>
      </c>
      <c r="B19" s="1981"/>
      <c r="C19" s="1981"/>
      <c r="D19" s="1981"/>
      <c r="E19" s="1981"/>
      <c r="F19" s="1981"/>
      <c r="G19" s="1981"/>
      <c r="H19" s="1961"/>
      <c r="I19" s="30"/>
      <c r="J19" s="99"/>
      <c r="K19" s="40"/>
      <c r="L19" s="38"/>
      <c r="M19" s="112" t="s">
        <v>333</v>
      </c>
      <c r="P19" s="27"/>
      <c r="Q19" s="27"/>
      <c r="R19" s="27"/>
      <c r="S19" s="31"/>
      <c r="T19" s="2035" t="s">
        <v>2081</v>
      </c>
      <c r="U19" s="1960"/>
      <c r="V19" s="1960"/>
      <c r="W19" s="1961"/>
      <c r="X19" s="2050" t="s">
        <v>2082</v>
      </c>
      <c r="Y19" s="2051"/>
      <c r="Z19" s="2048">
        <v>47715</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2088</v>
      </c>
      <c r="B21" s="1960"/>
      <c r="C21" s="1960"/>
      <c r="D21" s="1960"/>
      <c r="E21" s="1960"/>
      <c r="F21" s="1960"/>
      <c r="G21" s="1960"/>
      <c r="H21" s="1961"/>
      <c r="I21" s="2015" t="s">
        <v>699</v>
      </c>
      <c r="J21" s="2010"/>
      <c r="K21" s="2010"/>
      <c r="L21" s="2010"/>
      <c r="M21" s="2010"/>
      <c r="N21" s="2010"/>
      <c r="O21" s="2010"/>
      <c r="P21" s="2010"/>
      <c r="Q21" s="2010"/>
      <c r="R21" s="2010"/>
      <c r="S21" s="2016"/>
      <c r="T21" s="2059" t="s">
        <v>2083</v>
      </c>
      <c r="U21" s="2060"/>
      <c r="V21" s="2060"/>
      <c r="W21" s="2060"/>
      <c r="X21" s="2065" t="s">
        <v>2084</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c r="U23" s="2058"/>
      <c r="V23" s="2058"/>
      <c r="W23" s="2058"/>
      <c r="X23" s="2062"/>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62837</v>
      </c>
      <c r="B25" s="1960"/>
      <c r="C25" s="1960"/>
      <c r="D25" s="1960"/>
      <c r="E25" s="1960"/>
      <c r="F25" s="1960"/>
      <c r="G25" s="1960"/>
      <c r="H25" s="1961"/>
      <c r="I25" s="113"/>
      <c r="J25" s="1984"/>
      <c r="K25" s="1984"/>
      <c r="L25" s="1984"/>
      <c r="M25" s="1984"/>
      <c r="N25" s="1984"/>
      <c r="O25" s="1984"/>
      <c r="P25" s="1984"/>
      <c r="Q25" s="1984"/>
      <c r="R25" s="1984"/>
      <c r="S25" s="1985"/>
      <c r="T25" s="2055" t="s">
        <v>2085</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2089</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2090</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2091</v>
      </c>
      <c r="B42" s="1979"/>
      <c r="C42" s="1980"/>
      <c r="D42" s="1978" t="s">
        <v>2092</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activeCell="A13" sqref="A13:H1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867271</v>
      </c>
      <c r="C4" s="1546"/>
      <c r="D4" s="1774">
        <f>B4-C4</f>
        <v>867271</v>
      </c>
      <c r="E4" s="1546">
        <v>932194</v>
      </c>
      <c r="F4" s="1774">
        <f>E4-C4</f>
        <v>932194</v>
      </c>
    </row>
    <row r="5" spans="1:6" ht="13.7" customHeight="1" x14ac:dyDescent="0.2">
      <c r="A5" s="716" t="s">
        <v>925</v>
      </c>
      <c r="B5" s="1772">
        <f>'Revenues 9-14'!D5</f>
        <v>236323</v>
      </c>
      <c r="C5" s="585"/>
      <c r="D5" s="1775">
        <f t="shared" ref="D5:D18" si="0">B5-C5</f>
        <v>236323</v>
      </c>
      <c r="E5" s="585">
        <v>253313</v>
      </c>
      <c r="F5" s="1775">
        <f>E5-C5</f>
        <v>253313</v>
      </c>
    </row>
    <row r="6" spans="1:6" ht="13.7" customHeight="1" x14ac:dyDescent="0.2">
      <c r="A6" s="716" t="s">
        <v>431</v>
      </c>
      <c r="B6" s="1772">
        <f>'Revenues 9-14'!E5</f>
        <v>375583</v>
      </c>
      <c r="C6" s="585"/>
      <c r="D6" s="1775">
        <f t="shared" si="0"/>
        <v>375583</v>
      </c>
      <c r="E6" s="585">
        <v>392469</v>
      </c>
      <c r="F6" s="1775">
        <f t="shared" ref="F6:F18" si="1">E6-C6</f>
        <v>392469</v>
      </c>
    </row>
    <row r="7" spans="1:6" ht="13.7" customHeight="1" x14ac:dyDescent="0.2">
      <c r="A7" s="716" t="s">
        <v>157</v>
      </c>
      <c r="B7" s="1772">
        <f>'Revenues 9-14'!F5</f>
        <v>113435</v>
      </c>
      <c r="C7" s="585"/>
      <c r="D7" s="1775">
        <f t="shared" si="0"/>
        <v>113435</v>
      </c>
      <c r="E7" s="585">
        <v>121590</v>
      </c>
      <c r="F7" s="1775">
        <f t="shared" si="1"/>
        <v>121590</v>
      </c>
    </row>
    <row r="8" spans="1:6" ht="13.7" customHeight="1" x14ac:dyDescent="0.2">
      <c r="A8" s="716" t="s">
        <v>1241</v>
      </c>
      <c r="B8" s="1772">
        <f>'Revenues 9-14'!G5</f>
        <v>115351</v>
      </c>
      <c r="C8" s="585"/>
      <c r="D8" s="1775">
        <f t="shared" si="0"/>
        <v>115351</v>
      </c>
      <c r="E8" s="585">
        <v>121563</v>
      </c>
      <c r="F8" s="1775">
        <f t="shared" si="1"/>
        <v>121563</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47265</v>
      </c>
      <c r="C10" s="585"/>
      <c r="D10" s="1775">
        <f t="shared" si="0"/>
        <v>47265</v>
      </c>
      <c r="E10" s="585">
        <v>50663</v>
      </c>
      <c r="F10" s="1775">
        <f t="shared" si="1"/>
        <v>50663</v>
      </c>
    </row>
    <row r="11" spans="1:6" x14ac:dyDescent="0.2">
      <c r="A11" s="716" t="s">
        <v>429</v>
      </c>
      <c r="B11" s="1772">
        <f>'Revenues 9-14'!J5</f>
        <v>236729</v>
      </c>
      <c r="C11" s="585"/>
      <c r="D11" s="1775">
        <f t="shared" si="0"/>
        <v>236729</v>
      </c>
      <c r="E11" s="585">
        <v>253594</v>
      </c>
      <c r="F11" s="1775">
        <f t="shared" si="1"/>
        <v>253594</v>
      </c>
    </row>
    <row r="12" spans="1:6" ht="13.7" customHeight="1" x14ac:dyDescent="0.2">
      <c r="A12" s="716" t="s">
        <v>159</v>
      </c>
      <c r="B12" s="1772">
        <f>'Revenues 9-14'!K5</f>
        <v>47265</v>
      </c>
      <c r="C12" s="585"/>
      <c r="D12" s="1775">
        <f t="shared" si="0"/>
        <v>47265</v>
      </c>
      <c r="E12" s="585">
        <v>50663</v>
      </c>
      <c r="F12" s="1775">
        <f t="shared" si="1"/>
        <v>50663</v>
      </c>
    </row>
    <row r="13" spans="1:6" ht="13.7" customHeight="1" x14ac:dyDescent="0.2">
      <c r="A13" s="716" t="s">
        <v>993</v>
      </c>
      <c r="B13" s="1772">
        <f>SUM('Revenues 9-14'!C6:D6)</f>
        <v>47265</v>
      </c>
      <c r="C13" s="585"/>
      <c r="D13" s="1775">
        <f t="shared" si="0"/>
        <v>47265</v>
      </c>
      <c r="E13" s="585">
        <v>50663</v>
      </c>
      <c r="F13" s="1775">
        <f t="shared" si="1"/>
        <v>50663</v>
      </c>
    </row>
    <row r="14" spans="1:6" ht="13.7" customHeight="1" x14ac:dyDescent="0.2">
      <c r="A14" s="716" t="s">
        <v>430</v>
      </c>
      <c r="B14" s="1772">
        <f>SUM('Revenues 9-14'!C7:D7,'Revenues 9-14'!F7:H7)</f>
        <v>18906</v>
      </c>
      <c r="C14" s="585"/>
      <c r="D14" s="1775">
        <f t="shared" si="0"/>
        <v>18906</v>
      </c>
      <c r="E14" s="585">
        <v>20265</v>
      </c>
      <c r="F14" s="1775">
        <f t="shared" si="1"/>
        <v>20265</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64194</v>
      </c>
      <c r="C16" s="585"/>
      <c r="D16" s="1775">
        <f t="shared" si="0"/>
        <v>64194</v>
      </c>
      <c r="E16" s="585">
        <v>68116</v>
      </c>
      <c r="F16" s="1775">
        <f t="shared" si="1"/>
        <v>68116</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2169587</v>
      </c>
      <c r="C19" s="1773">
        <f>SUM(C4:C18)</f>
        <v>0</v>
      </c>
      <c r="D19" s="1773">
        <f>SUM(D4:D18)</f>
        <v>2169587</v>
      </c>
      <c r="E19" s="1773">
        <f>SUM(E4:E18)</f>
        <v>2315093</v>
      </c>
      <c r="F19" s="1773">
        <f>SUM(F4:F18)</f>
        <v>2315093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Normal="100" workbookViewId="0">
      <selection activeCell="A13" sqref="A13:H1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8" t="s">
        <v>2036</v>
      </c>
      <c r="D2" s="724" t="s">
        <v>2043</v>
      </c>
      <c r="E2" s="724" t="s">
        <v>2044</v>
      </c>
      <c r="F2" s="1908"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2093</v>
      </c>
      <c r="B31" s="734">
        <v>42663</v>
      </c>
      <c r="C31" s="735">
        <v>1301700</v>
      </c>
      <c r="D31" s="736">
        <v>4</v>
      </c>
      <c r="E31" s="735">
        <v>1166800</v>
      </c>
      <c r="F31" s="735"/>
      <c r="G31" s="735"/>
      <c r="H31" s="735">
        <v>122400</v>
      </c>
      <c r="I31" s="1778">
        <f>((E31+F31)-H31)+G31</f>
        <v>1044400</v>
      </c>
      <c r="J31" s="735">
        <v>992301</v>
      </c>
      <c r="K31" s="737"/>
    </row>
    <row r="32" spans="1:11" ht="12" customHeight="1" x14ac:dyDescent="0.2">
      <c r="A32" s="733" t="s">
        <v>2094</v>
      </c>
      <c r="B32" s="734">
        <v>42675</v>
      </c>
      <c r="C32" s="735">
        <v>1698300</v>
      </c>
      <c r="D32" s="736">
        <v>4</v>
      </c>
      <c r="E32" s="735">
        <v>1522300</v>
      </c>
      <c r="F32" s="735"/>
      <c r="G32" s="735"/>
      <c r="H32" s="735">
        <v>159700</v>
      </c>
      <c r="I32" s="1778">
        <f>((E32+F32)-H32)+G32</f>
        <v>1362600</v>
      </c>
      <c r="J32" s="735">
        <v>1294627</v>
      </c>
      <c r="K32" s="737"/>
    </row>
    <row r="33" spans="1:11" ht="12" customHeight="1" x14ac:dyDescent="0.2">
      <c r="A33" s="733" t="s">
        <v>2095</v>
      </c>
      <c r="B33" s="734">
        <v>42597</v>
      </c>
      <c r="C33" s="735">
        <v>77900</v>
      </c>
      <c r="D33" s="736">
        <v>7</v>
      </c>
      <c r="E33" s="735">
        <v>61126</v>
      </c>
      <c r="F33" s="735"/>
      <c r="G33" s="735"/>
      <c r="H33" s="735">
        <v>14430</v>
      </c>
      <c r="I33" s="1778">
        <f t="shared" ref="I33:I48" si="1">((E33+F33)-H33)+G33</f>
        <v>46696</v>
      </c>
      <c r="J33" s="735">
        <v>46696</v>
      </c>
      <c r="K33" s="737"/>
    </row>
    <row r="34" spans="1:11" ht="12" customHeight="1" x14ac:dyDescent="0.2">
      <c r="A34" s="733" t="s">
        <v>2095</v>
      </c>
      <c r="B34" s="734">
        <v>42714</v>
      </c>
      <c r="C34" s="735">
        <v>77900</v>
      </c>
      <c r="D34" s="736">
        <v>8</v>
      </c>
      <c r="E34" s="735">
        <v>61126</v>
      </c>
      <c r="F34" s="735"/>
      <c r="G34" s="735"/>
      <c r="H34" s="735">
        <v>14430</v>
      </c>
      <c r="I34" s="1778">
        <f t="shared" si="1"/>
        <v>46696</v>
      </c>
      <c r="J34" s="735">
        <v>46696</v>
      </c>
      <c r="K34" s="738"/>
    </row>
    <row r="35" spans="1:11" ht="12" customHeight="1" x14ac:dyDescent="0.2">
      <c r="A35" s="733" t="s">
        <v>2095</v>
      </c>
      <c r="B35" s="734">
        <v>42908</v>
      </c>
      <c r="C35" s="739">
        <v>33900</v>
      </c>
      <c r="D35" s="736">
        <v>9</v>
      </c>
      <c r="E35" s="739"/>
      <c r="F35" s="739">
        <v>33900</v>
      </c>
      <c r="G35" s="739"/>
      <c r="H35" s="739">
        <v>22604</v>
      </c>
      <c r="I35" s="1778">
        <f t="shared" si="1"/>
        <v>11296</v>
      </c>
      <c r="J35" s="739">
        <v>11296</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3189700</v>
      </c>
      <c r="D49" s="746"/>
      <c r="E49" s="1778">
        <f t="shared" ref="E49:J49" si="2">SUM(E31:E48)</f>
        <v>2811352</v>
      </c>
      <c r="F49" s="1778">
        <f t="shared" si="2"/>
        <v>33900</v>
      </c>
      <c r="G49" s="1778">
        <f t="shared" si="2"/>
        <v>0</v>
      </c>
      <c r="H49" s="1778">
        <f t="shared" si="2"/>
        <v>333564</v>
      </c>
      <c r="I49" s="1778">
        <f t="shared" si="2"/>
        <v>2511688</v>
      </c>
      <c r="J49" s="1778">
        <f t="shared" si="2"/>
        <v>2391616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t="s">
        <v>2096</v>
      </c>
      <c r="G52" s="2206"/>
      <c r="H52" s="737"/>
      <c r="I52" s="737"/>
      <c r="J52" s="747"/>
    </row>
    <row r="53" spans="1:11" ht="11.25" customHeight="1" x14ac:dyDescent="0.2">
      <c r="A53" s="751" t="s">
        <v>969</v>
      </c>
      <c r="B53" s="752" t="s">
        <v>1008</v>
      </c>
      <c r="C53" s="747"/>
      <c r="D53" s="738"/>
      <c r="E53" s="750" t="s">
        <v>518</v>
      </c>
      <c r="F53" s="2207" t="s">
        <v>2096</v>
      </c>
      <c r="G53" s="2208"/>
      <c r="H53" s="737"/>
      <c r="I53" s="737"/>
      <c r="J53" s="747"/>
    </row>
    <row r="54" spans="1:11" ht="11.25" customHeight="1" x14ac:dyDescent="0.2">
      <c r="A54" s="753" t="s">
        <v>970</v>
      </c>
      <c r="B54" s="748" t="s">
        <v>1009</v>
      </c>
      <c r="C54" s="747"/>
      <c r="D54" s="738"/>
      <c r="E54" s="750" t="s">
        <v>519</v>
      </c>
      <c r="F54" s="2207" t="s">
        <v>2097</v>
      </c>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Normal="100" workbookViewId="0">
      <selection activeCell="A13" sqref="A13:H1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18906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22294</v>
      </c>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18906</v>
      </c>
      <c r="I12" s="1780">
        <f>SUM(I5:I11)</f>
        <v>0</v>
      </c>
      <c r="J12" s="1780">
        <f>SUM(J5:J11)</f>
        <v>0</v>
      </c>
      <c r="K12" s="1780">
        <f>SUM(K5:K11)</f>
        <v>22294</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18906</v>
      </c>
      <c r="I14" s="772"/>
      <c r="J14" s="774"/>
      <c r="K14" s="766">
        <v>22294</v>
      </c>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18906</v>
      </c>
      <c r="I23" s="1780">
        <f>SUM(I14:I16,I21,I22)</f>
        <v>0</v>
      </c>
      <c r="J23" s="1780">
        <f>SUM(J14:J16,J21,J22)</f>
        <v>0</v>
      </c>
      <c r="K23" s="1780">
        <f>SUM(K14:K16,K21,K22)</f>
        <v>22294</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A13" sqref="A13:H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250214</v>
      </c>
      <c r="D5" s="842">
        <v>16802</v>
      </c>
      <c r="E5" s="842"/>
      <c r="F5" s="1782">
        <f>(C5+D5)-E5</f>
        <v>267016</v>
      </c>
      <c r="G5" s="838"/>
      <c r="H5" s="843"/>
      <c r="I5" s="843"/>
      <c r="J5" s="843"/>
      <c r="K5" s="794"/>
      <c r="L5" s="1791">
        <f>F5-K5</f>
        <v>267016</v>
      </c>
    </row>
    <row r="6" spans="1:14" ht="14.25" thickTop="1" thickBot="1" x14ac:dyDescent="0.25">
      <c r="A6" s="779" t="s">
        <v>1179</v>
      </c>
      <c r="B6" s="841">
        <v>222</v>
      </c>
      <c r="C6" s="766">
        <v>34355</v>
      </c>
      <c r="D6" s="766"/>
      <c r="E6" s="766"/>
      <c r="F6" s="1782">
        <f>(C6+D6)-E6</f>
        <v>34355</v>
      </c>
      <c r="G6" s="838">
        <v>50</v>
      </c>
      <c r="H6" s="766">
        <v>1260</v>
      </c>
      <c r="I6" s="766">
        <v>687</v>
      </c>
      <c r="J6" s="766"/>
      <c r="K6" s="1791">
        <f>(H6+I6)-J6</f>
        <v>1947</v>
      </c>
      <c r="L6" s="1791">
        <f>F6-K6</f>
        <v>32408</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12602782</v>
      </c>
      <c r="D8" s="845"/>
      <c r="E8" s="845"/>
      <c r="F8" s="1782">
        <f>(C8+D8)-E8</f>
        <v>12602782</v>
      </c>
      <c r="G8" s="844">
        <v>50</v>
      </c>
      <c r="H8" s="766">
        <v>4635915</v>
      </c>
      <c r="I8" s="766">
        <v>252056</v>
      </c>
      <c r="J8" s="766"/>
      <c r="K8" s="1791">
        <f>(H8+I8)-J8</f>
        <v>4887971</v>
      </c>
      <c r="L8" s="1791">
        <f>F8-K8</f>
        <v>7714811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501437</v>
      </c>
      <c r="D10" s="847">
        <v>751761</v>
      </c>
      <c r="E10" s="847"/>
      <c r="F10" s="1786">
        <f>(C10+D10)-E10</f>
        <v>1253198</v>
      </c>
      <c r="G10" s="844">
        <v>20</v>
      </c>
      <c r="H10" s="848">
        <v>327572</v>
      </c>
      <c r="I10" s="848">
        <v>25611</v>
      </c>
      <c r="J10" s="848"/>
      <c r="K10" s="1791">
        <f>(H10+I10)-J10</f>
        <v>353183</v>
      </c>
      <c r="L10" s="1791">
        <f>F10-K10</f>
        <v>900015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626419</v>
      </c>
      <c r="D12" s="845">
        <v>2786</v>
      </c>
      <c r="E12" s="845">
        <v>60983</v>
      </c>
      <c r="F12" s="1782">
        <f>(C12+D12)-E12</f>
        <v>568222</v>
      </c>
      <c r="G12" s="844">
        <v>10</v>
      </c>
      <c r="H12" s="766">
        <v>304515</v>
      </c>
      <c r="I12" s="766">
        <v>61550</v>
      </c>
      <c r="J12" s="766">
        <v>60983</v>
      </c>
      <c r="K12" s="1791">
        <f>(H12+I12)-J12</f>
        <v>305082</v>
      </c>
      <c r="L12" s="1791">
        <f>F12-K12</f>
        <v>263140</v>
      </c>
    </row>
    <row r="13" spans="1:14" ht="14.25" thickTop="1" thickBot="1" x14ac:dyDescent="0.25">
      <c r="A13" s="849" t="s">
        <v>1184</v>
      </c>
      <c r="B13" s="841">
        <v>252</v>
      </c>
      <c r="C13" s="845">
        <v>562415</v>
      </c>
      <c r="D13" s="845">
        <v>16250</v>
      </c>
      <c r="E13" s="845">
        <v>44595</v>
      </c>
      <c r="F13" s="1782">
        <f>(C13+D13)-E13</f>
        <v>534070</v>
      </c>
      <c r="G13" s="844">
        <v>5</v>
      </c>
      <c r="H13" s="766">
        <v>393343</v>
      </c>
      <c r="I13" s="766">
        <v>34766</v>
      </c>
      <c r="J13" s="766">
        <v>44595</v>
      </c>
      <c r="K13" s="1791">
        <f>(H13+I13)-J13</f>
        <v>383514</v>
      </c>
      <c r="L13" s="1791">
        <f>F13-K13</f>
        <v>150556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138194</v>
      </c>
      <c r="D15" s="845">
        <v>608289</v>
      </c>
      <c r="E15" s="845">
        <v>138194</v>
      </c>
      <c r="F15" s="1782">
        <f>(C15+D15)-E15</f>
        <v>608289</v>
      </c>
      <c r="G15" s="850" t="s">
        <v>917</v>
      </c>
      <c r="H15" s="782"/>
      <c r="I15" s="782"/>
      <c r="J15" s="782"/>
      <c r="K15" s="782"/>
      <c r="L15" s="1791">
        <f>F15-K15</f>
        <v>608289</v>
      </c>
    </row>
    <row r="16" spans="1:14" ht="15" customHeight="1" thickTop="1" thickBot="1" x14ac:dyDescent="0.25">
      <c r="A16" s="1787" t="s">
        <v>664</v>
      </c>
      <c r="B16" s="1788">
        <v>200</v>
      </c>
      <c r="C16" s="1782">
        <f>SUM(C3,C5:C6,C8:C10,C12:C15)</f>
        <v>14715816</v>
      </c>
      <c r="D16" s="1782">
        <f>SUM(D3,D5:D6,D8:D10,D12:D15)</f>
        <v>1395888</v>
      </c>
      <c r="E16" s="1782">
        <f>SUM(E3,E5:E6,E8:E10,E12:E15)</f>
        <v>243772</v>
      </c>
      <c r="F16" s="1782">
        <f>SUM(F3,F5:F6,F8:F10,F12:F15)</f>
        <v>15867932</v>
      </c>
      <c r="G16" s="844"/>
      <c r="H16" s="1782">
        <f>SUM(H3,H6,H8:H10,H12:H14,)</f>
        <v>5662605</v>
      </c>
      <c r="I16" s="1782">
        <f>SUM(I3,I6,I8:I10,I12:I14,)</f>
        <v>374670</v>
      </c>
      <c r="J16" s="1782">
        <f>SUM(J3,J6,J8:J10,J12:J14,)</f>
        <v>105578</v>
      </c>
      <c r="K16" s="1782">
        <f>(H16+I16)-J16</f>
        <v>5931697</v>
      </c>
      <c r="L16" s="1782">
        <f>F16-K16</f>
        <v>9936235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374670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94" activePane="bottomLeft" state="frozen"/>
      <selection activeCell="A13" sqref="A13:H13"/>
      <selection pane="bottomLeft" activeCell="A13" sqref="A13:H1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3270695</v>
      </c>
      <c r="G8" s="866"/>
    </row>
    <row r="9" spans="1:7" x14ac:dyDescent="0.2">
      <c r="A9" s="870" t="s">
        <v>480</v>
      </c>
      <c r="B9" s="871" t="s">
        <v>1988</v>
      </c>
      <c r="C9" s="872"/>
      <c r="D9" s="870" t="s">
        <v>522</v>
      </c>
      <c r="E9" s="869"/>
      <c r="F9" s="1934">
        <f>'Expenditures 15-22'!K151</f>
        <v>424593</v>
      </c>
      <c r="G9" s="873"/>
    </row>
    <row r="10" spans="1:7" x14ac:dyDescent="0.2">
      <c r="A10" s="870" t="s">
        <v>520</v>
      </c>
      <c r="B10" s="871" t="s">
        <v>1989</v>
      </c>
      <c r="C10" s="872"/>
      <c r="D10" s="870" t="s">
        <v>522</v>
      </c>
      <c r="E10" s="869"/>
      <c r="F10" s="1934">
        <f>'Expenditures 15-22'!K174</f>
        <v>375245</v>
      </c>
      <c r="G10" s="873"/>
    </row>
    <row r="11" spans="1:7" x14ac:dyDescent="0.2">
      <c r="A11" s="870" t="s">
        <v>481</v>
      </c>
      <c r="B11" s="871" t="s">
        <v>1990</v>
      </c>
      <c r="C11" s="872"/>
      <c r="D11" s="870" t="s">
        <v>522</v>
      </c>
      <c r="E11" s="869"/>
      <c r="F11" s="1934">
        <f>'Expenditures 15-22'!K210</f>
        <v>201514</v>
      </c>
      <c r="G11" s="873"/>
    </row>
    <row r="12" spans="1:7" x14ac:dyDescent="0.2">
      <c r="A12" s="870" t="s">
        <v>482</v>
      </c>
      <c r="B12" s="871" t="s">
        <v>1991</v>
      </c>
      <c r="C12" s="872"/>
      <c r="D12" s="870" t="s">
        <v>522</v>
      </c>
      <c r="E12" s="869"/>
      <c r="F12" s="1934">
        <f>'Expenditures 15-22'!K295</f>
        <v>141854</v>
      </c>
      <c r="G12" s="873"/>
    </row>
    <row r="13" spans="1:7" x14ac:dyDescent="0.2">
      <c r="A13" s="870" t="s">
        <v>108</v>
      </c>
      <c r="B13" s="871" t="s">
        <v>1992</v>
      </c>
      <c r="C13" s="872"/>
      <c r="D13" s="870" t="s">
        <v>522</v>
      </c>
      <c r="E13" s="869"/>
      <c r="F13" s="1934">
        <f>'Expenditures 15-22'!K342</f>
        <v>229725</v>
      </c>
      <c r="G13" s="874"/>
    </row>
    <row r="14" spans="1:7" ht="12" customHeight="1" thickBot="1" x14ac:dyDescent="0.25">
      <c r="A14" s="1792"/>
      <c r="B14" s="1793"/>
      <c r="C14" s="1794"/>
      <c r="D14" s="1795" t="s">
        <v>522</v>
      </c>
      <c r="E14" s="1796" t="s">
        <v>1015</v>
      </c>
      <c r="F14" s="1797">
        <f>SUM(F8:F13)</f>
        <v>4643626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333302</v>
      </c>
      <c r="G53" s="866"/>
    </row>
    <row r="54" spans="1:7" x14ac:dyDescent="0.2">
      <c r="A54" s="870" t="s">
        <v>479</v>
      </c>
      <c r="B54" s="870" t="s">
        <v>1552</v>
      </c>
      <c r="C54" s="890" t="s">
        <v>1039</v>
      </c>
      <c r="D54" s="886" t="s">
        <v>1157</v>
      </c>
      <c r="E54" s="869"/>
      <c r="F54" s="1938">
        <f>'Expenditures 15-22'!G114</f>
        <v>35838</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5615</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282100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56957</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713812</v>
      </c>
      <c r="G76" s="866"/>
    </row>
    <row r="77" spans="1:8" s="894" customFormat="1" ht="12" customHeight="1" thickTop="1" thickBot="1" x14ac:dyDescent="0.25">
      <c r="A77" s="1801"/>
      <c r="B77" s="1798"/>
      <c r="C77" s="1794"/>
      <c r="D77" s="1799" t="s">
        <v>2011</v>
      </c>
      <c r="E77" s="1796"/>
      <c r="F77" s="1802">
        <f>(F14-F76)</f>
        <v>3929814</v>
      </c>
      <c r="G77" s="870"/>
    </row>
    <row r="78" spans="1:8" s="894" customFormat="1" ht="12" customHeight="1" thickTop="1" x14ac:dyDescent="0.2">
      <c r="A78" s="1803"/>
      <c r="B78" s="1798"/>
      <c r="C78" s="1794"/>
      <c r="D78" s="1799" t="s">
        <v>2057</v>
      </c>
      <c r="E78" s="1796"/>
      <c r="F78" s="899">
        <v>400.14</v>
      </c>
      <c r="G78" s="900"/>
      <c r="H78" s="870"/>
    </row>
    <row r="79" spans="1:8" s="894" customFormat="1" ht="12" customHeight="1" thickBot="1" x14ac:dyDescent="0.25">
      <c r="A79" s="1804"/>
      <c r="B79" s="1798"/>
      <c r="C79" s="1794"/>
      <c r="D79" s="1799" t="s">
        <v>2012</v>
      </c>
      <c r="E79" s="1796" t="s">
        <v>1015</v>
      </c>
      <c r="F79" s="1805">
        <f>IF(F78&gt;0,F77/F78," Complete Line 78")</f>
        <v>9821.0976158344583</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12141</v>
      </c>
      <c r="G94" s="913"/>
    </row>
    <row r="95" spans="1:7" x14ac:dyDescent="0.2">
      <c r="A95" s="909" t="s">
        <v>142</v>
      </c>
      <c r="B95" s="909" t="s">
        <v>177</v>
      </c>
      <c r="C95" s="911">
        <v>1700</v>
      </c>
      <c r="D95" s="919" t="str">
        <f>'Revenues 9-14'!A82</f>
        <v>Total District/School Activity Income</v>
      </c>
      <c r="E95" s="907"/>
      <c r="F95" s="1811">
        <f>SUM('Revenues 9-14'!C82,'Revenues 9-14'!D82)</f>
        <v>49271</v>
      </c>
      <c r="G95" s="913"/>
    </row>
    <row r="96" spans="1:7" x14ac:dyDescent="0.2">
      <c r="A96" s="909" t="s">
        <v>479</v>
      </c>
      <c r="B96" s="909" t="s">
        <v>178</v>
      </c>
      <c r="C96" s="911">
        <f>'Revenues 9-14'!B84</f>
        <v>1811</v>
      </c>
      <c r="D96" s="912" t="str">
        <f>'Revenues 9-14'!A84</f>
        <v>Rentals - Regular Textbooks</v>
      </c>
      <c r="E96" s="907"/>
      <c r="F96" s="1811">
        <f>'Revenues 9-14'!C84</f>
        <v>26244</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275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7630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86490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44186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508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22294</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93235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31934</v>
      </c>
      <c r="G129" s="931"/>
    </row>
    <row r="130" spans="1:7" x14ac:dyDescent="0.2">
      <c r="A130" s="928" t="s">
        <v>689</v>
      </c>
      <c r="B130" s="928" t="s">
        <v>804</v>
      </c>
      <c r="C130" s="933">
        <v>4300</v>
      </c>
      <c r="D130" s="934" t="str">
        <f>'Revenues 9-14'!A211</f>
        <v>Total Title I</v>
      </c>
      <c r="E130" s="907"/>
      <c r="F130" s="1811">
        <f>SUM('Revenues 9-14'!C211,'Revenues 9-14'!D211,'Revenues 9-14'!F211,'Revenues 9-14'!G211)</f>
        <v>84380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550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14311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57070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532019</v>
      </c>
    </row>
    <row r="179" spans="1:7" ht="12" customHeight="1" x14ac:dyDescent="0.2">
      <c r="A179" s="1792"/>
      <c r="B179" s="1806"/>
      <c r="C179" s="1807"/>
      <c r="D179" s="1808" t="s">
        <v>2014</v>
      </c>
      <c r="E179" s="1809"/>
      <c r="F179" s="1811">
        <f>'PCTC-OEPP 27-28'!F77-F178</f>
        <v>3397795</v>
      </c>
    </row>
    <row r="180" spans="1:7" ht="12" customHeight="1" x14ac:dyDescent="0.2">
      <c r="A180" s="1792"/>
      <c r="B180" s="1806"/>
      <c r="C180" s="1807"/>
      <c r="D180" s="1808" t="s">
        <v>1924</v>
      </c>
      <c r="E180" s="1809"/>
      <c r="F180" s="1811">
        <f>'Cap Outlay Deprec 26'!I18</f>
        <v>374670</v>
      </c>
    </row>
    <row r="181" spans="1:7" ht="12" customHeight="1" x14ac:dyDescent="0.2">
      <c r="A181" s="1792"/>
      <c r="B181" s="1806"/>
      <c r="C181" s="1807"/>
      <c r="D181" s="1808" t="s">
        <v>2015</v>
      </c>
      <c r="E181" s="1809"/>
      <c r="F181" s="1811">
        <f>F179+F180</f>
        <v>3772465</v>
      </c>
    </row>
    <row r="182" spans="1:7" ht="12" customHeight="1" x14ac:dyDescent="0.2">
      <c r="A182" s="1792"/>
      <c r="B182" s="1812"/>
      <c r="C182" s="1807"/>
      <c r="D182" s="1808" t="str">
        <f>D78</f>
        <v>9 Month ADA from District Average Daily Attendance/Prior General State Aid Inquiry 2017-2018</v>
      </c>
      <c r="E182" s="1809"/>
      <c r="F182" s="1813">
        <f>'PCTC-OEPP 27-28'!F78</f>
        <v>400.14</v>
      </c>
      <c r="G182" s="931"/>
    </row>
    <row r="183" spans="1:7" ht="12" customHeight="1" thickBot="1" x14ac:dyDescent="0.25">
      <c r="A183" s="1792"/>
      <c r="B183" s="1812"/>
      <c r="C183" s="1807"/>
      <c r="D183" s="1808" t="s">
        <v>2016</v>
      </c>
      <c r="E183" s="1809" t="s">
        <v>1626</v>
      </c>
      <c r="F183" s="1814">
        <f>F181/F182</f>
        <v>9427.8627480381874</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A13" sqref="A13:H13"/>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c r="B17" s="1867"/>
      <c r="C17" s="1678"/>
      <c r="D17" s="1866"/>
      <c r="E17" s="1562">
        <f t="shared" ref="E17:E141" si="1">IF(D17&lt;=25000,D17,IF(D17&gt;25000,25000,0))</f>
        <v>0</v>
      </c>
      <c r="F17" s="1815">
        <f t="shared" si="0"/>
        <v>0</v>
      </c>
      <c r="G17" s="1816">
        <f>IF(F17=0,0,D17-F17)</f>
        <v>0</v>
      </c>
      <c r="H17" s="1669"/>
    </row>
    <row r="18" spans="1:8" x14ac:dyDescent="0.25">
      <c r="A18" s="1675"/>
      <c r="B18" s="1867"/>
      <c r="C18" s="1678"/>
      <c r="D18" s="1866"/>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8"/>
      <c r="C19" s="1678"/>
      <c r="D19" s="1866"/>
      <c r="E19" s="1562">
        <f t="shared" si="2"/>
        <v>0</v>
      </c>
      <c r="F19" s="1815">
        <f t="shared" si="3"/>
        <v>0</v>
      </c>
      <c r="G19" s="1816">
        <f t="shared" si="4"/>
        <v>0</v>
      </c>
    </row>
    <row r="20" spans="1:8" x14ac:dyDescent="0.25">
      <c r="A20" s="1675"/>
      <c r="B20" s="1867"/>
      <c r="C20" s="1678"/>
      <c r="D20" s="1866"/>
      <c r="E20" s="1562">
        <f t="shared" si="2"/>
        <v>0</v>
      </c>
      <c r="F20" s="1815">
        <f t="shared" si="3"/>
        <v>0</v>
      </c>
      <c r="G20" s="1816">
        <f t="shared" si="4"/>
        <v>0</v>
      </c>
    </row>
    <row r="21" spans="1:8" x14ac:dyDescent="0.25">
      <c r="A21" s="1675"/>
      <c r="B21" s="1867"/>
      <c r="C21" s="1678"/>
      <c r="D21" s="1866"/>
      <c r="E21" s="1562">
        <f t="shared" si="2"/>
        <v>0</v>
      </c>
      <c r="F21" s="1815">
        <f t="shared" si="3"/>
        <v>0</v>
      </c>
      <c r="G21" s="1816">
        <f t="shared" si="4"/>
        <v>0</v>
      </c>
    </row>
    <row r="22" spans="1:8" x14ac:dyDescent="0.25">
      <c r="A22" s="1675"/>
      <c r="B22" s="1867"/>
      <c r="C22" s="1678"/>
      <c r="D22" s="1866"/>
      <c r="E22" s="1562">
        <f t="shared" si="2"/>
        <v>0</v>
      </c>
      <c r="F22" s="1815">
        <f t="shared" si="3"/>
        <v>0</v>
      </c>
      <c r="G22" s="1816">
        <f t="shared" si="4"/>
        <v>0</v>
      </c>
    </row>
    <row r="23" spans="1:8" x14ac:dyDescent="0.25">
      <c r="A23" s="1675"/>
      <c r="B23" s="1867"/>
      <c r="C23" s="1678"/>
      <c r="D23" s="1866"/>
      <c r="E23" s="1562">
        <f t="shared" si="2"/>
        <v>0</v>
      </c>
      <c r="F23" s="1815">
        <f t="shared" si="3"/>
        <v>0</v>
      </c>
      <c r="G23" s="1816">
        <f t="shared" si="4"/>
        <v>0</v>
      </c>
    </row>
    <row r="24" spans="1:8" x14ac:dyDescent="0.25">
      <c r="A24" s="1675"/>
      <c r="B24" s="1868"/>
      <c r="C24" s="1678"/>
      <c r="D24" s="1866"/>
      <c r="E24" s="1562">
        <f t="shared" si="2"/>
        <v>0</v>
      </c>
      <c r="F24" s="1815">
        <f t="shared" si="3"/>
        <v>0</v>
      </c>
      <c r="G24" s="1816">
        <f t="shared" si="4"/>
        <v>0</v>
      </c>
    </row>
    <row r="25" spans="1:8" x14ac:dyDescent="0.25">
      <c r="A25" s="1675"/>
      <c r="B25" s="1867"/>
      <c r="C25" s="1678"/>
      <c r="D25" s="1866"/>
      <c r="E25" s="1562">
        <f t="shared" si="2"/>
        <v>0</v>
      </c>
      <c r="F25" s="1815">
        <f t="shared" si="3"/>
        <v>0</v>
      </c>
      <c r="G25" s="1816">
        <f t="shared" si="4"/>
        <v>0</v>
      </c>
    </row>
    <row r="26" spans="1:8" x14ac:dyDescent="0.25">
      <c r="A26" s="1675"/>
      <c r="B26" s="1868"/>
      <c r="C26" s="1676"/>
      <c r="D26" s="1866"/>
      <c r="E26" s="1562">
        <f t="shared" si="2"/>
        <v>0</v>
      </c>
      <c r="F26" s="1815">
        <f t="shared" si="3"/>
        <v>0</v>
      </c>
      <c r="G26" s="1816">
        <f t="shared" si="4"/>
        <v>0</v>
      </c>
    </row>
    <row r="27" spans="1:8" x14ac:dyDescent="0.25">
      <c r="A27" s="1675"/>
      <c r="B27" s="1868"/>
      <c r="C27" s="1676"/>
      <c r="D27" s="1866"/>
      <c r="E27" s="1562">
        <f t="shared" si="2"/>
        <v>0</v>
      </c>
      <c r="F27" s="1815">
        <f t="shared" si="3"/>
        <v>0</v>
      </c>
      <c r="G27" s="1816">
        <f t="shared" si="4"/>
        <v>0</v>
      </c>
    </row>
    <row r="28" spans="1:8" x14ac:dyDescent="0.25">
      <c r="A28" s="1675"/>
      <c r="B28" s="1868"/>
      <c r="C28" s="1676"/>
      <c r="D28" s="1866"/>
      <c r="E28" s="1562">
        <f t="shared" si="2"/>
        <v>0</v>
      </c>
      <c r="F28" s="1815">
        <f t="shared" si="3"/>
        <v>0</v>
      </c>
      <c r="G28" s="1816">
        <f t="shared" si="4"/>
        <v>0</v>
      </c>
    </row>
    <row r="29" spans="1:8" x14ac:dyDescent="0.25">
      <c r="A29" s="1675"/>
      <c r="B29" s="1868"/>
      <c r="C29" s="1676"/>
      <c r="D29" s="1866"/>
      <c r="E29" s="1562">
        <f t="shared" si="2"/>
        <v>0</v>
      </c>
      <c r="F29" s="1815">
        <f t="shared" si="3"/>
        <v>0</v>
      </c>
      <c r="G29" s="1816">
        <f t="shared" si="4"/>
        <v>0</v>
      </c>
    </row>
    <row r="30" spans="1:8" x14ac:dyDescent="0.25">
      <c r="A30" s="1675"/>
      <c r="B30" s="1868"/>
      <c r="C30" s="1676"/>
      <c r="D30" s="1866"/>
      <c r="E30" s="1562">
        <f t="shared" si="2"/>
        <v>0</v>
      </c>
      <c r="F30" s="1815">
        <f t="shared" si="3"/>
        <v>0</v>
      </c>
      <c r="G30" s="1816">
        <f t="shared" si="4"/>
        <v>0</v>
      </c>
    </row>
    <row r="31" spans="1:8" x14ac:dyDescent="0.25">
      <c r="A31" s="1675"/>
      <c r="B31" s="1868"/>
      <c r="C31" s="1676"/>
      <c r="D31" s="1866"/>
      <c r="E31" s="1562">
        <f t="shared" si="2"/>
        <v>0</v>
      </c>
      <c r="F31" s="1815">
        <f t="shared" si="3"/>
        <v>0</v>
      </c>
      <c r="G31" s="1816">
        <f t="shared" si="4"/>
        <v>0</v>
      </c>
    </row>
    <row r="32" spans="1:8" x14ac:dyDescent="0.25">
      <c r="A32" s="1675"/>
      <c r="B32" s="1868"/>
      <c r="C32" s="1676"/>
      <c r="D32" s="1866"/>
      <c r="E32" s="1562">
        <f t="shared" si="2"/>
        <v>0</v>
      </c>
      <c r="F32" s="1815">
        <f t="shared" si="3"/>
        <v>0</v>
      </c>
      <c r="G32" s="1816">
        <f t="shared" si="4"/>
        <v>0</v>
      </c>
    </row>
    <row r="33" spans="1:7" x14ac:dyDescent="0.25">
      <c r="A33" s="1675"/>
      <c r="B33" s="1868"/>
      <c r="C33" s="1676"/>
      <c r="D33" s="1866"/>
      <c r="E33" s="1562">
        <f t="shared" si="2"/>
        <v>0</v>
      </c>
      <c r="F33" s="1815">
        <f t="shared" si="3"/>
        <v>0</v>
      </c>
      <c r="G33" s="1816">
        <f t="shared" si="4"/>
        <v>0</v>
      </c>
    </row>
    <row r="34" spans="1:7" x14ac:dyDescent="0.25">
      <c r="A34" s="1675"/>
      <c r="B34" s="1868"/>
      <c r="C34" s="1676"/>
      <c r="D34" s="1866"/>
      <c r="E34" s="1562">
        <f t="shared" si="2"/>
        <v>0</v>
      </c>
      <c r="F34" s="1815">
        <f t="shared" si="3"/>
        <v>0</v>
      </c>
      <c r="G34" s="1816">
        <f t="shared" si="4"/>
        <v>0</v>
      </c>
    </row>
    <row r="35" spans="1:7" x14ac:dyDescent="0.25">
      <c r="A35" s="1675"/>
      <c r="B35" s="1868"/>
      <c r="C35" s="1676"/>
      <c r="D35" s="1866"/>
      <c r="E35" s="1562">
        <f t="shared" si="2"/>
        <v>0</v>
      </c>
      <c r="F35" s="1815">
        <f t="shared" si="3"/>
        <v>0</v>
      </c>
      <c r="G35" s="1816">
        <f t="shared" si="4"/>
        <v>0</v>
      </c>
    </row>
    <row r="36" spans="1:7" x14ac:dyDescent="0.25">
      <c r="A36" s="1675"/>
      <c r="B36" s="1868"/>
      <c r="C36" s="1676"/>
      <c r="D36" s="1866"/>
      <c r="E36" s="1562">
        <f t="shared" si="2"/>
        <v>0</v>
      </c>
      <c r="F36" s="1815">
        <f t="shared" si="3"/>
        <v>0</v>
      </c>
      <c r="G36" s="1816">
        <f t="shared" si="4"/>
        <v>0</v>
      </c>
    </row>
    <row r="37" spans="1:7" x14ac:dyDescent="0.25">
      <c r="A37" s="1675"/>
      <c r="B37" s="1868"/>
      <c r="C37" s="1676"/>
      <c r="D37" s="1866"/>
      <c r="E37" s="1562">
        <f t="shared" si="2"/>
        <v>0</v>
      </c>
      <c r="F37" s="1815">
        <f t="shared" si="3"/>
        <v>0</v>
      </c>
      <c r="G37" s="1816">
        <f t="shared" si="4"/>
        <v>0</v>
      </c>
    </row>
    <row r="38" spans="1:7" x14ac:dyDescent="0.25">
      <c r="A38" s="1675"/>
      <c r="B38" s="1689"/>
      <c r="C38" s="1676"/>
      <c r="D38" s="1866"/>
      <c r="E38" s="1562">
        <f t="shared" si="2"/>
        <v>0</v>
      </c>
      <c r="F38" s="1815">
        <f t="shared" si="3"/>
        <v>0</v>
      </c>
      <c r="G38" s="1816">
        <f t="shared" si="4"/>
        <v>0</v>
      </c>
    </row>
    <row r="39" spans="1:7" x14ac:dyDescent="0.25">
      <c r="A39" s="1675"/>
      <c r="B39" s="1689"/>
      <c r="C39" s="1676"/>
      <c r="D39" s="1866"/>
      <c r="E39" s="1562">
        <f t="shared" si="2"/>
        <v>0</v>
      </c>
      <c r="F39" s="1815">
        <f t="shared" si="3"/>
        <v>0</v>
      </c>
      <c r="G39" s="1816">
        <f t="shared" si="4"/>
        <v>0</v>
      </c>
    </row>
    <row r="40" spans="1:7" x14ac:dyDescent="0.25">
      <c r="A40" s="1675"/>
      <c r="B40" s="1689"/>
      <c r="C40" s="1676"/>
      <c r="D40" s="1866"/>
      <c r="E40" s="1562">
        <f t="shared" si="2"/>
        <v>0</v>
      </c>
      <c r="F40" s="1815">
        <f t="shared" si="3"/>
        <v>0</v>
      </c>
      <c r="G40" s="1816">
        <f t="shared" si="4"/>
        <v>0</v>
      </c>
    </row>
    <row r="41" spans="1:7" x14ac:dyDescent="0.25">
      <c r="A41" s="1675"/>
      <c r="B41" s="1689"/>
      <c r="C41" s="1676"/>
      <c r="D41" s="1866"/>
      <c r="E41" s="1562">
        <f t="shared" si="2"/>
        <v>0</v>
      </c>
      <c r="F41" s="1815">
        <f t="shared" si="3"/>
        <v>0</v>
      </c>
      <c r="G41" s="1816">
        <f t="shared" si="4"/>
        <v>0</v>
      </c>
    </row>
    <row r="42" spans="1:7" x14ac:dyDescent="0.25">
      <c r="A42" s="1675"/>
      <c r="B42" s="1689"/>
      <c r="C42" s="1676"/>
      <c r="D42" s="1866"/>
      <c r="E42" s="1562">
        <f t="shared" si="2"/>
        <v>0</v>
      </c>
      <c r="F42" s="1815">
        <f t="shared" si="3"/>
        <v>0</v>
      </c>
      <c r="G42" s="1816">
        <f t="shared" si="4"/>
        <v>0</v>
      </c>
    </row>
    <row r="43" spans="1:7" x14ac:dyDescent="0.25">
      <c r="A43" s="1675"/>
      <c r="B43" s="1689"/>
      <c r="C43" s="1676"/>
      <c r="D43" s="1866"/>
      <c r="E43" s="1562">
        <f t="shared" si="2"/>
        <v>0</v>
      </c>
      <c r="F43" s="1815">
        <f t="shared" si="3"/>
        <v>0</v>
      </c>
      <c r="G43" s="1816">
        <f t="shared" si="4"/>
        <v>0</v>
      </c>
    </row>
    <row r="44" spans="1:7" x14ac:dyDescent="0.25">
      <c r="A44" s="1675"/>
      <c r="B44" s="1689"/>
      <c r="C44" s="1676"/>
      <c r="D44" s="1866"/>
      <c r="E44" s="1562">
        <f t="shared" si="2"/>
        <v>0</v>
      </c>
      <c r="F44" s="1815">
        <f t="shared" si="3"/>
        <v>0</v>
      </c>
      <c r="G44" s="1816">
        <f t="shared" si="4"/>
        <v>0</v>
      </c>
    </row>
    <row r="45" spans="1:7" x14ac:dyDescent="0.25">
      <c r="A45" s="1675"/>
      <c r="B45" s="1689"/>
      <c r="C45" s="1676"/>
      <c r="D45" s="1866"/>
      <c r="E45" s="1562">
        <f t="shared" si="2"/>
        <v>0</v>
      </c>
      <c r="F45" s="1815">
        <f t="shared" si="3"/>
        <v>0</v>
      </c>
      <c r="G45" s="1816">
        <f t="shared" si="4"/>
        <v>0</v>
      </c>
    </row>
    <row r="46" spans="1:7" x14ac:dyDescent="0.25">
      <c r="A46" s="1675"/>
      <c r="B46" s="1689"/>
      <c r="C46" s="1676"/>
      <c r="D46" s="1866"/>
      <c r="E46" s="1562">
        <f t="shared" si="2"/>
        <v>0</v>
      </c>
      <c r="F46" s="1815">
        <f t="shared" si="3"/>
        <v>0</v>
      </c>
      <c r="G46" s="1816">
        <f t="shared" si="4"/>
        <v>0</v>
      </c>
    </row>
    <row r="47" spans="1:7" x14ac:dyDescent="0.25">
      <c r="A47" s="1675"/>
      <c r="B47" s="1689"/>
      <c r="C47" s="1676"/>
      <c r="D47" s="1866"/>
      <c r="E47" s="1562">
        <f t="shared" si="2"/>
        <v>0</v>
      </c>
      <c r="F47" s="1815">
        <f t="shared" si="3"/>
        <v>0</v>
      </c>
      <c r="G47" s="1816">
        <f t="shared" si="4"/>
        <v>0</v>
      </c>
    </row>
    <row r="48" spans="1:7" x14ac:dyDescent="0.25">
      <c r="A48" s="1675"/>
      <c r="B48" s="1689"/>
      <c r="C48" s="1676"/>
      <c r="D48" s="1866"/>
      <c r="E48" s="1562">
        <f t="shared" si="2"/>
        <v>0</v>
      </c>
      <c r="F48" s="1815">
        <f t="shared" si="3"/>
        <v>0</v>
      </c>
      <c r="G48" s="1816">
        <f t="shared" si="4"/>
        <v>0</v>
      </c>
    </row>
    <row r="49" spans="1:7" x14ac:dyDescent="0.25">
      <c r="A49" s="1675"/>
      <c r="B49" s="1689"/>
      <c r="C49" s="1676"/>
      <c r="D49" s="1866"/>
      <c r="E49" s="1562">
        <f t="shared" si="2"/>
        <v>0</v>
      </c>
      <c r="F49" s="1815">
        <f t="shared" si="3"/>
        <v>0</v>
      </c>
      <c r="G49" s="1816">
        <f t="shared" si="4"/>
        <v>0</v>
      </c>
    </row>
    <row r="50" spans="1:7" x14ac:dyDescent="0.25">
      <c r="A50" s="1675"/>
      <c r="B50" s="1689"/>
      <c r="C50" s="1676"/>
      <c r="D50" s="1866"/>
      <c r="E50" s="1562">
        <f t="shared" si="2"/>
        <v>0</v>
      </c>
      <c r="F50" s="1815">
        <f t="shared" si="3"/>
        <v>0</v>
      </c>
      <c r="G50" s="1816">
        <f t="shared" si="4"/>
        <v>0</v>
      </c>
    </row>
    <row r="51" spans="1:7" x14ac:dyDescent="0.25">
      <c r="A51" s="1675"/>
      <c r="B51" s="1689"/>
      <c r="C51" s="1676"/>
      <c r="D51" s="1866"/>
      <c r="E51" s="1562">
        <f t="shared" si="2"/>
        <v>0</v>
      </c>
      <c r="F51" s="1815">
        <f t="shared" si="3"/>
        <v>0</v>
      </c>
      <c r="G51" s="1816">
        <f t="shared" si="4"/>
        <v>0</v>
      </c>
    </row>
    <row r="52" spans="1:7" x14ac:dyDescent="0.25">
      <c r="A52" s="1675"/>
      <c r="B52" s="1689"/>
      <c r="C52" s="1676"/>
      <c r="D52" s="1866"/>
      <c r="E52" s="1562">
        <f t="shared" si="2"/>
        <v>0</v>
      </c>
      <c r="F52" s="1815">
        <f t="shared" si="3"/>
        <v>0</v>
      </c>
      <c r="G52" s="1816">
        <f t="shared" si="4"/>
        <v>0</v>
      </c>
    </row>
    <row r="53" spans="1:7" x14ac:dyDescent="0.25">
      <c r="A53" s="1675"/>
      <c r="B53" s="1689"/>
      <c r="C53" s="1676"/>
      <c r="D53" s="1866"/>
      <c r="E53" s="1562">
        <f t="shared" si="2"/>
        <v>0</v>
      </c>
      <c r="F53" s="1815">
        <f t="shared" si="3"/>
        <v>0</v>
      </c>
      <c r="G53" s="1816">
        <f t="shared" si="4"/>
        <v>0</v>
      </c>
    </row>
    <row r="54" spans="1:7" x14ac:dyDescent="0.25">
      <c r="A54" s="1675"/>
      <c r="B54" s="1689"/>
      <c r="C54" s="1676"/>
      <c r="D54" s="1866"/>
      <c r="E54" s="1562">
        <f t="shared" si="2"/>
        <v>0</v>
      </c>
      <c r="F54" s="1815">
        <f t="shared" si="3"/>
        <v>0</v>
      </c>
      <c r="G54" s="1816">
        <f t="shared" si="4"/>
        <v>0</v>
      </c>
    </row>
    <row r="55" spans="1:7" x14ac:dyDescent="0.25">
      <c r="A55" s="1675"/>
      <c r="B55" s="1689"/>
      <c r="C55" s="1676"/>
      <c r="D55" s="1866"/>
      <c r="E55" s="1562">
        <f t="shared" si="2"/>
        <v>0</v>
      </c>
      <c r="F55" s="1815">
        <f t="shared" si="3"/>
        <v>0</v>
      </c>
      <c r="G55" s="1816">
        <f t="shared" si="4"/>
        <v>0</v>
      </c>
    </row>
    <row r="56" spans="1:7" x14ac:dyDescent="0.25">
      <c r="A56" s="1675"/>
      <c r="B56" s="1689"/>
      <c r="C56" s="1676"/>
      <c r="D56" s="1866"/>
      <c r="E56" s="1562">
        <f t="shared" si="2"/>
        <v>0</v>
      </c>
      <c r="F56" s="1815">
        <f t="shared" si="3"/>
        <v>0</v>
      </c>
      <c r="G56" s="1816">
        <f t="shared" si="4"/>
        <v>0</v>
      </c>
    </row>
    <row r="57" spans="1:7" x14ac:dyDescent="0.25">
      <c r="A57" s="1675"/>
      <c r="B57" s="1689"/>
      <c r="C57" s="1676"/>
      <c r="D57" s="1866"/>
      <c r="E57" s="1562">
        <f t="shared" si="2"/>
        <v>0</v>
      </c>
      <c r="F57" s="1815">
        <f t="shared" si="3"/>
        <v>0</v>
      </c>
      <c r="G57" s="1816">
        <f t="shared" si="4"/>
        <v>0</v>
      </c>
    </row>
    <row r="58" spans="1:7" x14ac:dyDescent="0.25">
      <c r="A58" s="1675"/>
      <c r="B58" s="1689"/>
      <c r="C58" s="1676"/>
      <c r="D58" s="1866"/>
      <c r="E58" s="1562">
        <f t="shared" si="2"/>
        <v>0</v>
      </c>
      <c r="F58" s="1815">
        <f t="shared" si="3"/>
        <v>0</v>
      </c>
      <c r="G58" s="1816">
        <f t="shared" si="4"/>
        <v>0</v>
      </c>
    </row>
    <row r="59" spans="1:7" x14ac:dyDescent="0.25">
      <c r="A59" s="1675"/>
      <c r="B59" s="1689"/>
      <c r="C59" s="1676"/>
      <c r="D59" s="1866"/>
      <c r="E59" s="1562">
        <f t="shared" si="2"/>
        <v>0</v>
      </c>
      <c r="F59" s="1815">
        <f t="shared" si="3"/>
        <v>0</v>
      </c>
      <c r="G59" s="1816">
        <f t="shared" si="4"/>
        <v>0</v>
      </c>
    </row>
    <row r="60" spans="1:7" x14ac:dyDescent="0.25">
      <c r="A60" s="1675"/>
      <c r="B60" s="1689"/>
      <c r="C60" s="1676"/>
      <c r="D60" s="1866"/>
      <c r="E60" s="1562">
        <f t="shared" si="2"/>
        <v>0</v>
      </c>
      <c r="F60" s="1815">
        <f t="shared" si="3"/>
        <v>0</v>
      </c>
      <c r="G60" s="1816">
        <f t="shared" si="4"/>
        <v>0</v>
      </c>
    </row>
    <row r="61" spans="1:7" x14ac:dyDescent="0.25">
      <c r="A61" s="1675"/>
      <c r="B61" s="1689"/>
      <c r="C61" s="1676"/>
      <c r="D61" s="1866"/>
      <c r="E61" s="1562">
        <f t="shared" si="2"/>
        <v>0</v>
      </c>
      <c r="F61" s="1815">
        <f t="shared" si="3"/>
        <v>0</v>
      </c>
      <c r="G61" s="1816">
        <f t="shared" si="4"/>
        <v>0</v>
      </c>
    </row>
    <row r="62" spans="1:7" x14ac:dyDescent="0.25">
      <c r="A62" s="1675"/>
      <c r="B62" s="1689"/>
      <c r="C62" s="1676"/>
      <c r="D62" s="1866"/>
      <c r="E62" s="1562">
        <f t="shared" si="2"/>
        <v>0</v>
      </c>
      <c r="F62" s="1815">
        <f t="shared" si="3"/>
        <v>0</v>
      </c>
      <c r="G62" s="1816">
        <f t="shared" si="4"/>
        <v>0</v>
      </c>
    </row>
    <row r="63" spans="1:7" x14ac:dyDescent="0.25">
      <c r="A63" s="1675"/>
      <c r="B63" s="1689"/>
      <c r="C63" s="1676"/>
      <c r="D63" s="1866"/>
      <c r="E63" s="1562">
        <f t="shared" si="2"/>
        <v>0</v>
      </c>
      <c r="F63" s="1815">
        <f t="shared" si="3"/>
        <v>0</v>
      </c>
      <c r="G63" s="1816">
        <f t="shared" si="4"/>
        <v>0</v>
      </c>
    </row>
    <row r="64" spans="1:7" x14ac:dyDescent="0.25">
      <c r="A64" s="1677"/>
      <c r="B64" s="1689"/>
      <c r="C64" s="1678"/>
      <c r="D64" s="1866"/>
      <c r="E64" s="1562">
        <f t="shared" si="2"/>
        <v>0</v>
      </c>
      <c r="F64" s="1815">
        <f t="shared" si="3"/>
        <v>0</v>
      </c>
      <c r="G64" s="1816">
        <f t="shared" si="4"/>
        <v>0</v>
      </c>
    </row>
    <row r="65" spans="1:7" x14ac:dyDescent="0.25">
      <c r="A65" s="1675"/>
      <c r="B65" s="1689"/>
      <c r="C65" s="1676"/>
      <c r="D65" s="1866"/>
      <c r="E65" s="1562">
        <f t="shared" si="2"/>
        <v>0</v>
      </c>
      <c r="F65" s="1815">
        <f t="shared" si="3"/>
        <v>0</v>
      </c>
      <c r="G65" s="1816">
        <f t="shared" si="4"/>
        <v>0</v>
      </c>
    </row>
    <row r="66" spans="1:7" x14ac:dyDescent="0.25">
      <c r="A66" s="1675"/>
      <c r="B66" s="1689"/>
      <c r="C66" s="1676"/>
      <c r="D66" s="1866"/>
      <c r="E66" s="1562">
        <f t="shared" si="2"/>
        <v>0</v>
      </c>
      <c r="F66" s="1815">
        <f t="shared" si="3"/>
        <v>0</v>
      </c>
      <c r="G66" s="1816">
        <f t="shared" si="4"/>
        <v>0</v>
      </c>
    </row>
    <row r="67" spans="1:7" x14ac:dyDescent="0.25">
      <c r="A67" s="1675"/>
      <c r="B67" s="1689"/>
      <c r="C67" s="1676"/>
      <c r="D67" s="1866"/>
      <c r="E67" s="1562">
        <f t="shared" si="2"/>
        <v>0</v>
      </c>
      <c r="F67" s="1815">
        <f t="shared" si="3"/>
        <v>0</v>
      </c>
      <c r="G67" s="1816">
        <f t="shared" si="4"/>
        <v>0</v>
      </c>
    </row>
    <row r="68" spans="1:7" x14ac:dyDescent="0.25">
      <c r="A68" s="1675"/>
      <c r="B68" s="1689"/>
      <c r="C68" s="1676"/>
      <c r="D68" s="1866"/>
      <c r="E68" s="1562">
        <f t="shared" si="2"/>
        <v>0</v>
      </c>
      <c r="F68" s="1815">
        <f t="shared" si="3"/>
        <v>0</v>
      </c>
      <c r="G68" s="1816">
        <f t="shared" si="4"/>
        <v>0</v>
      </c>
    </row>
    <row r="69" spans="1:7" x14ac:dyDescent="0.25">
      <c r="A69" s="1675"/>
      <c r="B69" s="1689"/>
      <c r="C69" s="1676"/>
      <c r="D69" s="1866"/>
      <c r="E69" s="1562">
        <f t="shared" si="2"/>
        <v>0</v>
      </c>
      <c r="F69" s="1815">
        <f t="shared" si="3"/>
        <v>0</v>
      </c>
      <c r="G69" s="1816">
        <f t="shared" si="4"/>
        <v>0</v>
      </c>
    </row>
    <row r="70" spans="1:7" x14ac:dyDescent="0.25">
      <c r="A70" s="1675"/>
      <c r="B70" s="1689"/>
      <c r="C70" s="1676"/>
      <c r="D70" s="1866"/>
      <c r="E70" s="1562">
        <f t="shared" si="2"/>
        <v>0</v>
      </c>
      <c r="F70" s="1815">
        <f t="shared" si="3"/>
        <v>0</v>
      </c>
      <c r="G70" s="1816">
        <f t="shared" si="4"/>
        <v>0</v>
      </c>
    </row>
    <row r="71" spans="1:7" x14ac:dyDescent="0.25">
      <c r="A71" s="1675"/>
      <c r="B71" s="1689"/>
      <c r="C71" s="1676"/>
      <c r="D71" s="1866"/>
      <c r="E71" s="1562">
        <f t="shared" si="2"/>
        <v>0</v>
      </c>
      <c r="F71" s="1815">
        <f t="shared" si="3"/>
        <v>0</v>
      </c>
      <c r="G71" s="1816">
        <f t="shared" si="4"/>
        <v>0</v>
      </c>
    </row>
    <row r="72" spans="1:7" x14ac:dyDescent="0.25">
      <c r="A72" s="1675"/>
      <c r="B72" s="1689"/>
      <c r="C72" s="1676"/>
      <c r="D72" s="1866"/>
      <c r="E72" s="1562">
        <f t="shared" si="2"/>
        <v>0</v>
      </c>
      <c r="F72" s="1815">
        <f t="shared" si="3"/>
        <v>0</v>
      </c>
      <c r="G72" s="1816">
        <f t="shared" si="4"/>
        <v>0</v>
      </c>
    </row>
    <row r="73" spans="1:7" x14ac:dyDescent="0.25">
      <c r="A73" s="1675"/>
      <c r="B73" s="1689"/>
      <c r="C73" s="1676"/>
      <c r="D73" s="1866"/>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6"/>
      <c r="E74" s="1562">
        <f t="shared" si="5"/>
        <v>0</v>
      </c>
      <c r="F74" s="1815">
        <f t="shared" si="6"/>
        <v>0</v>
      </c>
      <c r="G74" s="1816">
        <f t="shared" si="7"/>
        <v>0</v>
      </c>
    </row>
    <row r="75" spans="1:7" x14ac:dyDescent="0.25">
      <c r="A75" s="1675"/>
      <c r="B75" s="1689"/>
      <c r="C75" s="1676"/>
      <c r="D75" s="1866"/>
      <c r="E75" s="1562">
        <f t="shared" si="5"/>
        <v>0</v>
      </c>
      <c r="F75" s="1815">
        <f t="shared" si="6"/>
        <v>0</v>
      </c>
      <c r="G75" s="1816">
        <f t="shared" si="7"/>
        <v>0</v>
      </c>
    </row>
    <row r="76" spans="1:7" x14ac:dyDescent="0.25">
      <c r="A76" s="1675"/>
      <c r="B76" s="1689"/>
      <c r="C76" s="1676"/>
      <c r="D76" s="1866"/>
      <c r="E76" s="1562">
        <f t="shared" si="5"/>
        <v>0</v>
      </c>
      <c r="F76" s="1815">
        <f t="shared" si="6"/>
        <v>0</v>
      </c>
      <c r="G76" s="1816">
        <f t="shared" si="7"/>
        <v>0</v>
      </c>
    </row>
    <row r="77" spans="1:7" x14ac:dyDescent="0.25">
      <c r="A77" s="1675"/>
      <c r="B77" s="1689"/>
      <c r="C77" s="1676"/>
      <c r="D77" s="1866"/>
      <c r="E77" s="1562">
        <f t="shared" si="5"/>
        <v>0</v>
      </c>
      <c r="F77" s="1815">
        <f t="shared" si="6"/>
        <v>0</v>
      </c>
      <c r="G77" s="1816">
        <f t="shared" si="7"/>
        <v>0</v>
      </c>
    </row>
    <row r="78" spans="1:7" x14ac:dyDescent="0.25">
      <c r="A78" s="1675"/>
      <c r="B78" s="1689"/>
      <c r="C78" s="1676"/>
      <c r="D78" s="1866"/>
      <c r="E78" s="1562">
        <f t="shared" si="5"/>
        <v>0</v>
      </c>
      <c r="F78" s="1815">
        <f t="shared" si="6"/>
        <v>0</v>
      </c>
      <c r="G78" s="1816">
        <f t="shared" si="7"/>
        <v>0</v>
      </c>
    </row>
    <row r="79" spans="1:7" x14ac:dyDescent="0.25">
      <c r="A79" s="1675"/>
      <c r="B79" s="1689"/>
      <c r="C79" s="1676"/>
      <c r="D79" s="1866"/>
      <c r="E79" s="1562">
        <f t="shared" si="5"/>
        <v>0</v>
      </c>
      <c r="F79" s="1815">
        <f t="shared" si="6"/>
        <v>0</v>
      </c>
      <c r="G79" s="1816">
        <f t="shared" si="7"/>
        <v>0</v>
      </c>
    </row>
    <row r="80" spans="1:7" x14ac:dyDescent="0.25">
      <c r="A80" s="1675"/>
      <c r="B80" s="1689"/>
      <c r="C80" s="1676"/>
      <c r="D80" s="1866"/>
      <c r="E80" s="1562">
        <f t="shared" si="5"/>
        <v>0</v>
      </c>
      <c r="F80" s="1815">
        <f t="shared" si="6"/>
        <v>0</v>
      </c>
      <c r="G80" s="1816">
        <f t="shared" si="7"/>
        <v>0</v>
      </c>
    </row>
    <row r="81" spans="1:7" x14ac:dyDescent="0.25">
      <c r="A81" s="1675"/>
      <c r="B81" s="1689"/>
      <c r="C81" s="1676"/>
      <c r="D81" s="1866"/>
      <c r="E81" s="1562">
        <f t="shared" si="5"/>
        <v>0</v>
      </c>
      <c r="F81" s="1815">
        <f t="shared" si="6"/>
        <v>0</v>
      </c>
      <c r="G81" s="1816">
        <f t="shared" si="7"/>
        <v>0</v>
      </c>
    </row>
    <row r="82" spans="1:7" x14ac:dyDescent="0.25">
      <c r="A82" s="1675"/>
      <c r="B82" s="1689"/>
      <c r="C82" s="1676"/>
      <c r="D82" s="1866"/>
      <c r="E82" s="1562">
        <f t="shared" si="5"/>
        <v>0</v>
      </c>
      <c r="F82" s="1815">
        <f t="shared" si="6"/>
        <v>0</v>
      </c>
      <c r="G82" s="1816">
        <f t="shared" si="7"/>
        <v>0</v>
      </c>
    </row>
    <row r="83" spans="1:7" x14ac:dyDescent="0.25">
      <c r="A83" s="1675"/>
      <c r="B83" s="1689"/>
      <c r="C83" s="1676"/>
      <c r="D83" s="1866"/>
      <c r="E83" s="1562">
        <f t="shared" si="5"/>
        <v>0</v>
      </c>
      <c r="F83" s="1815">
        <f t="shared" si="6"/>
        <v>0</v>
      </c>
      <c r="G83" s="1816">
        <f t="shared" si="7"/>
        <v>0</v>
      </c>
    </row>
    <row r="84" spans="1:7" x14ac:dyDescent="0.25">
      <c r="A84" s="1675"/>
      <c r="B84" s="1689"/>
      <c r="C84" s="1676"/>
      <c r="D84" s="1866"/>
      <c r="E84" s="1562">
        <f t="shared" si="5"/>
        <v>0</v>
      </c>
      <c r="F84" s="1815">
        <f t="shared" si="6"/>
        <v>0</v>
      </c>
      <c r="G84" s="1816">
        <f t="shared" si="7"/>
        <v>0</v>
      </c>
    </row>
    <row r="85" spans="1:7" x14ac:dyDescent="0.25">
      <c r="A85" s="1675"/>
      <c r="B85" s="1689"/>
      <c r="C85" s="1676"/>
      <c r="D85" s="1866"/>
      <c r="E85" s="1562">
        <f t="shared" si="2"/>
        <v>0</v>
      </c>
      <c r="F85" s="1815">
        <f t="shared" si="3"/>
        <v>0</v>
      </c>
      <c r="G85" s="1816">
        <f t="shared" si="4"/>
        <v>0</v>
      </c>
    </row>
    <row r="86" spans="1:7" x14ac:dyDescent="0.25">
      <c r="A86" s="1675"/>
      <c r="B86" s="1689"/>
      <c r="C86" s="1676"/>
      <c r="D86" s="1866"/>
      <c r="E86" s="1562">
        <f t="shared" si="2"/>
        <v>0</v>
      </c>
      <c r="F86" s="1815">
        <f t="shared" si="3"/>
        <v>0</v>
      </c>
      <c r="G86" s="1816">
        <f t="shared" si="4"/>
        <v>0</v>
      </c>
    </row>
    <row r="87" spans="1:7" x14ac:dyDescent="0.25">
      <c r="A87" s="1675"/>
      <c r="B87" s="1689"/>
      <c r="C87" s="1676"/>
      <c r="D87" s="1866"/>
      <c r="E87" s="1562">
        <f t="shared" si="2"/>
        <v>0</v>
      </c>
      <c r="F87" s="1815">
        <f t="shared" si="3"/>
        <v>0</v>
      </c>
      <c r="G87" s="1816">
        <f t="shared" si="4"/>
        <v>0</v>
      </c>
    </row>
    <row r="88" spans="1:7" x14ac:dyDescent="0.25">
      <c r="A88" s="1675"/>
      <c r="B88" s="1689"/>
      <c r="C88" s="1676"/>
      <c r="D88" s="1866"/>
      <c r="E88" s="1562">
        <f t="shared" si="2"/>
        <v>0</v>
      </c>
      <c r="F88" s="1815">
        <f t="shared" si="3"/>
        <v>0</v>
      </c>
      <c r="G88" s="1816">
        <f t="shared" si="4"/>
        <v>0</v>
      </c>
    </row>
    <row r="89" spans="1:7" x14ac:dyDescent="0.25">
      <c r="A89" s="1675"/>
      <c r="B89" s="1689"/>
      <c r="C89" s="1676"/>
      <c r="D89" s="1866"/>
      <c r="E89" s="1562">
        <f t="shared" si="2"/>
        <v>0</v>
      </c>
      <c r="F89" s="1815">
        <f t="shared" si="3"/>
        <v>0</v>
      </c>
      <c r="G89" s="1816">
        <f t="shared" si="4"/>
        <v>0</v>
      </c>
    </row>
    <row r="90" spans="1:7" x14ac:dyDescent="0.25">
      <c r="A90" s="1675"/>
      <c r="B90" s="1689"/>
      <c r="C90" s="1676"/>
      <c r="D90" s="1866"/>
      <c r="E90" s="1562">
        <f t="shared" si="2"/>
        <v>0</v>
      </c>
      <c r="F90" s="1815">
        <f t="shared" si="3"/>
        <v>0</v>
      </c>
      <c r="G90" s="1816">
        <f t="shared" si="4"/>
        <v>0</v>
      </c>
    </row>
    <row r="91" spans="1:7" x14ac:dyDescent="0.25">
      <c r="A91" s="1675"/>
      <c r="B91" s="1689"/>
      <c r="C91" s="1676"/>
      <c r="D91" s="1866"/>
      <c r="E91" s="1562">
        <f t="shared" si="2"/>
        <v>0</v>
      </c>
      <c r="F91" s="1815">
        <f t="shared" si="3"/>
        <v>0</v>
      </c>
      <c r="G91" s="1816">
        <f t="shared" si="4"/>
        <v>0</v>
      </c>
    </row>
    <row r="92" spans="1:7" x14ac:dyDescent="0.25">
      <c r="A92" s="1675"/>
      <c r="B92" s="1689"/>
      <c r="C92" s="1676"/>
      <c r="D92" s="1866"/>
      <c r="E92" s="1562">
        <f t="shared" si="2"/>
        <v>0</v>
      </c>
      <c r="F92" s="1815">
        <f t="shared" si="3"/>
        <v>0</v>
      </c>
      <c r="G92" s="1816">
        <f t="shared" si="4"/>
        <v>0</v>
      </c>
    </row>
    <row r="93" spans="1:7" x14ac:dyDescent="0.25">
      <c r="A93" s="1675"/>
      <c r="B93" s="1689"/>
      <c r="C93" s="1676"/>
      <c r="D93" s="1866"/>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6"/>
      <c r="E94" s="1562">
        <f t="shared" si="2"/>
        <v>0</v>
      </c>
      <c r="F94" s="1815">
        <f t="shared" si="3"/>
        <v>0</v>
      </c>
      <c r="G94" s="1816">
        <f t="shared" si="4"/>
        <v>0</v>
      </c>
    </row>
    <row r="95" spans="1:7" x14ac:dyDescent="0.25">
      <c r="A95" s="1675"/>
      <c r="B95" s="1689"/>
      <c r="C95" s="1676"/>
      <c r="D95" s="1866"/>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6"/>
      <c r="E96" s="1562">
        <f t="shared" si="11"/>
        <v>0</v>
      </c>
      <c r="F96" s="1815">
        <f t="shared" si="12"/>
        <v>0</v>
      </c>
      <c r="G96" s="1816">
        <f t="shared" si="13"/>
        <v>0</v>
      </c>
    </row>
    <row r="97" spans="1:7" x14ac:dyDescent="0.25">
      <c r="A97" s="1675"/>
      <c r="B97" s="1689"/>
      <c r="C97" s="1676"/>
      <c r="D97" s="1866"/>
      <c r="E97" s="1562">
        <f t="shared" si="11"/>
        <v>0</v>
      </c>
      <c r="F97" s="1815">
        <f t="shared" si="12"/>
        <v>0</v>
      </c>
      <c r="G97" s="1816">
        <f t="shared" si="13"/>
        <v>0</v>
      </c>
    </row>
    <row r="98" spans="1:7" x14ac:dyDescent="0.25">
      <c r="A98" s="1675"/>
      <c r="B98" s="1689"/>
      <c r="C98" s="1676"/>
      <c r="D98" s="1866"/>
      <c r="E98" s="1562">
        <f t="shared" si="11"/>
        <v>0</v>
      </c>
      <c r="F98" s="1815">
        <f t="shared" si="12"/>
        <v>0</v>
      </c>
      <c r="G98" s="1816">
        <f t="shared" si="13"/>
        <v>0</v>
      </c>
    </row>
    <row r="99" spans="1:7" x14ac:dyDescent="0.25">
      <c r="A99" s="1675"/>
      <c r="B99" s="1689"/>
      <c r="C99" s="1676"/>
      <c r="D99" s="1866"/>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6"/>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6"/>
      <c r="E101" s="1562">
        <f t="shared" si="17"/>
        <v>0</v>
      </c>
      <c r="F101" s="1815">
        <f t="shared" si="18"/>
        <v>0</v>
      </c>
      <c r="G101" s="1816">
        <f t="shared" si="19"/>
        <v>0</v>
      </c>
    </row>
    <row r="102" spans="1:7" x14ac:dyDescent="0.25">
      <c r="A102" s="1675"/>
      <c r="B102" s="1689"/>
      <c r="C102" s="1676"/>
      <c r="D102" s="1866"/>
      <c r="E102" s="1562">
        <f t="shared" si="17"/>
        <v>0</v>
      </c>
      <c r="F102" s="1815">
        <f t="shared" si="18"/>
        <v>0</v>
      </c>
      <c r="G102" s="1816">
        <f t="shared" si="19"/>
        <v>0</v>
      </c>
    </row>
    <row r="103" spans="1:7" x14ac:dyDescent="0.25">
      <c r="A103" s="1675"/>
      <c r="B103" s="1689"/>
      <c r="C103" s="1676"/>
      <c r="D103" s="1866"/>
      <c r="E103" s="1562">
        <f t="shared" si="17"/>
        <v>0</v>
      </c>
      <c r="F103" s="1815">
        <f t="shared" si="18"/>
        <v>0</v>
      </c>
      <c r="G103" s="1816">
        <f t="shared" si="19"/>
        <v>0</v>
      </c>
    </row>
    <row r="104" spans="1:7" x14ac:dyDescent="0.25">
      <c r="A104" s="1675"/>
      <c r="B104" s="1689"/>
      <c r="C104" s="1676"/>
      <c r="D104" s="1866"/>
      <c r="E104" s="1562">
        <f t="shared" si="17"/>
        <v>0</v>
      </c>
      <c r="F104" s="1815">
        <f t="shared" si="18"/>
        <v>0</v>
      </c>
      <c r="G104" s="1816">
        <f t="shared" si="19"/>
        <v>0</v>
      </c>
    </row>
    <row r="105" spans="1:7" x14ac:dyDescent="0.25">
      <c r="A105" s="1675"/>
      <c r="B105" s="1689"/>
      <c r="C105" s="1676"/>
      <c r="D105" s="1866"/>
      <c r="E105" s="1562">
        <f t="shared" si="17"/>
        <v>0</v>
      </c>
      <c r="F105" s="1815">
        <f t="shared" si="18"/>
        <v>0</v>
      </c>
      <c r="G105" s="1816">
        <f t="shared" si="19"/>
        <v>0</v>
      </c>
    </row>
    <row r="106" spans="1:7" x14ac:dyDescent="0.25">
      <c r="A106" s="1675"/>
      <c r="B106" s="1689"/>
      <c r="C106" s="1676"/>
      <c r="D106" s="1866"/>
      <c r="E106" s="1562">
        <f t="shared" si="17"/>
        <v>0</v>
      </c>
      <c r="F106" s="1815">
        <f t="shared" si="18"/>
        <v>0</v>
      </c>
      <c r="G106" s="1816">
        <f t="shared" si="19"/>
        <v>0</v>
      </c>
    </row>
    <row r="107" spans="1:7" x14ac:dyDescent="0.25">
      <c r="A107" s="1675"/>
      <c r="B107" s="1689"/>
      <c r="C107" s="1676"/>
      <c r="D107" s="1866"/>
      <c r="E107" s="1562">
        <f t="shared" si="17"/>
        <v>0</v>
      </c>
      <c r="F107" s="1815">
        <f t="shared" si="18"/>
        <v>0</v>
      </c>
      <c r="G107" s="1816">
        <f t="shared" si="19"/>
        <v>0</v>
      </c>
    </row>
    <row r="108" spans="1:7" x14ac:dyDescent="0.25">
      <c r="A108" s="1675"/>
      <c r="B108" s="1689"/>
      <c r="C108" s="1676"/>
      <c r="D108" s="1866"/>
      <c r="E108" s="1562">
        <f t="shared" si="17"/>
        <v>0</v>
      </c>
      <c r="F108" s="1815">
        <f t="shared" si="18"/>
        <v>0</v>
      </c>
      <c r="G108" s="1816">
        <f t="shared" si="19"/>
        <v>0</v>
      </c>
    </row>
    <row r="109" spans="1:7" x14ac:dyDescent="0.25">
      <c r="A109" s="1675"/>
      <c r="B109" s="1689"/>
      <c r="C109" s="1676"/>
      <c r="D109" s="1866"/>
      <c r="E109" s="1562">
        <f t="shared" si="17"/>
        <v>0</v>
      </c>
      <c r="F109" s="1815">
        <f t="shared" si="18"/>
        <v>0</v>
      </c>
      <c r="G109" s="1816">
        <f t="shared" si="19"/>
        <v>0</v>
      </c>
    </row>
    <row r="110" spans="1:7" x14ac:dyDescent="0.25">
      <c r="A110" s="1675"/>
      <c r="B110" s="1689"/>
      <c r="C110" s="1676"/>
      <c r="D110" s="1866"/>
      <c r="E110" s="1562">
        <f t="shared" si="17"/>
        <v>0</v>
      </c>
      <c r="F110" s="1815">
        <f t="shared" si="18"/>
        <v>0</v>
      </c>
      <c r="G110" s="1816">
        <f t="shared" si="19"/>
        <v>0</v>
      </c>
    </row>
    <row r="111" spans="1:7" x14ac:dyDescent="0.25">
      <c r="A111" s="1675"/>
      <c r="B111" s="1689"/>
      <c r="C111" s="1676"/>
      <c r="D111" s="1866"/>
      <c r="E111" s="1562">
        <f t="shared" si="17"/>
        <v>0</v>
      </c>
      <c r="F111" s="1815">
        <f t="shared" si="18"/>
        <v>0</v>
      </c>
      <c r="G111" s="1816">
        <f t="shared" si="19"/>
        <v>0</v>
      </c>
    </row>
    <row r="112" spans="1:7" x14ac:dyDescent="0.25">
      <c r="A112" s="1675"/>
      <c r="B112" s="1689"/>
      <c r="C112" s="1676"/>
      <c r="D112" s="1866"/>
      <c r="E112" s="1562">
        <f t="shared" si="17"/>
        <v>0</v>
      </c>
      <c r="F112" s="1815">
        <f t="shared" si="18"/>
        <v>0</v>
      </c>
      <c r="G112" s="1816">
        <f t="shared" si="19"/>
        <v>0</v>
      </c>
    </row>
    <row r="113" spans="1:7" x14ac:dyDescent="0.25">
      <c r="A113" s="1675"/>
      <c r="B113" s="1689"/>
      <c r="C113" s="1676"/>
      <c r="D113" s="1866"/>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6"/>
      <c r="E114" s="1562">
        <f t="shared" si="20"/>
        <v>0</v>
      </c>
      <c r="F114" s="1815">
        <f t="shared" si="21"/>
        <v>0</v>
      </c>
      <c r="G114" s="1816">
        <f t="shared" si="22"/>
        <v>0</v>
      </c>
    </row>
    <row r="115" spans="1:7" x14ac:dyDescent="0.25">
      <c r="A115" s="1675"/>
      <c r="B115" s="1689"/>
      <c r="C115" s="1676"/>
      <c r="D115" s="1866"/>
      <c r="E115" s="1562">
        <f t="shared" si="20"/>
        <v>0</v>
      </c>
      <c r="F115" s="1815">
        <f t="shared" si="21"/>
        <v>0</v>
      </c>
      <c r="G115" s="1816">
        <f t="shared" si="22"/>
        <v>0</v>
      </c>
    </row>
    <row r="116" spans="1:7" x14ac:dyDescent="0.25">
      <c r="A116" s="1675"/>
      <c r="B116" s="1689"/>
      <c r="C116" s="1676"/>
      <c r="D116" s="1866"/>
      <c r="E116" s="1562">
        <f t="shared" si="20"/>
        <v>0</v>
      </c>
      <c r="F116" s="1815">
        <f t="shared" si="21"/>
        <v>0</v>
      </c>
      <c r="G116" s="1816">
        <f t="shared" si="22"/>
        <v>0</v>
      </c>
    </row>
    <row r="117" spans="1:7" x14ac:dyDescent="0.25">
      <c r="A117" s="1675"/>
      <c r="B117" s="1689"/>
      <c r="C117" s="1676"/>
      <c r="D117" s="1866"/>
      <c r="E117" s="1562">
        <f t="shared" si="20"/>
        <v>0</v>
      </c>
      <c r="F117" s="1815">
        <f t="shared" si="21"/>
        <v>0</v>
      </c>
      <c r="G117" s="1816">
        <f t="shared" si="22"/>
        <v>0</v>
      </c>
    </row>
    <row r="118" spans="1:7" x14ac:dyDescent="0.25">
      <c r="A118" s="1675"/>
      <c r="B118" s="1689"/>
      <c r="C118" s="1676"/>
      <c r="D118" s="1866"/>
      <c r="E118" s="1562">
        <f t="shared" si="20"/>
        <v>0</v>
      </c>
      <c r="F118" s="1815">
        <f t="shared" si="21"/>
        <v>0</v>
      </c>
      <c r="G118" s="1816">
        <f t="shared" si="22"/>
        <v>0</v>
      </c>
    </row>
    <row r="119" spans="1:7" x14ac:dyDescent="0.25">
      <c r="A119" s="1675"/>
      <c r="B119" s="1689"/>
      <c r="C119" s="1676"/>
      <c r="D119" s="1866"/>
      <c r="E119" s="1562">
        <f t="shared" si="20"/>
        <v>0</v>
      </c>
      <c r="F119" s="1815">
        <f t="shared" si="21"/>
        <v>0</v>
      </c>
      <c r="G119" s="1816">
        <f t="shared" si="22"/>
        <v>0</v>
      </c>
    </row>
    <row r="120" spans="1:7" x14ac:dyDescent="0.25">
      <c r="A120" s="1675"/>
      <c r="B120" s="1689"/>
      <c r="C120" s="1676"/>
      <c r="D120" s="1866"/>
      <c r="E120" s="1562">
        <f t="shared" si="20"/>
        <v>0</v>
      </c>
      <c r="F120" s="1815">
        <f t="shared" si="21"/>
        <v>0</v>
      </c>
      <c r="G120" s="1816">
        <f t="shared" si="22"/>
        <v>0</v>
      </c>
    </row>
    <row r="121" spans="1:7" x14ac:dyDescent="0.25">
      <c r="A121" s="1675"/>
      <c r="B121" s="1689"/>
      <c r="C121" s="1676"/>
      <c r="D121" s="1866"/>
      <c r="E121" s="1562">
        <f t="shared" si="20"/>
        <v>0</v>
      </c>
      <c r="F121" s="1815">
        <f t="shared" si="21"/>
        <v>0</v>
      </c>
      <c r="G121" s="1816">
        <f t="shared" si="22"/>
        <v>0</v>
      </c>
    </row>
    <row r="122" spans="1:7" x14ac:dyDescent="0.25">
      <c r="A122" s="1675"/>
      <c r="B122" s="1689"/>
      <c r="C122" s="1676"/>
      <c r="D122" s="1866"/>
      <c r="E122" s="1562">
        <f t="shared" si="20"/>
        <v>0</v>
      </c>
      <c r="F122" s="1815">
        <f t="shared" si="21"/>
        <v>0</v>
      </c>
      <c r="G122" s="1816">
        <f t="shared" si="22"/>
        <v>0</v>
      </c>
    </row>
    <row r="123" spans="1:7" x14ac:dyDescent="0.25">
      <c r="A123" s="1675"/>
      <c r="B123" s="1689"/>
      <c r="C123" s="1676"/>
      <c r="D123" s="1866"/>
      <c r="E123" s="1562">
        <f t="shared" si="20"/>
        <v>0</v>
      </c>
      <c r="F123" s="1815">
        <f t="shared" si="21"/>
        <v>0</v>
      </c>
      <c r="G123" s="1816">
        <f t="shared" si="22"/>
        <v>0</v>
      </c>
    </row>
    <row r="124" spans="1:7" x14ac:dyDescent="0.25">
      <c r="A124" s="1675"/>
      <c r="B124" s="1689"/>
      <c r="C124" s="1676"/>
      <c r="D124" s="1866"/>
      <c r="E124" s="1562">
        <f t="shared" si="20"/>
        <v>0</v>
      </c>
      <c r="F124" s="1815">
        <f t="shared" si="21"/>
        <v>0</v>
      </c>
      <c r="G124" s="1816">
        <f t="shared" si="22"/>
        <v>0</v>
      </c>
    </row>
    <row r="125" spans="1:7" x14ac:dyDescent="0.25">
      <c r="A125" s="1675"/>
      <c r="B125" s="1689"/>
      <c r="C125" s="1676"/>
      <c r="D125" s="1866"/>
      <c r="E125" s="1562">
        <f t="shared" si="20"/>
        <v>0</v>
      </c>
      <c r="F125" s="1815">
        <f t="shared" si="21"/>
        <v>0</v>
      </c>
      <c r="G125" s="1816">
        <f t="shared" si="22"/>
        <v>0</v>
      </c>
    </row>
    <row r="126" spans="1:7" x14ac:dyDescent="0.25">
      <c r="A126" s="1675"/>
      <c r="B126" s="1689"/>
      <c r="C126" s="1676"/>
      <c r="D126" s="1866"/>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6"/>
      <c r="E127" s="1562">
        <f t="shared" si="23"/>
        <v>0</v>
      </c>
      <c r="F127" s="1815">
        <f t="shared" si="24"/>
        <v>0</v>
      </c>
      <c r="G127" s="1816">
        <f t="shared" si="25"/>
        <v>0</v>
      </c>
    </row>
    <row r="128" spans="1:7" x14ac:dyDescent="0.25">
      <c r="A128" s="1675"/>
      <c r="B128" s="1689"/>
      <c r="C128" s="1676"/>
      <c r="D128" s="1866"/>
      <c r="E128" s="1562">
        <f t="shared" si="23"/>
        <v>0</v>
      </c>
      <c r="F128" s="1815">
        <f t="shared" si="24"/>
        <v>0</v>
      </c>
      <c r="G128" s="1816">
        <f t="shared" si="25"/>
        <v>0</v>
      </c>
    </row>
    <row r="129" spans="1:7" x14ac:dyDescent="0.25">
      <c r="A129" s="1675"/>
      <c r="B129" s="1689"/>
      <c r="C129" s="1676"/>
      <c r="D129" s="1866"/>
      <c r="E129" s="1562">
        <f t="shared" si="23"/>
        <v>0</v>
      </c>
      <c r="F129" s="1815">
        <f t="shared" si="24"/>
        <v>0</v>
      </c>
      <c r="G129" s="1816">
        <f t="shared" si="25"/>
        <v>0</v>
      </c>
    </row>
    <row r="130" spans="1:7" x14ac:dyDescent="0.25">
      <c r="A130" s="1675"/>
      <c r="B130" s="1689"/>
      <c r="C130" s="1676"/>
      <c r="D130" s="1866"/>
      <c r="E130" s="1562">
        <f t="shared" si="23"/>
        <v>0</v>
      </c>
      <c r="F130" s="1815">
        <f t="shared" si="24"/>
        <v>0</v>
      </c>
      <c r="G130" s="1816">
        <f t="shared" si="25"/>
        <v>0</v>
      </c>
    </row>
    <row r="131" spans="1:7" x14ac:dyDescent="0.25">
      <c r="A131" s="1675"/>
      <c r="B131" s="1860"/>
      <c r="C131" s="1676"/>
      <c r="D131" s="1866"/>
      <c r="E131" s="1562">
        <f t="shared" si="23"/>
        <v>0</v>
      </c>
      <c r="F131" s="1815">
        <f t="shared" si="24"/>
        <v>0</v>
      </c>
      <c r="G131" s="1816">
        <f t="shared" si="25"/>
        <v>0</v>
      </c>
    </row>
    <row r="132" spans="1:7" x14ac:dyDescent="0.25">
      <c r="A132" s="1675"/>
      <c r="B132" s="1860"/>
      <c r="C132" s="1676"/>
      <c r="D132" s="1866"/>
      <c r="E132" s="1562">
        <f t="shared" si="23"/>
        <v>0</v>
      </c>
      <c r="F132" s="1815">
        <f t="shared" si="24"/>
        <v>0</v>
      </c>
      <c r="G132" s="1816">
        <f t="shared" si="25"/>
        <v>0</v>
      </c>
    </row>
    <row r="133" spans="1:7" x14ac:dyDescent="0.25">
      <c r="A133" s="1675"/>
      <c r="B133" s="1689"/>
      <c r="C133" s="1676"/>
      <c r="D133" s="1866"/>
      <c r="E133" s="1562">
        <f t="shared" si="23"/>
        <v>0</v>
      </c>
      <c r="F133" s="1815">
        <f t="shared" si="24"/>
        <v>0</v>
      </c>
      <c r="G133" s="1816">
        <f t="shared" si="25"/>
        <v>0</v>
      </c>
    </row>
    <row r="134" spans="1:7" x14ac:dyDescent="0.25">
      <c r="A134" s="1675"/>
      <c r="B134" s="1689"/>
      <c r="C134" s="1676"/>
      <c r="D134" s="1866"/>
      <c r="E134" s="1562">
        <f t="shared" si="23"/>
        <v>0</v>
      </c>
      <c r="F134" s="1815">
        <f t="shared" si="24"/>
        <v>0</v>
      </c>
      <c r="G134" s="1816">
        <f t="shared" si="25"/>
        <v>0</v>
      </c>
    </row>
    <row r="135" spans="1:7" x14ac:dyDescent="0.25">
      <c r="A135" s="1675"/>
      <c r="B135" s="1689"/>
      <c r="C135" s="1676"/>
      <c r="D135" s="1866"/>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6"/>
      <c r="E136" s="1562">
        <f t="shared" si="26"/>
        <v>0</v>
      </c>
      <c r="F136" s="1815">
        <f t="shared" si="27"/>
        <v>0</v>
      </c>
      <c r="G136" s="1816">
        <f t="shared" si="28"/>
        <v>0</v>
      </c>
    </row>
    <row r="137" spans="1:7" x14ac:dyDescent="0.25">
      <c r="A137" s="1675"/>
      <c r="B137" s="1689"/>
      <c r="C137" s="1676"/>
      <c r="D137" s="1866"/>
      <c r="E137" s="1562">
        <f t="shared" si="26"/>
        <v>0</v>
      </c>
      <c r="F137" s="1815">
        <f t="shared" si="27"/>
        <v>0</v>
      </c>
      <c r="G137" s="1816">
        <f t="shared" si="28"/>
        <v>0</v>
      </c>
    </row>
    <row r="138" spans="1:7" x14ac:dyDescent="0.25">
      <c r="A138" s="1675"/>
      <c r="B138" s="1689"/>
      <c r="C138" s="1676"/>
      <c r="D138" s="1866"/>
      <c r="E138" s="1562">
        <f t="shared" si="26"/>
        <v>0</v>
      </c>
      <c r="F138" s="1815">
        <f t="shared" si="27"/>
        <v>0</v>
      </c>
      <c r="G138" s="1816">
        <f t="shared" si="28"/>
        <v>0</v>
      </c>
    </row>
    <row r="139" spans="1:7" x14ac:dyDescent="0.25">
      <c r="A139" s="1675"/>
      <c r="B139" s="1689"/>
      <c r="C139" s="1676"/>
      <c r="D139" s="1866"/>
      <c r="E139" s="1562">
        <f t="shared" si="26"/>
        <v>0</v>
      </c>
      <c r="F139" s="1815">
        <f t="shared" si="27"/>
        <v>0</v>
      </c>
      <c r="G139" s="1816">
        <f t="shared" si="28"/>
        <v>0</v>
      </c>
    </row>
    <row r="140" spans="1:7" x14ac:dyDescent="0.25">
      <c r="A140" s="1675"/>
      <c r="B140" s="1688"/>
      <c r="C140" s="1676"/>
      <c r="D140" s="1866"/>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Normal="100" workbookViewId="0">
      <selection activeCell="A13" sqref="A13:H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2296037</v>
      </c>
      <c r="F19" s="1822"/>
      <c r="G19" s="1824">
        <f>'Expenditures 15-22'!K33-SUM('Expenditures 15-22'!G33,'Expenditures 15-22'!I33)+'Expenditures 15-22'!D229</f>
        <v>2296037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198061</v>
      </c>
      <c r="F21" s="1825"/>
      <c r="G21" s="1828">
        <f>'Expenditures 15-22'!K42-SUM('Expenditures 15-22'!G42,'Expenditures 15-22'!I42)+'Expenditures 15-22'!K120-SUM('Expenditures 15-22'!G120,'Expenditures 15-22'!I120)+'Expenditures 15-22'!K180-SUM('Expenditures 15-22'!G180,'Expenditures 15-22'!I180)+'Expenditures 15-22'!D238</f>
        <v>198061</v>
      </c>
      <c r="H21" s="988"/>
      <c r="I21" s="162"/>
    </row>
    <row r="22" spans="1:9" s="669" customFormat="1" ht="12" customHeight="1" x14ac:dyDescent="0.2">
      <c r="A22" s="995" t="s">
        <v>585</v>
      </c>
      <c r="B22" s="996"/>
      <c r="C22" s="994">
        <v>2200</v>
      </c>
      <c r="D22" s="1825"/>
      <c r="E22" s="1827">
        <f>'Expenditures 15-22'!K47-SUM('Expenditures 15-22'!G47,'Expenditures 15-22'!I47)+'Expenditures 15-22'!D243</f>
        <v>10641</v>
      </c>
      <c r="F22" s="1825"/>
      <c r="G22" s="1828">
        <f>'Expenditures 15-22'!K47-SUM('Expenditures 15-22'!G47,'Expenditures 15-22'!I47)+'Expenditures 15-22'!D243</f>
        <v>10641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383568</v>
      </c>
      <c r="F23" s="1825"/>
      <c r="G23" s="1827">
        <f>'Expenditures 15-22'!K53-SUM('Expenditures 15-22'!G53,'Expenditures 15-22'!I53)+'Expenditures 15-22'!D257+'Expenditures 15-22'!K330-SUM('Expenditures 15-22'!G330,'Expenditures 15-22'!I330)</f>
        <v>383568</v>
      </c>
      <c r="H23" s="988"/>
      <c r="I23" s="162"/>
    </row>
    <row r="24" spans="1:9" s="669" customFormat="1" ht="12" customHeight="1" x14ac:dyDescent="0.2">
      <c r="A24" s="995" t="s">
        <v>587</v>
      </c>
      <c r="B24" s="996"/>
      <c r="C24" s="994">
        <v>2400</v>
      </c>
      <c r="D24" s="1825"/>
      <c r="E24" s="1827">
        <f>'Expenditures 15-22'!K57-SUM('Expenditures 15-22'!G57,'Expenditures 15-22'!I57)+'Expenditures 15-22'!D261</f>
        <v>197830</v>
      </c>
      <c r="F24" s="1825"/>
      <c r="G24" s="1828">
        <f>'Expenditures 15-22'!K57-SUM('Expenditures 15-22'!G57,'Expenditures 15-22'!I57)+'Expenditures 15-22'!D261</f>
        <v>197830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67314</v>
      </c>
      <c r="E27" s="1827">
        <f>E8</f>
        <v>0</v>
      </c>
      <c r="F27" s="1827">
        <f>'Expenditures 15-22'!K60-SUM('Expenditures 15-22'!G60,'Expenditures 15-22'!I60)+'Expenditures 15-22'!D264-E8</f>
        <v>67314</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452350</v>
      </c>
      <c r="F28" s="1829">
        <f>'Expenditures 15-22'!K61-SUM('Expenditures 15-22'!G61,'Expenditures 15-22'!I61)+'Expenditures 15-22'!K124-SUM('Expenditures 15-22'!G124,'Expenditures 15-22'!I124)+'Expenditures 15-22'!D266-E9</f>
        <v>452350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156352</v>
      </c>
      <c r="F29" s="1825"/>
      <c r="G29" s="1828">
        <f>'Expenditures 15-22'!K62-SUM('Expenditures 15-22'!G62,'Expenditures 15-22'!I62)+'Expenditures 15-22'!K125-SUM('Expenditures 15-22'!G125,'Expenditures 15-22'!I125)+'Expenditures 15-22'!K182-SUM('Expenditures 15-22'!G182,'Expenditures 15-22'!I182)+'Expenditures 15-22'!D267</f>
        <v>156352</v>
      </c>
      <c r="H29" s="986"/>
    </row>
    <row r="30" spans="1:9" ht="12" customHeight="1" x14ac:dyDescent="0.2">
      <c r="A30" s="995" t="s">
        <v>102</v>
      </c>
      <c r="B30" s="998"/>
      <c r="C30" s="994">
        <v>2560</v>
      </c>
      <c r="D30" s="1825"/>
      <c r="E30" s="1827">
        <f>'Expenditures 15-22'!K63-SUM('Expenditures 15-22'!G63,'Expenditures 15-22'!I63)+'Expenditures 15-22'!D268-E10</f>
        <v>74516</v>
      </c>
      <c r="F30" s="1825"/>
      <c r="G30" s="1827">
        <f>'Expenditures 15-22'!K63-SUM('Expenditures 15-22'!G63,'Expenditures 15-22'!I63)+'Expenditures 15-22'!D268-E10</f>
        <v>74516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67314</v>
      </c>
      <c r="E41" s="1829">
        <f>SUM(E19:E40)</f>
        <v>3769355</v>
      </c>
      <c r="F41" s="1829">
        <f>SUM(F19:F39)</f>
        <v>519664</v>
      </c>
      <c r="G41" s="1829">
        <f>SUM(G19:G40)</f>
        <v>3317005</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67314</v>
      </c>
      <c r="F43" s="1830" t="s">
        <v>495</v>
      </c>
      <c r="G43" s="1831">
        <f>F41</f>
        <v>519664</v>
      </c>
    </row>
    <row r="44" spans="1:7" ht="12" customHeight="1" x14ac:dyDescent="0.2">
      <c r="A44" s="988"/>
      <c r="B44" s="162"/>
      <c r="C44" s="1002"/>
      <c r="D44" s="1830" t="s">
        <v>494</v>
      </c>
      <c r="E44" s="1831">
        <f>E41</f>
        <v>3769355</v>
      </c>
      <c r="F44" s="1830" t="s">
        <v>494</v>
      </c>
      <c r="G44" s="1831">
        <f>G41</f>
        <v>3317005</v>
      </c>
    </row>
    <row r="45" spans="1:7" ht="12" customHeight="1" x14ac:dyDescent="0.2">
      <c r="A45" s="988"/>
      <c r="B45" s="162"/>
      <c r="C45" s="162"/>
      <c r="D45" s="1832" t="s">
        <v>1063</v>
      </c>
      <c r="E45" s="1833">
        <f>(E43/E44)</f>
        <v>1.7858227733922646E-2</v>
      </c>
      <c r="F45" s="1832" t="s">
        <v>1063</v>
      </c>
      <c r="G45" s="1833">
        <f>(G43/G44)</f>
        <v>0.15666663149437521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5" activePane="bottomLeft" state="frozen"/>
      <selection activeCell="A13" sqref="A13:H13"/>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2" t="s">
        <v>1446</v>
      </c>
      <c r="B1" s="2322"/>
      <c r="C1" s="2322"/>
      <c r="D1" s="2322"/>
      <c r="E1" s="2322"/>
      <c r="F1" s="2322"/>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3" t="s">
        <v>1627</v>
      </c>
      <c r="B5" s="2324"/>
      <c r="C5" s="2325"/>
      <c r="D5" s="2325"/>
      <c r="E5" s="2325"/>
      <c r="F5" s="2325"/>
    </row>
    <row r="6" spans="1:10" ht="12" customHeight="1" x14ac:dyDescent="0.25">
      <c r="A6" s="1874"/>
      <c r="B6" s="1875"/>
      <c r="C6" s="2326" t="str">
        <f>COVER!A17</f>
        <v>Fairfield CHSD 225</v>
      </c>
      <c r="D6" s="2326"/>
      <c r="E6" s="2326"/>
      <c r="F6" s="1876"/>
    </row>
    <row r="7" spans="1:10" ht="11.25" customHeight="1" thickBot="1" x14ac:dyDescent="0.3">
      <c r="A7" s="1874"/>
      <c r="B7" s="1875"/>
      <c r="C7" s="2327">
        <f>COVER!A13</f>
        <v>20096225016</v>
      </c>
      <c r="D7" s="2327"/>
      <c r="E7" s="2327"/>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t="s">
        <v>2077</v>
      </c>
      <c r="D13" s="1889" t="s">
        <v>2077</v>
      </c>
      <c r="E13" s="1892"/>
      <c r="F13" s="1891"/>
      <c r="H13" s="1902">
        <f t="shared" si="0"/>
        <v>5</v>
      </c>
      <c r="I13" s="1902">
        <f t="shared" si="1"/>
        <v>5</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2077</v>
      </c>
      <c r="D19" s="1889" t="s">
        <v>2077</v>
      </c>
      <c r="E19" s="1892"/>
      <c r="F19" s="1891"/>
      <c r="H19" s="1902">
        <f t="shared" si="0"/>
        <v>5</v>
      </c>
      <c r="I19" s="1902">
        <f t="shared" si="1"/>
        <v>5</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t="s">
        <v>2077</v>
      </c>
      <c r="D21" s="1889" t="s">
        <v>2077</v>
      </c>
      <c r="E21" s="1892"/>
      <c r="F21" s="1891"/>
      <c r="H21" s="1902">
        <f t="shared" si="0"/>
        <v>5</v>
      </c>
      <c r="I21" s="1902">
        <f t="shared" si="1"/>
        <v>5</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c r="F26" s="1891" t="s">
        <v>2098</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2077</v>
      </c>
      <c r="D30" s="1889" t="s">
        <v>2077</v>
      </c>
      <c r="E30" s="1892"/>
      <c r="F30" s="1891" t="s">
        <v>2099</v>
      </c>
      <c r="H30" s="1902">
        <f t="shared" si="0"/>
        <v>5</v>
      </c>
      <c r="I30" s="1902">
        <f t="shared" si="1"/>
        <v>5</v>
      </c>
      <c r="J30" s="1902">
        <f t="shared" si="2"/>
        <v>0</v>
      </c>
    </row>
    <row r="31" spans="1:12" ht="12" customHeight="1" x14ac:dyDescent="0.2">
      <c r="A31" s="1887" t="s">
        <v>1620</v>
      </c>
      <c r="B31" s="1888"/>
      <c r="C31" s="1889" t="s">
        <v>2077</v>
      </c>
      <c r="D31" s="1889" t="s">
        <v>2077</v>
      </c>
      <c r="E31" s="1892"/>
      <c r="F31" s="1891" t="s">
        <v>2100</v>
      </c>
      <c r="H31" s="1902">
        <f t="shared" si="0"/>
        <v>5</v>
      </c>
      <c r="I31" s="1902">
        <f t="shared" si="1"/>
        <v>5</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30</v>
      </c>
      <c r="I34" s="1902">
        <f>SUM(I11:I32)</f>
        <v>30</v>
      </c>
      <c r="J34" s="1902">
        <f>SUM(J11:J32)</f>
        <v>0</v>
      </c>
      <c r="K34" s="1902">
        <f>SUM(H34:J34)</f>
        <v>60</v>
      </c>
    </row>
    <row r="35" spans="1:11" ht="12" customHeight="1" x14ac:dyDescent="0.2">
      <c r="A35" s="1895" t="s">
        <v>1459</v>
      </c>
      <c r="B35" s="1896"/>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7"/>
      <c r="B39" s="1897"/>
      <c r="C39" s="1897"/>
      <c r="D39" s="1897"/>
      <c r="E39" s="1897"/>
      <c r="F39" s="1897"/>
    </row>
    <row r="40" spans="1:11" s="1894" customFormat="1" ht="12" customHeight="1" x14ac:dyDescent="0.25">
      <c r="A40" s="1898" t="s">
        <v>1458</v>
      </c>
      <c r="B40" s="1899"/>
      <c r="C40" s="2317"/>
      <c r="D40" s="2317"/>
      <c r="E40" s="2317"/>
      <c r="F40" s="2318"/>
      <c r="H40" s="1903"/>
      <c r="I40" s="1903"/>
      <c r="J40" s="1903"/>
      <c r="K40" s="1903"/>
    </row>
    <row r="41" spans="1:11" s="1894" customFormat="1" ht="12" customHeight="1" x14ac:dyDescent="0.25">
      <c r="A41" s="2319" t="s">
        <v>2101</v>
      </c>
      <c r="B41" s="2320"/>
      <c r="C41" s="2320"/>
      <c r="D41" s="2320"/>
      <c r="E41" s="2320"/>
      <c r="F41" s="2321"/>
      <c r="H41" s="1903"/>
      <c r="I41" s="1903"/>
      <c r="J41" s="1903"/>
      <c r="K41" s="1903"/>
    </row>
    <row r="42" spans="1:11" s="1894" customFormat="1" ht="12" customHeight="1" x14ac:dyDescent="0.25">
      <c r="A42" s="2319" t="s">
        <v>2102</v>
      </c>
      <c r="B42" s="2320"/>
      <c r="C42" s="2320"/>
      <c r="D42" s="2320"/>
      <c r="E42" s="2320"/>
      <c r="F42" s="2321"/>
      <c r="H42" s="1903"/>
      <c r="I42" s="1903"/>
      <c r="J42" s="1903"/>
      <c r="K42" s="1903"/>
    </row>
    <row r="43" spans="1:11" s="1894" customFormat="1" ht="15" x14ac:dyDescent="0.25">
      <c r="A43" s="2308" t="s">
        <v>2103</v>
      </c>
      <c r="B43" s="2309"/>
      <c r="C43" s="2309"/>
      <c r="D43" s="2309"/>
      <c r="E43" s="2309"/>
      <c r="F43" s="2310"/>
      <c r="H43" s="1903"/>
      <c r="I43" s="1903"/>
      <c r="J43" s="1903"/>
      <c r="K43" s="1903"/>
    </row>
    <row r="44" spans="1:11" s="1894" customFormat="1" ht="12" hidden="1" customHeight="1" x14ac:dyDescent="0.25">
      <c r="A44" s="2308"/>
      <c r="B44" s="2309"/>
      <c r="C44" s="2309"/>
      <c r="D44" s="2309"/>
      <c r="E44" s="2309"/>
      <c r="F44" s="231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Normal="100" workbookViewId="0">
      <selection activeCell="A13" sqref="A13: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5" t="str">
        <f>COVER!A17</f>
        <v>Fairfield CHSD 225</v>
      </c>
      <c r="J6" s="2336"/>
      <c r="Q6" s="1686"/>
    </row>
    <row r="7" spans="1:17" x14ac:dyDescent="0.2">
      <c r="A7" s="2337" t="s">
        <v>924</v>
      </c>
      <c r="B7" s="2338"/>
      <c r="C7" s="2338"/>
      <c r="D7" s="2338"/>
      <c r="E7" s="2339"/>
      <c r="F7" s="1018"/>
      <c r="G7" s="1010"/>
      <c r="H7" s="1017" t="s">
        <v>390</v>
      </c>
      <c r="I7" s="2340">
        <f>COVER!A13</f>
        <v>20096225016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109687</v>
      </c>
      <c r="F12" s="1040"/>
      <c r="G12" s="1834">
        <f t="shared" ref="G12:G18" si="0">SUM(E12:F12)</f>
        <v>109687</v>
      </c>
      <c r="H12" s="1041">
        <v>112075</v>
      </c>
      <c r="I12" s="1040"/>
      <c r="J12" s="1834">
        <f t="shared" ref="J12:J18" si="1">SUM(H12:I12)</f>
        <v>112075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109687</v>
      </c>
      <c r="F19" s="1836">
        <f t="shared" si="2"/>
        <v>0</v>
      </c>
      <c r="G19" s="1836">
        <f t="shared" si="2"/>
        <v>109687</v>
      </c>
      <c r="H19" s="1836">
        <f t="shared" si="2"/>
        <v>112075</v>
      </c>
      <c r="I19" s="1836">
        <f t="shared" si="2"/>
        <v>0</v>
      </c>
      <c r="J19" s="1836">
        <f t="shared" si="2"/>
        <v>112075</v>
      </c>
    </row>
    <row r="20" spans="1:10" ht="13.5" thickTop="1" x14ac:dyDescent="0.2">
      <c r="A20" s="1036">
        <v>9</v>
      </c>
      <c r="B20" s="2347" t="s">
        <v>1703</v>
      </c>
      <c r="C20" s="2347"/>
      <c r="D20" s="2348"/>
      <c r="E20" s="1047"/>
      <c r="F20" s="1047"/>
      <c r="G20" s="1047"/>
      <c r="H20" s="1047"/>
      <c r="I20" s="1047"/>
      <c r="J20" s="1837">
        <f>IF(AND(G19&gt;0,J19&gt;0),(((J19-G19)/G19)),"Enter Budget Data")</f>
        <v>2.177103941214547E-2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70"/>
  <sheetViews>
    <sheetView showGridLines="0" zoomScaleNormal="100" workbookViewId="0">
      <selection activeCell="A13" sqref="A13:H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89" t="s">
        <v>2104</v>
      </c>
    </row>
    <row r="6" spans="1:2" x14ac:dyDescent="0.2">
      <c r="A6" s="1069"/>
      <c r="B6" s="329" t="s">
        <v>2105</v>
      </c>
    </row>
    <row r="7" spans="1:2" x14ac:dyDescent="0.2">
      <c r="A7" s="1069">
        <v>2</v>
      </c>
      <c r="B7" s="389" t="s">
        <v>2135</v>
      </c>
    </row>
    <row r="8" spans="1:2" x14ac:dyDescent="0.2">
      <c r="A8" s="1069"/>
      <c r="B8" s="329" t="s">
        <v>2106</v>
      </c>
    </row>
    <row r="9" spans="1:2" x14ac:dyDescent="0.2">
      <c r="A9" s="1069"/>
      <c r="B9" s="329" t="s">
        <v>2107</v>
      </c>
    </row>
    <row r="10" spans="1:2" x14ac:dyDescent="0.2">
      <c r="A10" s="1069">
        <v>3</v>
      </c>
      <c r="B10" s="389" t="s">
        <v>2108</v>
      </c>
    </row>
    <row r="11" spans="1:2" x14ac:dyDescent="0.2">
      <c r="A11" s="1069"/>
      <c r="B11" s="329" t="s">
        <v>2109</v>
      </c>
    </row>
    <row r="12" spans="1:2" x14ac:dyDescent="0.2">
      <c r="A12" s="1069">
        <v>4</v>
      </c>
      <c r="B12" s="389" t="s">
        <v>2110</v>
      </c>
    </row>
    <row r="13" spans="1:2" x14ac:dyDescent="0.2">
      <c r="A13" s="1070"/>
      <c r="B13" s="329" t="s">
        <v>2113</v>
      </c>
    </row>
    <row r="14" spans="1:2" x14ac:dyDescent="0.2">
      <c r="A14" s="1070"/>
      <c r="B14" s="329" t="s">
        <v>2112</v>
      </c>
    </row>
    <row r="15" spans="1:2" x14ac:dyDescent="0.2">
      <c r="A15" s="1070"/>
    </row>
    <row r="16" spans="1:2" x14ac:dyDescent="0.2">
      <c r="A16" s="1069">
        <v>5</v>
      </c>
      <c r="B16" s="389" t="s">
        <v>2111</v>
      </c>
    </row>
    <row r="17" spans="1:2" x14ac:dyDescent="0.2">
      <c r="A17" s="1070"/>
      <c r="B17" s="329" t="s">
        <v>2114</v>
      </c>
    </row>
    <row r="18" spans="1:2" x14ac:dyDescent="0.2">
      <c r="A18" s="1070"/>
      <c r="B18" s="329" t="s">
        <v>2115</v>
      </c>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row>
    <row r="68" spans="1:2" x14ac:dyDescent="0.2">
      <c r="A68" s="1070"/>
    </row>
    <row r="69" spans="1:2" x14ac:dyDescent="0.2">
      <c r="A69" s="1070"/>
      <c r="B69" s="258" t="str">
        <f>COVER!A17</f>
        <v>Fairfield CHSD 225</v>
      </c>
    </row>
    <row r="70" spans="1:2" x14ac:dyDescent="0.2">
      <c r="B70" s="1071">
        <f>COVER!A13</f>
        <v>20096225016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election activeCell="A13" sqref="A13:H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A13" sqref="A13:H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election activeCell="A13" sqref="A13:H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shapeId="35841" r:id="rId4">
          <objectPr defaultSize="0" autoPict="0" r:id="rId5">
            <anchor moveWithCells="1">
              <from>
                <xdr:col>3</xdr:col>
                <xdr:colOff>57150</xdr:colOff>
                <xdr:row>0</xdr:row>
                <xdr:rowOff>0</xdr:rowOff>
              </from>
              <to>
                <xdr:col>12</xdr:col>
                <xdr:colOff>428625</xdr:colOff>
                <xdr:row>43</xdr:row>
                <xdr:rowOff>104775</xdr:rowOff>
              </to>
            </anchor>
          </objectPr>
        </oleObject>
      </mc:Choice>
      <mc:Fallback>
        <oleObject progId="Acrobat Document"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activeCell="A13" sqref="A13:H1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3631994</v>
      </c>
      <c r="C8" s="1838">
        <f>'Acct Summary 7-8'!D8</f>
        <v>330366</v>
      </c>
      <c r="D8" s="1838">
        <f>'Acct Summary 7-8'!F8</f>
        <v>214733</v>
      </c>
      <c r="E8" s="1838">
        <f>'Acct Summary 7-8'!I8</f>
        <v>47919</v>
      </c>
      <c r="F8" s="1838">
        <f>SUM(B8:E8)</f>
        <v>4225012</v>
      </c>
    </row>
    <row r="9" spans="1:8" s="1080" customFormat="1" ht="14.25" customHeight="1" thickBot="1" x14ac:dyDescent="0.25">
      <c r="A9" s="1079" t="s">
        <v>1436</v>
      </c>
      <c r="B9" s="1839">
        <f>'Acct Summary 7-8'!C17</f>
        <v>3270695</v>
      </c>
      <c r="C9" s="1839">
        <f>'Acct Summary 7-8'!D17</f>
        <v>424593</v>
      </c>
      <c r="D9" s="1839">
        <f>'Acct Summary 7-8'!F17</f>
        <v>201514</v>
      </c>
      <c r="E9" s="1838"/>
      <c r="F9" s="1838">
        <f>SUM(B9:E9)</f>
        <v>3896802</v>
      </c>
    </row>
    <row r="10" spans="1:8" s="1080" customFormat="1" ht="14.25" thickTop="1" thickBot="1" x14ac:dyDescent="0.25">
      <c r="A10" s="1081" t="s">
        <v>1437</v>
      </c>
      <c r="B10" s="1840">
        <f>(B8-B9)</f>
        <v>361299</v>
      </c>
      <c r="C10" s="1840">
        <f>(C8-C9)</f>
        <v>-94227</v>
      </c>
      <c r="D10" s="1840">
        <f>(D8-D9)</f>
        <v>13219</v>
      </c>
      <c r="E10" s="1839">
        <f>(E8-E9)</f>
        <v>47919</v>
      </c>
      <c r="F10" s="1841">
        <f>SUM(F8-F9)</f>
        <v>328210</v>
      </c>
    </row>
    <row r="11" spans="1:8" s="1080" customFormat="1" ht="14.25" thickTop="1" thickBot="1" x14ac:dyDescent="0.25">
      <c r="A11" s="1082" t="s">
        <v>1785</v>
      </c>
      <c r="B11" s="1842">
        <f>'Acct Summary 7-8'!C81</f>
        <v>920158</v>
      </c>
      <c r="C11" s="1842">
        <f>'Acct Summary 7-8'!D81</f>
        <v>25938</v>
      </c>
      <c r="D11" s="1842">
        <f>'Acct Summary 7-8'!F81</f>
        <v>329137</v>
      </c>
      <c r="E11" s="1842">
        <f>'Acct Summary 7-8'!I81</f>
        <v>153139</v>
      </c>
      <c r="F11" s="1843">
        <f>SUM(B11:E11)</f>
        <v>1428372</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ERROR!</v>
      </c>
    </row>
    <row r="69" spans="1:4" x14ac:dyDescent="0.2">
      <c r="A69" s="1101"/>
      <c r="B69" s="1111"/>
      <c r="C69" s="1103" t="s">
        <v>2050</v>
      </c>
      <c r="D69" s="1125" t="str">
        <f>IF('Expenditures 15-22'!H170&lt;&gt;'Short-Term Long-Term Debt 24'!H49,"ERROR!","OK")</f>
        <v>ERROR!</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20096225016</v>
      </c>
    </row>
    <row r="3" spans="1:2" x14ac:dyDescent="0.2">
      <c r="A3" t="s">
        <v>1013</v>
      </c>
      <c r="B3" s="138" t="str">
        <f>COVER!A15</f>
        <v>Wayne, White</v>
      </c>
    </row>
    <row r="4" spans="1:2" x14ac:dyDescent="0.2">
      <c r="A4" t="s">
        <v>1064</v>
      </c>
      <c r="B4" s="138" t="str">
        <f>COVER!A17</f>
        <v>Fairfield CHSD 225</v>
      </c>
    </row>
    <row r="5" spans="1:2" x14ac:dyDescent="0.2">
      <c r="A5" t="s">
        <v>728</v>
      </c>
      <c r="B5" s="138" t="str">
        <f>COVER!A38</f>
        <v>Jill Fulkerson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f>COVER!T23</f>
        <v>0</v>
      </c>
    </row>
    <row r="16" spans="1:2" x14ac:dyDescent="0.2">
      <c r="A16" t="s">
        <v>442</v>
      </c>
      <c r="B16" s="138" t="str">
        <f>COVER!T13</f>
        <v>Kemper CPA Group LLP</v>
      </c>
    </row>
    <row r="17" spans="1:2" x14ac:dyDescent="0.2">
      <c r="A17" t="s">
        <v>939</v>
      </c>
      <c r="B17" s="138" t="str">
        <f>COVER!T15</f>
        <v>Michelle Smith, CPA</v>
      </c>
    </row>
    <row r="18" spans="1:2" x14ac:dyDescent="0.2">
      <c r="A18" t="s">
        <v>1212</v>
      </c>
      <c r="B18" s="138" t="str">
        <f>COVER!T17</f>
        <v>7200 Eagle Crest Blvd.</v>
      </c>
    </row>
    <row r="19" spans="1:2" x14ac:dyDescent="0.2">
      <c r="A19" t="s">
        <v>941</v>
      </c>
      <c r="B19" s="138" t="str">
        <f>COVER!T25</f>
        <v>mdsmith@kempercpa.com</v>
      </c>
    </row>
    <row r="20" spans="1:2" x14ac:dyDescent="0.2">
      <c r="A20" t="s">
        <v>942</v>
      </c>
      <c r="B20" s="138" t="str">
        <f>COVER!T19</f>
        <v>Evansville</v>
      </c>
    </row>
    <row r="21" spans="1:2" x14ac:dyDescent="0.2">
      <c r="A21" t="s">
        <v>500</v>
      </c>
      <c r="B21" s="138" t="str">
        <f>COVER!X19</f>
        <v>IN</v>
      </c>
    </row>
    <row r="22" spans="1:2" x14ac:dyDescent="0.2">
      <c r="A22" t="s">
        <v>943</v>
      </c>
      <c r="B22" s="138">
        <f>COVER!Z19</f>
        <v>47715</v>
      </c>
    </row>
    <row r="23" spans="1:2" x14ac:dyDescent="0.2">
      <c r="A23" t="s">
        <v>1214</v>
      </c>
      <c r="B23" s="138" t="str">
        <f>COVER!T21</f>
        <v>(812)421-8000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920158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760799</v>
      </c>
      <c r="D92" s="2" t="str">
        <f t="shared" si="0"/>
        <v>Error?</v>
      </c>
    </row>
    <row r="93" spans="1:4" x14ac:dyDescent="0.2">
      <c r="A93" s="5">
        <v>32</v>
      </c>
      <c r="B93" s="138">
        <f>'Assets-Liab 5-6'!C41</f>
        <v>920158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25938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25938</v>
      </c>
      <c r="D123" s="2" t="str">
        <f t="shared" si="0"/>
        <v>Error?</v>
      </c>
    </row>
    <row r="124" spans="1:4" x14ac:dyDescent="0.2">
      <c r="A124" s="5">
        <v>63</v>
      </c>
      <c r="B124" s="138">
        <f>'Assets-Liab 5-6'!D41</f>
        <v>25938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120072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120072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329137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329137</v>
      </c>
      <c r="D170" s="2" t="str">
        <f t="shared" si="1"/>
        <v>Error?</v>
      </c>
    </row>
    <row r="171" spans="1:4" x14ac:dyDescent="0.2">
      <c r="A171" s="5">
        <v>110</v>
      </c>
      <c r="B171" s="138">
        <f>'Assets-Liab 5-6'!F41</f>
        <v>329137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400890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400890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301371</v>
      </c>
      <c r="D273" s="2" t="str">
        <f t="shared" si="3"/>
        <v>Error?</v>
      </c>
    </row>
    <row r="274" spans="1:4" x14ac:dyDescent="0.2">
      <c r="A274" s="5">
        <v>213</v>
      </c>
      <c r="B274" s="138">
        <f>'Assets-Liab 5-6'!M17</f>
        <v>12602782</v>
      </c>
      <c r="D274" s="2" t="str">
        <f t="shared" si="3"/>
        <v>Error?</v>
      </c>
    </row>
    <row r="275" spans="1:4" x14ac:dyDescent="0.2">
      <c r="A275" s="5">
        <v>214</v>
      </c>
      <c r="B275" s="138">
        <f>'Assets-Liab 5-6'!M18</f>
        <v>1253198</v>
      </c>
      <c r="D275" s="2" t="str">
        <f t="shared" si="3"/>
        <v>Error?</v>
      </c>
    </row>
    <row r="276" spans="1:4" x14ac:dyDescent="0.2">
      <c r="A276" s="5">
        <v>215</v>
      </c>
      <c r="B276" s="138">
        <f>'Assets-Liab 5-6'!M19</f>
        <v>1102291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15867931</v>
      </c>
      <c r="C279" s="2" t="s">
        <v>594</v>
      </c>
      <c r="D279" s="2" t="str">
        <f t="shared" si="3"/>
        <v>Error?</v>
      </c>
    </row>
    <row r="280" spans="1:4" x14ac:dyDescent="0.2">
      <c r="A280" s="5">
        <v>219</v>
      </c>
      <c r="B280" s="138">
        <f>'Assets-Liab 5-6'!M40</f>
        <v>15867931</v>
      </c>
      <c r="D280" s="2" t="str">
        <f t="shared" si="3"/>
        <v>Error?</v>
      </c>
    </row>
    <row r="281" spans="1:4" x14ac:dyDescent="0.2">
      <c r="A281" s="5">
        <v>220</v>
      </c>
      <c r="B281" s="138">
        <f>'Assets-Liab 5-6'!M41</f>
        <v>15867931</v>
      </c>
      <c r="C281" s="2" t="s">
        <v>594</v>
      </c>
      <c r="D281" s="2" t="str">
        <f t="shared" si="3"/>
        <v>Error?</v>
      </c>
    </row>
    <row r="282" spans="1:4" x14ac:dyDescent="0.2">
      <c r="A282" s="5">
        <v>221</v>
      </c>
      <c r="B282" s="138">
        <f>'Assets-Liab 5-6'!N21</f>
        <v>120072</v>
      </c>
      <c r="D282" s="2" t="str">
        <f t="shared" si="3"/>
        <v>Error?</v>
      </c>
    </row>
    <row r="283" spans="1:4" x14ac:dyDescent="0.2">
      <c r="A283" s="5">
        <v>222</v>
      </c>
      <c r="B283" s="138">
        <f>'Assets-Liab 5-6'!N22</f>
        <v>2391616</v>
      </c>
      <c r="D283" s="2" t="str">
        <f t="shared" si="3"/>
        <v>Error?</v>
      </c>
    </row>
    <row r="284" spans="1:4" x14ac:dyDescent="0.2">
      <c r="A284" s="5">
        <v>223</v>
      </c>
      <c r="B284" s="138">
        <f>'Assets-Liab 5-6'!N23</f>
        <v>2511688</v>
      </c>
      <c r="C284" s="2" t="s">
        <v>594</v>
      </c>
      <c r="D284" s="2" t="str">
        <f t="shared" si="3"/>
        <v>Error?</v>
      </c>
    </row>
    <row r="285" spans="1:4" x14ac:dyDescent="0.2">
      <c r="A285" s="5">
        <v>224</v>
      </c>
      <c r="B285" s="138">
        <f>'Assets-Liab 5-6'!N36</f>
        <v>2511688</v>
      </c>
      <c r="D285" s="2" t="str">
        <f t="shared" si="3"/>
        <v>Error?</v>
      </c>
    </row>
    <row r="286" spans="1:4" x14ac:dyDescent="0.2">
      <c r="A286" s="10">
        <v>225</v>
      </c>
      <c r="D286" s="2" t="str">
        <f t="shared" si="3"/>
        <v>OK</v>
      </c>
    </row>
    <row r="287" spans="1:4" x14ac:dyDescent="0.2">
      <c r="A287" s="5">
        <v>226</v>
      </c>
      <c r="B287" s="138">
        <f>'Assets-Liab 5-6'!N37</f>
        <v>2511688</v>
      </c>
      <c r="C287" s="2" t="s">
        <v>594</v>
      </c>
      <c r="D287" s="2" t="str">
        <f t="shared" si="3"/>
        <v>Error?</v>
      </c>
    </row>
    <row r="288" spans="1:4" x14ac:dyDescent="0.2">
      <c r="A288" s="5">
        <v>227</v>
      </c>
      <c r="B288" s="138">
        <f>'Assets-Liab 5-6'!N41</f>
        <v>2511688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917491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258379</v>
      </c>
      <c r="D717" s="2" t="str">
        <f t="shared" si="10"/>
        <v>Error?</v>
      </c>
    </row>
    <row r="718" spans="1:4" x14ac:dyDescent="0.2">
      <c r="A718" s="5">
        <v>657</v>
      </c>
      <c r="B718" s="138">
        <f>'Expenditures 15-22'!C14</f>
        <v>105323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1688657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122948</v>
      </c>
      <c r="D722" s="2" t="str">
        <f t="shared" si="10"/>
        <v>Error?</v>
      </c>
    </row>
    <row r="723" spans="1:4" x14ac:dyDescent="0.2">
      <c r="A723" s="5">
        <v>662</v>
      </c>
      <c r="B723" s="138">
        <f>'Expenditures 15-22'!C38</f>
        <v>24576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147524</v>
      </c>
      <c r="C727" s="2" t="s">
        <v>594</v>
      </c>
      <c r="D727" s="2" t="str">
        <f t="shared" si="10"/>
        <v>Error?</v>
      </c>
    </row>
    <row r="728" spans="1:4" x14ac:dyDescent="0.2">
      <c r="A728" s="5">
        <v>667</v>
      </c>
      <c r="B728" s="138">
        <f>'Expenditures 15-22'!C44</f>
        <v>4876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4876</v>
      </c>
      <c r="C731" s="2" t="s">
        <v>594</v>
      </c>
      <c r="D731" s="2" t="str">
        <f t="shared" si="10"/>
        <v>Error?</v>
      </c>
    </row>
    <row r="732" spans="1:4" x14ac:dyDescent="0.2">
      <c r="A732" s="5">
        <v>671</v>
      </c>
      <c r="B732" s="138">
        <f>'Expenditures 15-22'!C49</f>
        <v>2450</v>
      </c>
      <c r="D732" s="2" t="str">
        <f t="shared" si="10"/>
        <v>Error?</v>
      </c>
    </row>
    <row r="733" spans="1:4" x14ac:dyDescent="0.2">
      <c r="A733" s="5">
        <v>672</v>
      </c>
      <c r="B733" s="138">
        <f>'Expenditures 15-22'!C50</f>
        <v>90174</v>
      </c>
      <c r="D733" s="2" t="str">
        <f t="shared" si="10"/>
        <v>Error?</v>
      </c>
    </row>
    <row r="734" spans="1:4" x14ac:dyDescent="0.2">
      <c r="A734" s="5">
        <v>673</v>
      </c>
      <c r="B734" s="138">
        <f>'Expenditures 15-22'!C53</f>
        <v>92624</v>
      </c>
      <c r="C734" s="2" t="s">
        <v>594</v>
      </c>
      <c r="D734" s="2" t="str">
        <f t="shared" si="10"/>
        <v>Error?</v>
      </c>
    </row>
    <row r="735" spans="1:4" x14ac:dyDescent="0.2">
      <c r="A735" s="5">
        <v>674</v>
      </c>
      <c r="B735" s="138">
        <f>'Expenditures 15-22'!C55</f>
        <v>122394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122394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34758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15699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50457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417875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2106532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218591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64088</v>
      </c>
      <c r="D775" s="2" t="str">
        <f t="shared" si="11"/>
        <v>Error?</v>
      </c>
    </row>
    <row r="776" spans="1:4" x14ac:dyDescent="0.2">
      <c r="A776" s="5">
        <v>715</v>
      </c>
      <c r="B776" s="138">
        <f>'Expenditures 15-22'!D14</f>
        <v>13917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374143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22635</v>
      </c>
      <c r="D780" s="2" t="str">
        <f t="shared" si="11"/>
        <v>Error?</v>
      </c>
    </row>
    <row r="781" spans="1:4" x14ac:dyDescent="0.2">
      <c r="A781" s="5">
        <v>720</v>
      </c>
      <c r="B781" s="138">
        <f>'Expenditures 15-22'!D38</f>
        <v>5643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28278</v>
      </c>
      <c r="C785" s="2" t="s">
        <v>594</v>
      </c>
      <c r="D785" s="2" t="str">
        <f t="shared" si="11"/>
        <v>Error?</v>
      </c>
    </row>
    <row r="786" spans="1:4" x14ac:dyDescent="0.2">
      <c r="A786" s="5">
        <v>725</v>
      </c>
      <c r="B786" s="138">
        <f>'Expenditures 15-22'!D44</f>
        <v>937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937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17510</v>
      </c>
      <c r="D791" s="2" t="str">
        <f t="shared" si="11"/>
        <v>Error?</v>
      </c>
    </row>
    <row r="792" spans="1:4" x14ac:dyDescent="0.2">
      <c r="A792" s="5">
        <v>731</v>
      </c>
      <c r="B792" s="138">
        <f>'Expenditures 15-22'!D53</f>
        <v>17510</v>
      </c>
      <c r="C792" s="2" t="s">
        <v>594</v>
      </c>
      <c r="D792" s="2" t="str">
        <f t="shared" si="11"/>
        <v>Error?</v>
      </c>
    </row>
    <row r="793" spans="1:4" x14ac:dyDescent="0.2">
      <c r="A793" s="5">
        <v>732</v>
      </c>
      <c r="B793" s="138">
        <f>'Expenditures 15-22'!D55</f>
        <v>17560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17560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6646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6142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12788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77073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451216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41032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2635</v>
      </c>
      <c r="D833" s="2" t="str">
        <f t="shared" si="12"/>
        <v>Error?</v>
      </c>
    </row>
    <row r="834" spans="1:4" x14ac:dyDescent="0.2">
      <c r="A834" s="5">
        <v>773</v>
      </c>
      <c r="B834" s="138">
        <f>'Expenditures 15-22'!E14</f>
        <v>25879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74275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9786</v>
      </c>
      <c r="D838" s="2" t="str">
        <f t="shared" si="12"/>
        <v>Error?</v>
      </c>
    </row>
    <row r="839" spans="1:4" x14ac:dyDescent="0.2">
      <c r="A839" s="5">
        <v>778</v>
      </c>
      <c r="B839" s="138">
        <f>'Expenditures 15-22'!E38</f>
        <v>298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10084</v>
      </c>
      <c r="C843" s="2" t="s">
        <v>594</v>
      </c>
      <c r="D843" s="2" t="str">
        <f t="shared" si="12"/>
        <v>Error?</v>
      </c>
    </row>
    <row r="844" spans="1:4" x14ac:dyDescent="0.2">
      <c r="A844" s="5">
        <v>783</v>
      </c>
      <c r="B844" s="138">
        <f>'Expenditures 15-22'!E44</f>
        <v>794</v>
      </c>
      <c r="D844" s="2" t="str">
        <f t="shared" si="12"/>
        <v>Error?</v>
      </c>
    </row>
    <row r="845" spans="1:4" x14ac:dyDescent="0.2">
      <c r="A845" s="5">
        <v>784</v>
      </c>
      <c r="B845" s="138">
        <f>'Expenditures 15-22'!E45</f>
        <v>1817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2611</v>
      </c>
      <c r="C847" s="2" t="s">
        <v>594</v>
      </c>
      <c r="D847" s="2" t="str">
        <f t="shared" si="12"/>
        <v>Error?</v>
      </c>
    </row>
    <row r="848" spans="1:4" x14ac:dyDescent="0.2">
      <c r="A848" s="5">
        <v>787</v>
      </c>
      <c r="B848" s="138">
        <f>'Expenditures 15-22'!E49</f>
        <v>19978</v>
      </c>
      <c r="D848" s="2" t="str">
        <f t="shared" si="12"/>
        <v>Error?</v>
      </c>
    </row>
    <row r="849" spans="1:4" x14ac:dyDescent="0.2">
      <c r="A849" s="5">
        <v>788</v>
      </c>
      <c r="B849" s="138">
        <f>'Expenditures 15-22'!E50</f>
        <v>1019</v>
      </c>
      <c r="D849" s="2" t="str">
        <f t="shared" si="12"/>
        <v>Error?</v>
      </c>
    </row>
    <row r="850" spans="1:4" x14ac:dyDescent="0.2">
      <c r="A850" s="5">
        <v>789</v>
      </c>
      <c r="B850" s="138">
        <f>'Expenditures 15-22'!E53</f>
        <v>20997</v>
      </c>
      <c r="C850" s="2" t="s">
        <v>594</v>
      </c>
      <c r="D850" s="2" t="str">
        <f t="shared" si="12"/>
        <v>Error?</v>
      </c>
    </row>
    <row r="851" spans="1:4" x14ac:dyDescent="0.2">
      <c r="A851" s="5">
        <v>790</v>
      </c>
      <c r="B851" s="138">
        <f>'Expenditures 15-22'!E55</f>
        <v>27208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27208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17845</v>
      </c>
      <c r="D855" s="2" t="str">
        <f t="shared" si="12"/>
        <v>Error?</v>
      </c>
    </row>
    <row r="856" spans="1:4" x14ac:dyDescent="0.2">
      <c r="A856" s="5">
        <v>795</v>
      </c>
      <c r="B856" s="138">
        <f>'Expenditures 15-22'!E61</f>
        <v>5081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435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23361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84261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188901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58301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7454</v>
      </c>
      <c r="D891" s="2" t="str">
        <f t="shared" si="12"/>
        <v>Error?</v>
      </c>
    </row>
    <row r="892" spans="1:4" x14ac:dyDescent="0.2">
      <c r="A892" s="5">
        <v>831</v>
      </c>
      <c r="B892" s="138">
        <f>'Expenditures 15-22'!F14</f>
        <v>24002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90258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305</v>
      </c>
      <c r="D896" s="2" t="str">
        <f t="shared" si="13"/>
        <v>Error?</v>
      </c>
    </row>
    <row r="897" spans="1:4" x14ac:dyDescent="0.2">
      <c r="A897" s="5">
        <v>836</v>
      </c>
      <c r="B897" s="138">
        <f>'Expenditures 15-22'!F38</f>
        <v>875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1180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2146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2146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133</v>
      </c>
      <c r="D907" s="2" t="str">
        <f t="shared" si="13"/>
        <v>Error?</v>
      </c>
    </row>
    <row r="908" spans="1:4" x14ac:dyDescent="0.2">
      <c r="A908" s="5">
        <v>847</v>
      </c>
      <c r="B908" s="138">
        <f>'Expenditures 15-22'!F53</f>
        <v>133</v>
      </c>
      <c r="C908" s="2" t="s">
        <v>594</v>
      </c>
      <c r="D908" s="2" t="str">
        <f t="shared" si="13"/>
        <v>Error?</v>
      </c>
    </row>
    <row r="909" spans="1:4" x14ac:dyDescent="0.2">
      <c r="A909" s="5">
        <v>848</v>
      </c>
      <c r="B909" s="138">
        <f>'Expenditures 15-22'!F55</f>
        <v>18265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18265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2057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49527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51584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73308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163566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16250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2786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19036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16802</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16802</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16802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35838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9081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9081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10724</v>
      </c>
      <c r="D1022" s="2" t="str">
        <f t="shared" si="14"/>
        <v>Error?</v>
      </c>
    </row>
    <row r="1023" spans="1:4" x14ac:dyDescent="0.2">
      <c r="A1023" s="5">
        <v>962</v>
      </c>
      <c r="B1023" s="138">
        <f>'Expenditures 15-22'!H50</f>
        <v>851</v>
      </c>
      <c r="D1023" s="2" t="str">
        <f t="shared" ref="D1023:D1086" si="15">IF(ISBLANK(B1023),"OK",IF(A1023-B1023=0,"OK","Error?"))</f>
        <v>Error?</v>
      </c>
    </row>
    <row r="1024" spans="1:4" x14ac:dyDescent="0.2">
      <c r="A1024" s="5">
        <v>963</v>
      </c>
      <c r="B1024" s="138">
        <f>'Expenditures 15-22'!H53</f>
        <v>11575</v>
      </c>
      <c r="C1024" s="2" t="s">
        <v>594</v>
      </c>
      <c r="D1024" s="2" t="str">
        <f t="shared" si="15"/>
        <v>Error?</v>
      </c>
    </row>
    <row r="1025" spans="1:4" x14ac:dyDescent="0.2">
      <c r="A1025" s="5">
        <v>964</v>
      </c>
      <c r="B1025" s="138">
        <f>'Expenditures 15-22'!H55</f>
        <v>1049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1049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12624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302937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324642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1251665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335342</v>
      </c>
      <c r="C1105" s="2" t="s">
        <v>594</v>
      </c>
      <c r="D1105" s="2" t="str">
        <f t="shared" si="16"/>
        <v>Error?</v>
      </c>
    </row>
    <row r="1106" spans="1:4" x14ac:dyDescent="0.2">
      <c r="A1106" s="5">
        <v>1045</v>
      </c>
      <c r="B1106" s="138">
        <f>'Expenditures 15-22'!K14</f>
        <v>178202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2255450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155674</v>
      </c>
      <c r="C1110" s="2" t="s">
        <v>594</v>
      </c>
      <c r="D1110" s="2" t="str">
        <f t="shared" si="16"/>
        <v>Error?</v>
      </c>
    </row>
    <row r="1111" spans="1:4" x14ac:dyDescent="0.2">
      <c r="A1111" s="5">
        <v>1050</v>
      </c>
      <c r="B1111" s="138">
        <f>'Expenditures 15-22'!K38</f>
        <v>31392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187066</v>
      </c>
      <c r="C1115" s="2" t="s">
        <v>594</v>
      </c>
      <c r="D1115" s="2" t="str">
        <f t="shared" si="16"/>
        <v>Error?</v>
      </c>
    </row>
    <row r="1116" spans="1:4" x14ac:dyDescent="0.2">
      <c r="A1116" s="5">
        <v>1055</v>
      </c>
      <c r="B1116" s="138">
        <f>'Expenditures 15-22'!K44</f>
        <v>6607</v>
      </c>
      <c r="C1116" s="2" t="s">
        <v>594</v>
      </c>
      <c r="D1116" s="2" t="str">
        <f t="shared" si="16"/>
        <v>Error?</v>
      </c>
    </row>
    <row r="1117" spans="1:4" x14ac:dyDescent="0.2">
      <c r="A1117" s="5">
        <v>1056</v>
      </c>
      <c r="B1117" s="138">
        <f>'Expenditures 15-22'!K45</f>
        <v>3963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10570</v>
      </c>
      <c r="C1119" s="2" t="s">
        <v>594</v>
      </c>
      <c r="D1119" s="2" t="str">
        <f t="shared" si="16"/>
        <v>Error?</v>
      </c>
    </row>
    <row r="1120" spans="1:4" x14ac:dyDescent="0.2">
      <c r="A1120" s="5">
        <v>1059</v>
      </c>
      <c r="B1120" s="138">
        <f>'Expenditures 15-22'!K49</f>
        <v>49954</v>
      </c>
      <c r="C1120" s="2" t="s">
        <v>594</v>
      </c>
      <c r="D1120" s="2" t="str">
        <f t="shared" si="16"/>
        <v>Error?</v>
      </c>
    </row>
    <row r="1121" spans="1:4" x14ac:dyDescent="0.2">
      <c r="A1121" s="5">
        <v>1060</v>
      </c>
      <c r="B1121" s="138">
        <f>'Expenditures 15-22'!K50</f>
        <v>109687</v>
      </c>
      <c r="C1121" s="2" t="s">
        <v>594</v>
      </c>
      <c r="D1121" s="2" t="str">
        <f t="shared" si="16"/>
        <v>Error?</v>
      </c>
    </row>
    <row r="1122" spans="1:4" x14ac:dyDescent="0.2">
      <c r="A1122" s="5">
        <v>1061</v>
      </c>
      <c r="B1122" s="138">
        <f>'Expenditures 15-22'!K53</f>
        <v>159641</v>
      </c>
      <c r="C1122" s="2" t="s">
        <v>594</v>
      </c>
      <c r="D1122" s="2" t="str">
        <f t="shared" si="16"/>
        <v>Error?</v>
      </c>
    </row>
    <row r="1123" spans="1:4" x14ac:dyDescent="0.2">
      <c r="A1123" s="5">
        <v>1062</v>
      </c>
      <c r="B1123" s="138">
        <f>'Expenditures 15-22'!K55</f>
        <v>186476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186476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61306</v>
      </c>
      <c r="C1127" s="2" t="s">
        <v>594</v>
      </c>
      <c r="D1127" s="2" t="str">
        <f t="shared" si="16"/>
        <v>Error?</v>
      </c>
    </row>
    <row r="1128" spans="1:4" x14ac:dyDescent="0.2">
      <c r="A1128" s="5">
        <v>1067</v>
      </c>
      <c r="B1128" s="138">
        <f>'Expenditures 15-22'!K61</f>
        <v>5081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71803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138190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681943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333302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3270695</v>
      </c>
      <c r="C1152" s="2" t="s">
        <v>594</v>
      </c>
      <c r="D1152" s="2" t="str">
        <f t="shared" si="17"/>
        <v>Error?</v>
      </c>
    </row>
    <row r="1153" spans="1:4" x14ac:dyDescent="0.2">
      <c r="A1153" s="5">
        <v>1092</v>
      </c>
      <c r="B1153" s="138">
        <f>'Expenditures 15-22'!K115</f>
        <v>361299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167772</v>
      </c>
      <c r="D1221" s="2" t="str">
        <f t="shared" si="18"/>
        <v>Error?</v>
      </c>
    </row>
    <row r="1222" spans="1:4" x14ac:dyDescent="0.2">
      <c r="A1222" s="10">
        <v>1161</v>
      </c>
      <c r="D1222" s="2" t="str">
        <f t="shared" si="18"/>
        <v>OK</v>
      </c>
    </row>
    <row r="1223" spans="1:4" x14ac:dyDescent="0.2">
      <c r="A1223" s="5">
        <v>1162</v>
      </c>
      <c r="B1223" s="138">
        <f>'Expenditures 15-22'!C127</f>
        <v>167772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167772</v>
      </c>
      <c r="C1225" s="2" t="s">
        <v>594</v>
      </c>
      <c r="D1225" s="2" t="str">
        <f t="shared" si="18"/>
        <v>Error?</v>
      </c>
    </row>
    <row r="1226" spans="1:4" x14ac:dyDescent="0.2">
      <c r="A1226" s="5">
        <v>1165</v>
      </c>
      <c r="B1226" s="138">
        <f>'Expenditures 15-22'!C151</f>
        <v>167772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31311</v>
      </c>
      <c r="D1229" s="2" t="str">
        <f t="shared" si="18"/>
        <v>Error?</v>
      </c>
    </row>
    <row r="1230" spans="1:4" x14ac:dyDescent="0.2">
      <c r="A1230" s="10">
        <v>1169</v>
      </c>
      <c r="D1230" s="2" t="str">
        <f t="shared" si="18"/>
        <v>OK</v>
      </c>
    </row>
    <row r="1231" spans="1:4" x14ac:dyDescent="0.2">
      <c r="A1231" s="5">
        <v>1170</v>
      </c>
      <c r="B1231" s="138">
        <f>'Expenditures 15-22'!D127</f>
        <v>31311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31311</v>
      </c>
      <c r="C1233" s="2" t="s">
        <v>594</v>
      </c>
      <c r="D1233" s="2" t="str">
        <f t="shared" si="18"/>
        <v>Error?</v>
      </c>
    </row>
    <row r="1234" spans="1:4" x14ac:dyDescent="0.2">
      <c r="A1234" s="5">
        <v>1173</v>
      </c>
      <c r="B1234" s="138">
        <f>'Expenditures 15-22'!D151</f>
        <v>31311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185418</v>
      </c>
      <c r="D1237" s="2" t="str">
        <f t="shared" si="18"/>
        <v>Error?</v>
      </c>
    </row>
    <row r="1238" spans="1:4" x14ac:dyDescent="0.2">
      <c r="A1238" s="10">
        <v>1177</v>
      </c>
      <c r="D1238" s="2" t="str">
        <f t="shared" si="18"/>
        <v>OK</v>
      </c>
    </row>
    <row r="1239" spans="1:4" x14ac:dyDescent="0.2">
      <c r="A1239" s="5">
        <v>1178</v>
      </c>
      <c r="B1239" s="138">
        <f>'Expenditures 15-22'!E127</f>
        <v>185418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185418</v>
      </c>
      <c r="C1241" s="2" t="s">
        <v>594</v>
      </c>
      <c r="D1241" s="2" t="str">
        <f t="shared" si="18"/>
        <v>Error?</v>
      </c>
    </row>
    <row r="1242" spans="1:4" x14ac:dyDescent="0.2">
      <c r="A1242" s="5">
        <v>1181</v>
      </c>
      <c r="B1242" s="138">
        <f>'Expenditures 15-22'!E151</f>
        <v>185418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34477</v>
      </c>
      <c r="D1245" s="2" t="str">
        <f t="shared" si="18"/>
        <v>Error?</v>
      </c>
    </row>
    <row r="1246" spans="1:4" x14ac:dyDescent="0.2">
      <c r="A1246" s="10">
        <v>1185</v>
      </c>
      <c r="D1246" s="2" t="str">
        <f t="shared" si="18"/>
        <v>OK</v>
      </c>
    </row>
    <row r="1247" spans="1:4" x14ac:dyDescent="0.2">
      <c r="A1247" s="5">
        <v>1186</v>
      </c>
      <c r="B1247" s="138">
        <f>'Expenditures 15-22'!F127</f>
        <v>34477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34477</v>
      </c>
      <c r="C1249" s="2" t="s">
        <v>594</v>
      </c>
      <c r="D1249" s="2" t="str">
        <f t="shared" si="18"/>
        <v>Error?</v>
      </c>
    </row>
    <row r="1250" spans="1:4" x14ac:dyDescent="0.2">
      <c r="A1250" s="5">
        <v>1189</v>
      </c>
      <c r="B1250" s="138">
        <f>'Expenditures 15-22'!F151</f>
        <v>34477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5615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5615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5615</v>
      </c>
      <c r="C1258" s="2" t="s">
        <v>594</v>
      </c>
      <c r="D1258" s="2" t="str">
        <f t="shared" si="18"/>
        <v>Error?</v>
      </c>
    </row>
    <row r="1259" spans="1:4" x14ac:dyDescent="0.2">
      <c r="A1259" s="5">
        <v>1198</v>
      </c>
      <c r="B1259" s="138">
        <f>'Expenditures 15-22'!G151</f>
        <v>5615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424593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424593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424593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424593</v>
      </c>
      <c r="C1288" s="2" t="s">
        <v>594</v>
      </c>
      <c r="D1288" s="2" t="str">
        <f t="shared" si="19"/>
        <v>Error?</v>
      </c>
    </row>
    <row r="1289" spans="1:4" x14ac:dyDescent="0.2">
      <c r="A1289" s="5">
        <v>1228</v>
      </c>
      <c r="B1289" s="138">
        <f>'Expenditures 15-22'!K152</f>
        <v>-94227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92145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282100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375245</v>
      </c>
      <c r="C1317" s="2" t="s">
        <v>594</v>
      </c>
      <c r="D1317" s="2" t="str">
        <f t="shared" si="19"/>
        <v>Error?</v>
      </c>
    </row>
    <row r="1318" spans="1:4" x14ac:dyDescent="0.2">
      <c r="A1318" s="5">
        <v>1257</v>
      </c>
      <c r="B1318" s="138">
        <f>'Expenditures 15-22'!H174</f>
        <v>375245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92145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282100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375245</v>
      </c>
      <c r="C1331" s="2" t="s">
        <v>594</v>
      </c>
      <c r="D1331" s="2" t="str">
        <f t="shared" si="19"/>
        <v>Error?</v>
      </c>
    </row>
    <row r="1332" spans="1:4" x14ac:dyDescent="0.2">
      <c r="A1332" s="5">
        <v>1271</v>
      </c>
      <c r="B1332" s="138">
        <f>'Expenditures 15-22'!K174</f>
        <v>375245</v>
      </c>
      <c r="C1332" s="2" t="s">
        <v>594</v>
      </c>
      <c r="D1332" s="2" t="str">
        <f t="shared" si="19"/>
        <v>Error?</v>
      </c>
    </row>
    <row r="1333" spans="1:4" x14ac:dyDescent="0.2">
      <c r="A1333" s="5">
        <v>1272</v>
      </c>
      <c r="B1333" s="138">
        <f>'Expenditures 15-22'!K175</f>
        <v>11615</v>
      </c>
      <c r="C1333" s="2" t="s">
        <v>594</v>
      </c>
      <c r="D1333" s="2" t="str">
        <f t="shared" si="19"/>
        <v>Error?</v>
      </c>
    </row>
    <row r="1334" spans="1:4" x14ac:dyDescent="0.2">
      <c r="A1334" s="10">
        <v>1273</v>
      </c>
      <c r="D1334" s="2" t="str">
        <f t="shared" si="19"/>
        <v>OK</v>
      </c>
    </row>
    <row r="1335" spans="1:4" x14ac:dyDescent="0.2">
      <c r="A1335" s="5">
        <v>1274</v>
      </c>
      <c r="B1335" s="138">
        <f>'Expenditures 15-22'!C182</f>
        <v>94082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94082</v>
      </c>
      <c r="C1339" s="2" t="s">
        <v>594</v>
      </c>
      <c r="D1339" s="2" t="str">
        <f t="shared" si="19"/>
        <v>Error?</v>
      </c>
    </row>
    <row r="1340" spans="1:4" x14ac:dyDescent="0.2">
      <c r="A1340" s="5">
        <v>1279</v>
      </c>
      <c r="B1340" s="138">
        <f>'Expenditures 15-22'!C210</f>
        <v>94082</v>
      </c>
      <c r="C1340" s="2" t="s">
        <v>594</v>
      </c>
      <c r="D1340" s="2" t="str">
        <f t="shared" si="19"/>
        <v>Error?</v>
      </c>
    </row>
    <row r="1341" spans="1:4" x14ac:dyDescent="0.2">
      <c r="A1341" s="5">
        <v>1280</v>
      </c>
      <c r="B1341" s="138">
        <f>'Expenditures 15-22'!D182</f>
        <v>6031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6031</v>
      </c>
      <c r="C1345" s="2" t="s">
        <v>594</v>
      </c>
      <c r="D1345" s="2" t="str">
        <f t="shared" si="20"/>
        <v>Error?</v>
      </c>
    </row>
    <row r="1346" spans="1:4" x14ac:dyDescent="0.2">
      <c r="A1346" s="5">
        <v>1285</v>
      </c>
      <c r="B1346" s="138">
        <f>'Expenditures 15-22'!D210</f>
        <v>6031</v>
      </c>
      <c r="C1346" s="2" t="s">
        <v>594</v>
      </c>
      <c r="D1346" s="2" t="str">
        <f t="shared" si="20"/>
        <v>Error?</v>
      </c>
    </row>
    <row r="1347" spans="1:4" x14ac:dyDescent="0.2">
      <c r="A1347" s="5">
        <v>1286</v>
      </c>
      <c r="B1347" s="138">
        <f>'Expenditures 15-22'!E182</f>
        <v>6885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6885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6885</v>
      </c>
      <c r="C1353" s="2" t="s">
        <v>594</v>
      </c>
      <c r="D1353" s="2" t="str">
        <f t="shared" si="20"/>
        <v>Error?</v>
      </c>
    </row>
    <row r="1354" spans="1:4" x14ac:dyDescent="0.2">
      <c r="A1354" s="5">
        <v>1293</v>
      </c>
      <c r="B1354" s="138">
        <f>'Expenditures 15-22'!F182</f>
        <v>37559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37559</v>
      </c>
      <c r="C1358" s="2" t="s">
        <v>594</v>
      </c>
      <c r="D1358" s="2" t="str">
        <f t="shared" si="20"/>
        <v>Error?</v>
      </c>
    </row>
    <row r="1359" spans="1:4" x14ac:dyDescent="0.2">
      <c r="A1359" s="5">
        <v>1298</v>
      </c>
      <c r="B1359" s="138">
        <f>'Expenditures 15-22'!F210</f>
        <v>37559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56957</v>
      </c>
      <c r="C1375" s="2" t="s">
        <v>594</v>
      </c>
      <c r="D1375" s="2" t="str">
        <f t="shared" si="20"/>
        <v>Error?</v>
      </c>
    </row>
    <row r="1376" spans="1:4" x14ac:dyDescent="0.2">
      <c r="A1376" s="5">
        <v>1315</v>
      </c>
      <c r="B1376" s="138">
        <f>'Expenditures 15-22'!H210</f>
        <v>56957</v>
      </c>
      <c r="C1376" s="2" t="s">
        <v>594</v>
      </c>
      <c r="D1376" s="2" t="str">
        <f t="shared" si="20"/>
        <v>Error?</v>
      </c>
    </row>
    <row r="1377" spans="1:4" x14ac:dyDescent="0.2">
      <c r="A1377" s="5">
        <v>1316</v>
      </c>
      <c r="B1377" s="138">
        <f>'Expenditures 15-22'!K182</f>
        <v>144557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144557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56957</v>
      </c>
      <c r="C1387" s="2" t="s">
        <v>594</v>
      </c>
      <c r="D1387" s="2" t="str">
        <f t="shared" si="20"/>
        <v>Error?</v>
      </c>
    </row>
    <row r="1388" spans="1:4" x14ac:dyDescent="0.2">
      <c r="A1388" s="5">
        <v>1327</v>
      </c>
      <c r="B1388" s="138">
        <f>'Expenditures 15-22'!K210</f>
        <v>201514</v>
      </c>
      <c r="C1388" s="2" t="s">
        <v>594</v>
      </c>
      <c r="D1388" s="2" t="str">
        <f t="shared" si="20"/>
        <v>Error?</v>
      </c>
    </row>
    <row r="1389" spans="1:4" x14ac:dyDescent="0.2">
      <c r="A1389" s="5">
        <v>1328</v>
      </c>
      <c r="B1389" s="138">
        <f>'Expenditures 15-22'!K211</f>
        <v>13219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3747</v>
      </c>
      <c r="D1407" s="2" t="str">
        <f t="shared" ref="D1407:D1470" si="21">IF(ISBLANK(B1407),"OK",IF(A1407-B1407=0,"OK","Error?"))</f>
        <v>Error?</v>
      </c>
    </row>
    <row r="1408" spans="1:4" x14ac:dyDescent="0.2">
      <c r="A1408" s="5">
        <v>1347</v>
      </c>
      <c r="B1408" s="138">
        <f>'Expenditures 15-22'!D223</f>
        <v>6597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59623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6749</v>
      </c>
      <c r="D1412" s="2" t="str">
        <f t="shared" si="21"/>
        <v>Error?</v>
      </c>
    </row>
    <row r="1413" spans="1:4" x14ac:dyDescent="0.2">
      <c r="A1413" s="5">
        <v>1352</v>
      </c>
      <c r="B1413" s="138">
        <f>'Expenditures 15-22'!D234</f>
        <v>4246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10995</v>
      </c>
      <c r="C1417" s="2" t="s">
        <v>594</v>
      </c>
      <c r="D1417" s="2" t="str">
        <f t="shared" si="21"/>
        <v>Error?</v>
      </c>
    </row>
    <row r="1418" spans="1:4" x14ac:dyDescent="0.2">
      <c r="A1418" s="5">
        <v>1357</v>
      </c>
      <c r="B1418" s="138">
        <f>'Expenditures 15-22'!D240</f>
        <v>71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71</v>
      </c>
      <c r="C1421" s="2" t="s">
        <v>594</v>
      </c>
      <c r="D1421" s="2" t="str">
        <f t="shared" si="21"/>
        <v>Error?</v>
      </c>
    </row>
    <row r="1422" spans="1:4" x14ac:dyDescent="0.2">
      <c r="A1422" s="5">
        <v>1361</v>
      </c>
      <c r="B1422" s="138">
        <f>'Expenditures 15-22'!D245</f>
        <v>187</v>
      </c>
      <c r="D1422" s="2" t="str">
        <f t="shared" si="21"/>
        <v>Error?</v>
      </c>
    </row>
    <row r="1423" spans="1:4" x14ac:dyDescent="0.2">
      <c r="A1423" s="5">
        <v>1362</v>
      </c>
      <c r="B1423" s="138">
        <f>'Expenditures 15-22'!D246</f>
        <v>1308</v>
      </c>
      <c r="D1423" s="2" t="str">
        <f t="shared" si="21"/>
        <v>Error?</v>
      </c>
    </row>
    <row r="1424" spans="1:4" x14ac:dyDescent="0.2">
      <c r="A1424" s="5">
        <v>1363</v>
      </c>
      <c r="B1424" s="138">
        <f>'Expenditures 15-22'!D257</f>
        <v>11004</v>
      </c>
      <c r="C1424" s="2" t="s">
        <v>594</v>
      </c>
      <c r="D1424" s="2" t="str">
        <f t="shared" si="21"/>
        <v>Error?</v>
      </c>
    </row>
    <row r="1425" spans="1:4" x14ac:dyDescent="0.2">
      <c r="A1425" s="5">
        <v>1364</v>
      </c>
      <c r="B1425" s="138">
        <f>'Expenditures 15-22'!D259</f>
        <v>11354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11354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6008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28291</v>
      </c>
      <c r="D1431" s="2" t="str">
        <f t="shared" si="21"/>
        <v>Error?</v>
      </c>
    </row>
    <row r="1432" spans="1:4" x14ac:dyDescent="0.2">
      <c r="A1432" s="5">
        <v>1371</v>
      </c>
      <c r="B1432" s="138">
        <f>'Expenditures 15-22'!D267</f>
        <v>11795</v>
      </c>
      <c r="D1432" s="2" t="str">
        <f t="shared" si="21"/>
        <v>Error?</v>
      </c>
    </row>
    <row r="1433" spans="1:4" x14ac:dyDescent="0.2">
      <c r="A1433" s="5">
        <v>1372</v>
      </c>
      <c r="B1433" s="138">
        <f>'Expenditures 15-22'!D268</f>
        <v>2713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48807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82231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141854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3747</v>
      </c>
      <c r="C1471" s="2" t="s">
        <v>594</v>
      </c>
      <c r="D1471" s="2" t="str">
        <f t="shared" ref="D1471:D1534" si="22">IF(ISBLANK(B1471),"OK",IF(A1471-B1471=0,"OK","Error?"))</f>
        <v>Error?</v>
      </c>
    </row>
    <row r="1472" spans="1:4" x14ac:dyDescent="0.2">
      <c r="A1472" s="5">
        <v>1411</v>
      </c>
      <c r="B1472" s="138">
        <f>'Expenditures 15-22'!K223</f>
        <v>6597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59623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6749</v>
      </c>
      <c r="C1476" s="2" t="s">
        <v>594</v>
      </c>
      <c r="D1476" s="2" t="str">
        <f t="shared" si="22"/>
        <v>Error?</v>
      </c>
    </row>
    <row r="1477" spans="1:4" x14ac:dyDescent="0.2">
      <c r="A1477" s="5">
        <v>1416</v>
      </c>
      <c r="B1477" s="138">
        <f>'Expenditures 15-22'!K234</f>
        <v>4246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10995</v>
      </c>
      <c r="C1481" s="2" t="s">
        <v>594</v>
      </c>
      <c r="D1481" s="2" t="str">
        <f t="shared" si="22"/>
        <v>Error?</v>
      </c>
    </row>
    <row r="1482" spans="1:4" x14ac:dyDescent="0.2">
      <c r="A1482" s="5">
        <v>1421</v>
      </c>
      <c r="B1482" s="138">
        <f>'Expenditures 15-22'!K240</f>
        <v>71</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71</v>
      </c>
      <c r="C1485" s="2" t="s">
        <v>594</v>
      </c>
      <c r="D1485" s="2" t="str">
        <f t="shared" si="22"/>
        <v>Error?</v>
      </c>
    </row>
    <row r="1486" spans="1:4" x14ac:dyDescent="0.2">
      <c r="A1486" s="5">
        <v>1425</v>
      </c>
      <c r="B1486" s="138">
        <f>'Expenditures 15-22'!K245</f>
        <v>187</v>
      </c>
      <c r="C1486" s="2" t="s">
        <v>594</v>
      </c>
      <c r="D1486" s="2" t="str">
        <f t="shared" si="22"/>
        <v>Error?</v>
      </c>
    </row>
    <row r="1487" spans="1:4" x14ac:dyDescent="0.2">
      <c r="A1487" s="5">
        <v>1426</v>
      </c>
      <c r="B1487" s="138">
        <f>'Expenditures 15-22'!K246</f>
        <v>1308</v>
      </c>
      <c r="C1487" s="2" t="s">
        <v>594</v>
      </c>
      <c r="D1487" s="2" t="str">
        <f t="shared" si="22"/>
        <v>Error?</v>
      </c>
    </row>
    <row r="1488" spans="1:4" x14ac:dyDescent="0.2">
      <c r="A1488" s="5">
        <v>1427</v>
      </c>
      <c r="B1488" s="138">
        <f>'Expenditures 15-22'!K257</f>
        <v>11004</v>
      </c>
      <c r="C1488" s="2" t="s">
        <v>594</v>
      </c>
      <c r="D1488" s="2" t="str">
        <f t="shared" si="22"/>
        <v>Error?</v>
      </c>
    </row>
    <row r="1489" spans="1:4" x14ac:dyDescent="0.2">
      <c r="A1489" s="5">
        <v>1428</v>
      </c>
      <c r="B1489" s="138">
        <f>'Expenditures 15-22'!K259</f>
        <v>11354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11354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6008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28291</v>
      </c>
      <c r="C1495" s="2" t="s">
        <v>594</v>
      </c>
      <c r="D1495" s="2" t="str">
        <f t="shared" si="22"/>
        <v>Error?</v>
      </c>
    </row>
    <row r="1496" spans="1:4" x14ac:dyDescent="0.2">
      <c r="A1496" s="5">
        <v>1435</v>
      </c>
      <c r="B1496" s="138">
        <f>'Expenditures 15-22'!K267</f>
        <v>11795</v>
      </c>
      <c r="C1496" s="2" t="s">
        <v>594</v>
      </c>
      <c r="D1496" s="2" t="str">
        <f t="shared" si="22"/>
        <v>Error?</v>
      </c>
    </row>
    <row r="1497" spans="1:4" x14ac:dyDescent="0.2">
      <c r="A1497" s="5">
        <v>1436</v>
      </c>
      <c r="B1497" s="138">
        <f>'Expenditures 15-22'!K268</f>
        <v>2713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48807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82231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141854</v>
      </c>
      <c r="C1517" s="2" t="s">
        <v>594</v>
      </c>
      <c r="D1517" s="2" t="str">
        <f t="shared" si="22"/>
        <v>Error?</v>
      </c>
    </row>
    <row r="1518" spans="1:4" x14ac:dyDescent="0.2">
      <c r="A1518" s="5">
        <v>1457</v>
      </c>
      <c r="B1518" s="138">
        <f>'Expenditures 15-22'!K296</f>
        <v>45467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558859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920158</v>
      </c>
      <c r="C1630" s="2" t="s">
        <v>594</v>
      </c>
      <c r="D1630" s="2" t="str">
        <f t="shared" si="24"/>
        <v>Error?</v>
      </c>
    </row>
    <row r="1631" spans="1:4" x14ac:dyDescent="0.2">
      <c r="A1631" s="5">
        <v>1570</v>
      </c>
      <c r="B1631" s="138">
        <f>'Acct Summary 7-8'!D79</f>
        <v>120165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25938</v>
      </c>
      <c r="C1644" s="2" t="s">
        <v>594</v>
      </c>
      <c r="D1644" s="2" t="str">
        <f t="shared" si="24"/>
        <v>Error?</v>
      </c>
    </row>
    <row r="1645" spans="1:4" x14ac:dyDescent="0.2">
      <c r="A1645" s="5">
        <v>1584</v>
      </c>
      <c r="B1645" s="138">
        <f>'Acct Summary 7-8'!E79</f>
        <v>108457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120072</v>
      </c>
      <c r="C1658" s="2" t="s">
        <v>594</v>
      </c>
      <c r="D1658" s="2" t="str">
        <f t="shared" si="24"/>
        <v>Error?</v>
      </c>
    </row>
    <row r="1659" spans="1:4" x14ac:dyDescent="0.2">
      <c r="A1659" s="5">
        <v>1598</v>
      </c>
      <c r="B1659" s="138">
        <f>'Acct Summary 7-8'!F79</f>
        <v>315918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329137</v>
      </c>
      <c r="C1672" s="2" t="s">
        <v>594</v>
      </c>
      <c r="D1672" s="2" t="str">
        <f t="shared" si="25"/>
        <v>Error?</v>
      </c>
    </row>
    <row r="1673" spans="1:4" x14ac:dyDescent="0.2">
      <c r="A1673" s="5">
        <v>1612</v>
      </c>
      <c r="B1673" s="138">
        <f>'Acct Summary 7-8'!G79</f>
        <v>355423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400890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867271</v>
      </c>
      <c r="C1744" s="2" t="s">
        <v>594</v>
      </c>
      <c r="D1744" s="2" t="str">
        <f t="shared" si="26"/>
        <v>Error?</v>
      </c>
    </row>
    <row r="1745" spans="1:5" x14ac:dyDescent="0.2">
      <c r="A1745" s="5">
        <v>1684</v>
      </c>
      <c r="B1745" s="138">
        <f>'Tax Sched 23'!B5</f>
        <v>236323</v>
      </c>
      <c r="C1745" s="2" t="s">
        <v>594</v>
      </c>
      <c r="D1745" s="2" t="str">
        <f t="shared" si="26"/>
        <v>Error?</v>
      </c>
    </row>
    <row r="1746" spans="1:5" x14ac:dyDescent="0.2">
      <c r="A1746" s="5">
        <v>1685</v>
      </c>
      <c r="B1746" s="138">
        <f>'Tax Sched 23'!B6</f>
        <v>375583</v>
      </c>
      <c r="C1746" s="2" t="s">
        <v>594</v>
      </c>
      <c r="D1746" s="2" t="str">
        <f t="shared" si="26"/>
        <v>Error?</v>
      </c>
    </row>
    <row r="1747" spans="1:5" x14ac:dyDescent="0.2">
      <c r="A1747" s="5">
        <v>1686</v>
      </c>
      <c r="B1747" s="138">
        <f>'Tax Sched 23'!B7</f>
        <v>113435</v>
      </c>
      <c r="C1747" s="2" t="s">
        <v>594</v>
      </c>
      <c r="D1747" s="2" t="str">
        <f t="shared" si="26"/>
        <v>Error?</v>
      </c>
    </row>
    <row r="1748" spans="1:5" x14ac:dyDescent="0.2">
      <c r="A1748" s="5">
        <v>1687</v>
      </c>
      <c r="B1748" s="138">
        <f>'Tax Sched 23'!B8</f>
        <v>115351</v>
      </c>
      <c r="C1748" s="2" t="s">
        <v>594</v>
      </c>
      <c r="D1748" s="2" t="str">
        <f t="shared" si="26"/>
        <v>Error?</v>
      </c>
    </row>
    <row r="1749" spans="1:5" x14ac:dyDescent="0.2">
      <c r="A1749" s="5">
        <v>1688</v>
      </c>
      <c r="B1749" s="138">
        <f>'Tax Sched 23'!B10</f>
        <v>47265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236729</v>
      </c>
      <c r="C1752" s="2" t="s">
        <v>594</v>
      </c>
      <c r="D1752" s="2" t="str">
        <f t="shared" si="26"/>
        <v>Error?</v>
      </c>
    </row>
    <row r="1753" spans="1:5" x14ac:dyDescent="0.2">
      <c r="A1753" s="5">
        <v>1692</v>
      </c>
      <c r="B1753" s="138">
        <f>'Tax Sched 23'!B12</f>
        <v>47265</v>
      </c>
      <c r="C1753" s="2" t="s">
        <v>594</v>
      </c>
      <c r="D1753" s="2" t="str">
        <f t="shared" si="26"/>
        <v>Error?</v>
      </c>
    </row>
    <row r="1754" spans="1:5" x14ac:dyDescent="0.2">
      <c r="A1754" s="5">
        <v>1693</v>
      </c>
      <c r="B1754" s="138">
        <f>'Tax Sched 23'!B14</f>
        <v>18906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2169587</v>
      </c>
      <c r="C1759" s="2" t="s">
        <v>594</v>
      </c>
      <c r="D1759" s="2" t="str">
        <f t="shared" si="26"/>
        <v>Error?</v>
      </c>
    </row>
    <row r="1760" spans="1:5" x14ac:dyDescent="0.2">
      <c r="A1760" s="5">
        <v>1699</v>
      </c>
      <c r="B1760" s="138">
        <f>'Tax Sched 23'!D4</f>
        <v>867271</v>
      </c>
      <c r="C1760" s="2" t="s">
        <v>594</v>
      </c>
      <c r="D1760" s="2" t="str">
        <f t="shared" si="26"/>
        <v>Error?</v>
      </c>
    </row>
    <row r="1761" spans="1:5" x14ac:dyDescent="0.2">
      <c r="A1761" s="5">
        <v>1700</v>
      </c>
      <c r="B1761" s="138">
        <f>'Tax Sched 23'!D5</f>
        <v>236323</v>
      </c>
      <c r="C1761" s="2" t="s">
        <v>594</v>
      </c>
      <c r="D1761" s="2" t="str">
        <f t="shared" si="26"/>
        <v>Error?</v>
      </c>
    </row>
    <row r="1762" spans="1:5" s="8" customFormat="1" x14ac:dyDescent="0.2">
      <c r="A1762" s="5">
        <v>1701</v>
      </c>
      <c r="B1762" s="138">
        <f>'Tax Sched 23'!D6</f>
        <v>375583</v>
      </c>
      <c r="C1762" s="2" t="s">
        <v>594</v>
      </c>
      <c r="D1762" s="2" t="str">
        <f t="shared" si="26"/>
        <v>Error?</v>
      </c>
      <c r="E1762" s="9"/>
    </row>
    <row r="1763" spans="1:5" x14ac:dyDescent="0.2">
      <c r="A1763" s="5">
        <v>1702</v>
      </c>
      <c r="B1763" s="138">
        <f>'Tax Sched 23'!D7</f>
        <v>113435</v>
      </c>
      <c r="C1763" s="2" t="s">
        <v>594</v>
      </c>
      <c r="D1763" s="2" t="str">
        <f t="shared" si="26"/>
        <v>Error?</v>
      </c>
    </row>
    <row r="1764" spans="1:5" x14ac:dyDescent="0.2">
      <c r="A1764" s="5">
        <v>1703</v>
      </c>
      <c r="B1764" s="138">
        <f>'Tax Sched 23'!D8</f>
        <v>115351</v>
      </c>
      <c r="C1764" s="2" t="s">
        <v>594</v>
      </c>
      <c r="D1764" s="2" t="str">
        <f t="shared" si="26"/>
        <v>Error?</v>
      </c>
    </row>
    <row r="1765" spans="1:5" x14ac:dyDescent="0.2">
      <c r="A1765" s="5">
        <v>1704</v>
      </c>
      <c r="B1765" s="138">
        <f>'Tax Sched 23'!D10</f>
        <v>47265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236729</v>
      </c>
      <c r="C1768" s="2" t="s">
        <v>594</v>
      </c>
      <c r="D1768" s="2" t="str">
        <f t="shared" si="26"/>
        <v>Error?</v>
      </c>
    </row>
    <row r="1769" spans="1:5" x14ac:dyDescent="0.2">
      <c r="A1769" s="5">
        <v>1708</v>
      </c>
      <c r="B1769" s="138">
        <f>'Tax Sched 23'!D12</f>
        <v>47265</v>
      </c>
      <c r="C1769" s="2" t="s">
        <v>594</v>
      </c>
      <c r="D1769" s="2" t="str">
        <f t="shared" si="26"/>
        <v>Error?</v>
      </c>
    </row>
    <row r="1770" spans="1:5" x14ac:dyDescent="0.2">
      <c r="A1770" s="5">
        <v>1709</v>
      </c>
      <c r="B1770" s="138">
        <f>'Tax Sched 23'!D14</f>
        <v>18906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2169587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932194</v>
      </c>
      <c r="C1792" s="2" t="s">
        <v>594</v>
      </c>
      <c r="D1792" s="2" t="str">
        <f t="shared" si="27"/>
        <v>Error?</v>
      </c>
    </row>
    <row r="1793" spans="1:4" x14ac:dyDescent="0.2">
      <c r="A1793" s="5">
        <v>1732</v>
      </c>
      <c r="B1793" s="138">
        <f>'Tax Sched 23'!F5</f>
        <v>253313</v>
      </c>
      <c r="C1793" s="2" t="s">
        <v>594</v>
      </c>
      <c r="D1793" s="2" t="str">
        <f t="shared" si="27"/>
        <v>Error?</v>
      </c>
    </row>
    <row r="1794" spans="1:4" x14ac:dyDescent="0.2">
      <c r="A1794" s="5">
        <v>1733</v>
      </c>
      <c r="B1794" s="138">
        <f>'Tax Sched 23'!F6</f>
        <v>392469</v>
      </c>
      <c r="C1794" s="2" t="s">
        <v>594</v>
      </c>
      <c r="D1794" s="2" t="str">
        <f t="shared" si="27"/>
        <v>Error?</v>
      </c>
    </row>
    <row r="1795" spans="1:4" x14ac:dyDescent="0.2">
      <c r="A1795" s="5">
        <v>1734</v>
      </c>
      <c r="B1795" s="138">
        <f>'Tax Sched 23'!F7</f>
        <v>121590</v>
      </c>
      <c r="C1795" s="2" t="s">
        <v>594</v>
      </c>
      <c r="D1795" s="2" t="str">
        <f t="shared" si="27"/>
        <v>Error?</v>
      </c>
    </row>
    <row r="1796" spans="1:4" x14ac:dyDescent="0.2">
      <c r="A1796" s="5">
        <v>1735</v>
      </c>
      <c r="B1796" s="138">
        <f>'Tax Sched 23'!F8</f>
        <v>121563</v>
      </c>
      <c r="C1796" s="2" t="s">
        <v>594</v>
      </c>
      <c r="D1796" s="2" t="str">
        <f t="shared" si="27"/>
        <v>Error?</v>
      </c>
    </row>
    <row r="1797" spans="1:4" x14ac:dyDescent="0.2">
      <c r="A1797" s="5">
        <v>1736</v>
      </c>
      <c r="B1797" s="138">
        <f>'Tax Sched 23'!F10</f>
        <v>50663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253594</v>
      </c>
      <c r="C1800" s="2" t="s">
        <v>594</v>
      </c>
      <c r="D1800" s="2" t="str">
        <f t="shared" si="27"/>
        <v>Error?</v>
      </c>
    </row>
    <row r="1801" spans="1:4" x14ac:dyDescent="0.2">
      <c r="A1801" s="5">
        <v>1740</v>
      </c>
      <c r="B1801" s="138">
        <f>'Tax Sched 23'!F12</f>
        <v>50663</v>
      </c>
      <c r="C1801" s="2" t="s">
        <v>594</v>
      </c>
      <c r="D1801" s="2" t="str">
        <f t="shared" si="27"/>
        <v>Error?</v>
      </c>
    </row>
    <row r="1802" spans="1:4" x14ac:dyDescent="0.2">
      <c r="A1802" s="5">
        <v>1741</v>
      </c>
      <c r="B1802" s="138">
        <f>'Tax Sched 23'!F14</f>
        <v>20265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2315093</v>
      </c>
      <c r="C1807" s="2" t="s">
        <v>594</v>
      </c>
      <c r="D1807" s="2" t="str">
        <f t="shared" si="27"/>
        <v>Error?</v>
      </c>
    </row>
    <row r="1808" spans="1:4" x14ac:dyDescent="0.2">
      <c r="A1808" s="5">
        <v>1747</v>
      </c>
      <c r="B1808" s="138">
        <f>'Tax Sched 23'!E4</f>
        <v>932194</v>
      </c>
      <c r="D1808" s="2" t="str">
        <f t="shared" si="27"/>
        <v>Error?</v>
      </c>
    </row>
    <row r="1809" spans="1:4" x14ac:dyDescent="0.2">
      <c r="A1809" s="5">
        <v>1748</v>
      </c>
      <c r="B1809" s="138">
        <f>'Tax Sched 23'!E5</f>
        <v>253313</v>
      </c>
      <c r="D1809" s="2" t="str">
        <f t="shared" si="27"/>
        <v>Error?</v>
      </c>
    </row>
    <row r="1810" spans="1:4" x14ac:dyDescent="0.2">
      <c r="A1810" s="5">
        <v>1749</v>
      </c>
      <c r="B1810" s="138">
        <f>'Tax Sched 23'!E6</f>
        <v>392469</v>
      </c>
      <c r="D1810" s="2" t="str">
        <f t="shared" si="27"/>
        <v>Error?</v>
      </c>
    </row>
    <row r="1811" spans="1:4" x14ac:dyDescent="0.2">
      <c r="A1811" s="5">
        <v>1750</v>
      </c>
      <c r="B1811" s="138">
        <f>'Tax Sched 23'!E7</f>
        <v>121590</v>
      </c>
      <c r="D1811" s="2" t="str">
        <f t="shared" si="27"/>
        <v>Error?</v>
      </c>
    </row>
    <row r="1812" spans="1:4" x14ac:dyDescent="0.2">
      <c r="A1812" s="5">
        <v>1751</v>
      </c>
      <c r="B1812" s="138">
        <f>'Tax Sched 23'!E8</f>
        <v>121563</v>
      </c>
      <c r="D1812" s="2" t="str">
        <f t="shared" si="27"/>
        <v>Error?</v>
      </c>
    </row>
    <row r="1813" spans="1:4" x14ac:dyDescent="0.2">
      <c r="A1813" s="5">
        <v>1752</v>
      </c>
      <c r="B1813" s="138">
        <f>'Tax Sched 23'!E10</f>
        <v>50663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253594</v>
      </c>
      <c r="D1816" s="2" t="str">
        <f t="shared" si="27"/>
        <v>Error?</v>
      </c>
    </row>
    <row r="1817" spans="1:4" x14ac:dyDescent="0.2">
      <c r="A1817" s="5">
        <v>1756</v>
      </c>
      <c r="B1817" s="138">
        <f>'Tax Sched 23'!E12</f>
        <v>50663</v>
      </c>
      <c r="D1817" s="2" t="str">
        <f t="shared" si="27"/>
        <v>Error?</v>
      </c>
    </row>
    <row r="1818" spans="1:4" x14ac:dyDescent="0.2">
      <c r="A1818" s="5">
        <v>1757</v>
      </c>
      <c r="B1818" s="138">
        <f>'Tax Sched 23'!E14</f>
        <v>20265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2315093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2811352</v>
      </c>
      <c r="C1939" s="2" t="s">
        <v>594</v>
      </c>
      <c r="D1939" s="2" t="str">
        <f t="shared" si="29"/>
        <v>Error?</v>
      </c>
    </row>
    <row r="1940" spans="1:5" x14ac:dyDescent="0.2">
      <c r="A1940" s="5">
        <v>1879</v>
      </c>
      <c r="B1940" s="138">
        <f>'Short-Term Long-Term Debt 24'!F49</f>
        <v>33900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18906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18906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18906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250214</v>
      </c>
      <c r="D2008" s="2" t="str">
        <f t="shared" si="30"/>
        <v>Error?</v>
      </c>
    </row>
    <row r="2009" spans="1:4" x14ac:dyDescent="0.2">
      <c r="A2009" s="5">
        <v>1948</v>
      </c>
      <c r="B2009" s="138">
        <f>'Cap Outlay Deprec 26'!C8</f>
        <v>12602782</v>
      </c>
      <c r="D2009" s="2" t="str">
        <f t="shared" si="30"/>
        <v>Error?</v>
      </c>
    </row>
    <row r="2010" spans="1:4" x14ac:dyDescent="0.2">
      <c r="A2010" s="5">
        <v>1949</v>
      </c>
      <c r="B2010" s="138">
        <f>'Cap Outlay Deprec 26'!C10</f>
        <v>501437</v>
      </c>
      <c r="D2010" s="2" t="str">
        <f t="shared" si="30"/>
        <v>Error?</v>
      </c>
    </row>
    <row r="2011" spans="1:4" x14ac:dyDescent="0.2">
      <c r="A2011" s="5">
        <v>1950</v>
      </c>
      <c r="B2011" s="138">
        <f>'Cap Outlay Deprec 26'!C12</f>
        <v>626419</v>
      </c>
      <c r="D2011" s="2" t="str">
        <f t="shared" si="30"/>
        <v>Error?</v>
      </c>
    </row>
    <row r="2012" spans="1:4" x14ac:dyDescent="0.2">
      <c r="A2012" s="5">
        <v>1951</v>
      </c>
      <c r="B2012" s="138">
        <f>'Cap Outlay Deprec 26'!C13</f>
        <v>562415</v>
      </c>
      <c r="D2012" s="2" t="str">
        <f t="shared" si="30"/>
        <v>Error?</v>
      </c>
    </row>
    <row r="2013" spans="1:4" x14ac:dyDescent="0.2">
      <c r="A2013" s="5">
        <v>1952</v>
      </c>
      <c r="B2013" s="138">
        <f>'Cap Outlay Deprec 26'!C16</f>
        <v>14715816</v>
      </c>
      <c r="C2013" s="2" t="s">
        <v>594</v>
      </c>
      <c r="D2013" s="2" t="str">
        <f t="shared" si="30"/>
        <v>Error?</v>
      </c>
    </row>
    <row r="2014" spans="1:4" x14ac:dyDescent="0.2">
      <c r="A2014" s="5">
        <v>1953</v>
      </c>
      <c r="B2014" s="138">
        <f>'Cap Outlay Deprec 26'!D5</f>
        <v>16802</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751761</v>
      </c>
      <c r="D2016" s="2" t="str">
        <f t="shared" si="30"/>
        <v>Error?</v>
      </c>
    </row>
    <row r="2017" spans="1:4" x14ac:dyDescent="0.2">
      <c r="A2017" s="5">
        <v>1956</v>
      </c>
      <c r="B2017" s="138">
        <f>'Cap Outlay Deprec 26'!D12</f>
        <v>2786</v>
      </c>
      <c r="D2017" s="2" t="str">
        <f t="shared" si="30"/>
        <v>Error?</v>
      </c>
    </row>
    <row r="2018" spans="1:4" x14ac:dyDescent="0.2">
      <c r="A2018" s="5">
        <v>1957</v>
      </c>
      <c r="B2018" s="138">
        <f>'Cap Outlay Deprec 26'!D13</f>
        <v>16250</v>
      </c>
      <c r="D2018" s="2" t="str">
        <f t="shared" si="30"/>
        <v>Error?</v>
      </c>
    </row>
    <row r="2019" spans="1:4" x14ac:dyDescent="0.2">
      <c r="A2019" s="5">
        <v>1958</v>
      </c>
      <c r="B2019" s="138">
        <f>'Cap Outlay Deprec 26'!D16</f>
        <v>1395888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60983</v>
      </c>
      <c r="D2023" s="2" t="str">
        <f t="shared" si="30"/>
        <v>Error?</v>
      </c>
    </row>
    <row r="2024" spans="1:4" x14ac:dyDescent="0.2">
      <c r="A2024" s="5">
        <v>1963</v>
      </c>
      <c r="B2024" s="138">
        <f>'Cap Outlay Deprec 26'!E13</f>
        <v>44595</v>
      </c>
      <c r="D2024" s="2" t="str">
        <f t="shared" si="30"/>
        <v>Error?</v>
      </c>
    </row>
    <row r="2025" spans="1:4" x14ac:dyDescent="0.2">
      <c r="A2025" s="5">
        <v>1964</v>
      </c>
      <c r="B2025" s="138">
        <f>'Cap Outlay Deprec 26'!E16</f>
        <v>243772</v>
      </c>
      <c r="C2025" s="2" t="s">
        <v>594</v>
      </c>
      <c r="D2025" s="2" t="str">
        <f t="shared" si="30"/>
        <v>Error?</v>
      </c>
    </row>
    <row r="2026" spans="1:4" x14ac:dyDescent="0.2">
      <c r="A2026" s="5">
        <v>1965</v>
      </c>
      <c r="B2026" s="138">
        <f>'Cap Outlay Deprec 26'!F5</f>
        <v>267016</v>
      </c>
      <c r="C2026" s="2" t="s">
        <v>594</v>
      </c>
      <c r="D2026" s="2" t="str">
        <f t="shared" si="30"/>
        <v>Error?</v>
      </c>
    </row>
    <row r="2027" spans="1:4" x14ac:dyDescent="0.2">
      <c r="A2027" s="5">
        <v>1966</v>
      </c>
      <c r="B2027" s="138">
        <f>'Cap Outlay Deprec 26'!F8</f>
        <v>12602782</v>
      </c>
      <c r="C2027" s="2" t="s">
        <v>594</v>
      </c>
      <c r="D2027" s="2" t="str">
        <f t="shared" si="30"/>
        <v>Error?</v>
      </c>
    </row>
    <row r="2028" spans="1:4" x14ac:dyDescent="0.2">
      <c r="A2028" s="5">
        <v>1967</v>
      </c>
      <c r="B2028" s="138">
        <f>'Cap Outlay Deprec 26'!F10</f>
        <v>1253198</v>
      </c>
      <c r="C2028" s="2" t="s">
        <v>594</v>
      </c>
      <c r="D2028" s="2" t="str">
        <f t="shared" si="30"/>
        <v>Error?</v>
      </c>
    </row>
    <row r="2029" spans="1:4" x14ac:dyDescent="0.2">
      <c r="A2029" s="5">
        <v>1968</v>
      </c>
      <c r="B2029" s="138">
        <f>'Cap Outlay Deprec 26'!F12</f>
        <v>568222</v>
      </c>
      <c r="C2029" s="2" t="s">
        <v>594</v>
      </c>
      <c r="D2029" s="2" t="str">
        <f t="shared" si="30"/>
        <v>Error?</v>
      </c>
    </row>
    <row r="2030" spans="1:4" x14ac:dyDescent="0.2">
      <c r="A2030" s="5">
        <v>1969</v>
      </c>
      <c r="B2030" s="138">
        <f>'Cap Outlay Deprec 26'!F13</f>
        <v>534070</v>
      </c>
      <c r="C2030" s="2" t="s">
        <v>594</v>
      </c>
      <c r="D2030" s="2" t="str">
        <f t="shared" si="30"/>
        <v>Error?</v>
      </c>
    </row>
    <row r="2031" spans="1:4" x14ac:dyDescent="0.2">
      <c r="A2031" s="5">
        <v>1970</v>
      </c>
      <c r="B2031" s="138">
        <f>'Cap Outlay Deprec 26'!F16</f>
        <v>15867932</v>
      </c>
      <c r="C2031" s="2" t="s">
        <v>594</v>
      </c>
      <c r="D2031" s="2" t="str">
        <f t="shared" si="30"/>
        <v>Error?</v>
      </c>
    </row>
    <row r="2032" spans="1:4" x14ac:dyDescent="0.2">
      <c r="A2032" s="10">
        <v>1971</v>
      </c>
      <c r="D2032" s="2" t="str">
        <f t="shared" si="30"/>
        <v>OK</v>
      </c>
    </row>
    <row r="2033" spans="1:4" x14ac:dyDescent="0.2">
      <c r="A2033" s="5">
        <v>1972</v>
      </c>
      <c r="B2033" s="138">
        <f>'Cap Outlay Deprec 26'!H8</f>
        <v>4635915</v>
      </c>
      <c r="D2033" s="2" t="str">
        <f t="shared" si="30"/>
        <v>Error?</v>
      </c>
    </row>
    <row r="2034" spans="1:4" x14ac:dyDescent="0.2">
      <c r="A2034" s="5">
        <v>1973</v>
      </c>
      <c r="B2034" s="138">
        <f>'Cap Outlay Deprec 26'!H10</f>
        <v>327572</v>
      </c>
      <c r="D2034" s="2" t="str">
        <f t="shared" si="30"/>
        <v>Error?</v>
      </c>
    </row>
    <row r="2035" spans="1:4" x14ac:dyDescent="0.2">
      <c r="A2035" s="5">
        <v>1974</v>
      </c>
      <c r="B2035" s="138">
        <f>'Cap Outlay Deprec 26'!H12</f>
        <v>304515</v>
      </c>
      <c r="D2035" s="2" t="str">
        <f t="shared" si="30"/>
        <v>Error?</v>
      </c>
    </row>
    <row r="2036" spans="1:4" x14ac:dyDescent="0.2">
      <c r="A2036" s="5">
        <v>1975</v>
      </c>
      <c r="B2036" s="138">
        <f>'Cap Outlay Deprec 26'!H13</f>
        <v>393343</v>
      </c>
      <c r="D2036" s="2" t="str">
        <f t="shared" si="30"/>
        <v>Error?</v>
      </c>
    </row>
    <row r="2037" spans="1:4" x14ac:dyDescent="0.2">
      <c r="A2037" s="5">
        <v>1976</v>
      </c>
      <c r="B2037" s="138">
        <f>'Cap Outlay Deprec 26'!H16</f>
        <v>5662605</v>
      </c>
      <c r="C2037" s="2" t="s">
        <v>594</v>
      </c>
      <c r="D2037" s="2" t="str">
        <f t="shared" si="30"/>
        <v>Error?</v>
      </c>
    </row>
    <row r="2038" spans="1:4" x14ac:dyDescent="0.2">
      <c r="A2038" s="10">
        <v>1977</v>
      </c>
      <c r="D2038" s="2" t="str">
        <f t="shared" si="30"/>
        <v>OK</v>
      </c>
    </row>
    <row r="2039" spans="1:4" x14ac:dyDescent="0.2">
      <c r="A2039" s="5">
        <v>1978</v>
      </c>
      <c r="B2039" s="138">
        <f>'Cap Outlay Deprec 26'!I8</f>
        <v>252056</v>
      </c>
      <c r="D2039" s="2" t="str">
        <f t="shared" si="30"/>
        <v>Error?</v>
      </c>
    </row>
    <row r="2040" spans="1:4" x14ac:dyDescent="0.2">
      <c r="A2040" s="5">
        <v>1979</v>
      </c>
      <c r="B2040" s="138">
        <f>'Cap Outlay Deprec 26'!I10</f>
        <v>25611</v>
      </c>
      <c r="D2040" s="2" t="str">
        <f t="shared" si="30"/>
        <v>Error?</v>
      </c>
    </row>
    <row r="2041" spans="1:4" x14ac:dyDescent="0.2">
      <c r="A2041" s="5">
        <v>1980</v>
      </c>
      <c r="B2041" s="138">
        <f>'Cap Outlay Deprec 26'!I12</f>
        <v>61550</v>
      </c>
      <c r="D2041" s="2" t="str">
        <f t="shared" si="30"/>
        <v>Error?</v>
      </c>
    </row>
    <row r="2042" spans="1:4" x14ac:dyDescent="0.2">
      <c r="A2042" s="5">
        <v>1981</v>
      </c>
      <c r="B2042" s="138">
        <f>'Cap Outlay Deprec 26'!I13</f>
        <v>34766</v>
      </c>
      <c r="D2042" s="2" t="str">
        <f t="shared" si="30"/>
        <v>Error?</v>
      </c>
    </row>
    <row r="2043" spans="1:4" x14ac:dyDescent="0.2">
      <c r="A2043" s="5">
        <v>1982</v>
      </c>
      <c r="B2043" s="138">
        <f>'Cap Outlay Deprec 26'!I16</f>
        <v>374670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60983</v>
      </c>
      <c r="D2047" s="2" t="str">
        <f t="shared" ref="D2047:D2110" si="31">IF(ISBLANK(B2047),"OK",IF(A2047-B2047=0,"OK","Error?"))</f>
        <v>Error?</v>
      </c>
    </row>
    <row r="2048" spans="1:4" x14ac:dyDescent="0.2">
      <c r="A2048" s="5">
        <v>1987</v>
      </c>
      <c r="B2048" s="138">
        <f>'Cap Outlay Deprec 26'!J13</f>
        <v>44595</v>
      </c>
      <c r="D2048" s="2" t="str">
        <f t="shared" si="31"/>
        <v>Error?</v>
      </c>
    </row>
    <row r="2049" spans="1:4" x14ac:dyDescent="0.2">
      <c r="A2049" s="5">
        <v>1988</v>
      </c>
      <c r="B2049" s="138">
        <f>'Cap Outlay Deprec 26'!J16</f>
        <v>105578</v>
      </c>
      <c r="C2049" s="2" t="s">
        <v>594</v>
      </c>
      <c r="D2049" s="2" t="str">
        <f t="shared" si="31"/>
        <v>Error?</v>
      </c>
    </row>
    <row r="2050" spans="1:4" x14ac:dyDescent="0.2">
      <c r="A2050" s="10">
        <v>1989</v>
      </c>
      <c r="D2050" s="2" t="str">
        <f t="shared" si="31"/>
        <v>OK</v>
      </c>
    </row>
    <row r="2051" spans="1:4" x14ac:dyDescent="0.2">
      <c r="A2051" s="5">
        <v>1990</v>
      </c>
      <c r="B2051" s="138">
        <f>'Cap Outlay Deprec 26'!K8</f>
        <v>4887971</v>
      </c>
      <c r="C2051" s="2" t="s">
        <v>594</v>
      </c>
      <c r="D2051" s="2" t="str">
        <f t="shared" si="31"/>
        <v>Error?</v>
      </c>
    </row>
    <row r="2052" spans="1:4" x14ac:dyDescent="0.2">
      <c r="A2052" s="5">
        <v>1991</v>
      </c>
      <c r="B2052" s="138">
        <f>'Cap Outlay Deprec 26'!K10</f>
        <v>353183</v>
      </c>
      <c r="C2052" s="2" t="s">
        <v>594</v>
      </c>
      <c r="D2052" s="2" t="str">
        <f t="shared" si="31"/>
        <v>Error?</v>
      </c>
    </row>
    <row r="2053" spans="1:4" x14ac:dyDescent="0.2">
      <c r="A2053" s="5">
        <v>1992</v>
      </c>
      <c r="B2053" s="138">
        <f>'Cap Outlay Deprec 26'!K12</f>
        <v>305082</v>
      </c>
      <c r="C2053" s="2" t="s">
        <v>594</v>
      </c>
      <c r="D2053" s="2" t="str">
        <f t="shared" si="31"/>
        <v>Error?</v>
      </c>
    </row>
    <row r="2054" spans="1:4" x14ac:dyDescent="0.2">
      <c r="A2054" s="5">
        <v>1993</v>
      </c>
      <c r="B2054" s="138">
        <f>'Cap Outlay Deprec 26'!K13</f>
        <v>383514</v>
      </c>
      <c r="C2054" s="2" t="s">
        <v>594</v>
      </c>
      <c r="D2054" s="2" t="str">
        <f t="shared" si="31"/>
        <v>Error?</v>
      </c>
    </row>
    <row r="2055" spans="1:4" x14ac:dyDescent="0.2">
      <c r="A2055" s="5">
        <v>1994</v>
      </c>
      <c r="B2055" s="138">
        <f>'Cap Outlay Deprec 26'!K16</f>
        <v>5931697</v>
      </c>
      <c r="C2055" s="2" t="s">
        <v>594</v>
      </c>
      <c r="D2055" s="2" t="str">
        <f t="shared" si="31"/>
        <v>Error?</v>
      </c>
    </row>
    <row r="2056" spans="1:4" x14ac:dyDescent="0.2">
      <c r="A2056" s="5">
        <v>1995</v>
      </c>
      <c r="B2056" s="138">
        <f>'Cap Outlay Deprec 26'!L5</f>
        <v>267016</v>
      </c>
      <c r="C2056" s="2" t="s">
        <v>594</v>
      </c>
      <c r="D2056" s="2" t="str">
        <f t="shared" si="31"/>
        <v>Error?</v>
      </c>
    </row>
    <row r="2057" spans="1:4" x14ac:dyDescent="0.2">
      <c r="A2057" s="5">
        <v>1996</v>
      </c>
      <c r="B2057" s="138">
        <f>'Cap Outlay Deprec 26'!L8</f>
        <v>7714811</v>
      </c>
      <c r="C2057" s="2" t="s">
        <v>594</v>
      </c>
      <c r="D2057" s="2" t="str">
        <f t="shared" si="31"/>
        <v>Error?</v>
      </c>
    </row>
    <row r="2058" spans="1:4" x14ac:dyDescent="0.2">
      <c r="A2058" s="5">
        <v>1997</v>
      </c>
      <c r="B2058" s="138">
        <f>'Cap Outlay Deprec 26'!L10</f>
        <v>900015</v>
      </c>
      <c r="C2058" s="2" t="s">
        <v>594</v>
      </c>
      <c r="D2058" s="2" t="str">
        <f t="shared" si="31"/>
        <v>Error?</v>
      </c>
    </row>
    <row r="2059" spans="1:4" x14ac:dyDescent="0.2">
      <c r="A2059" s="5">
        <v>1998</v>
      </c>
      <c r="B2059" s="138">
        <f>'Cap Outlay Deprec 26'!L12</f>
        <v>263140</v>
      </c>
      <c r="C2059" s="2" t="s">
        <v>594</v>
      </c>
      <c r="D2059" s="2" t="str">
        <f t="shared" si="31"/>
        <v>Error?</v>
      </c>
    </row>
    <row r="2060" spans="1:4" x14ac:dyDescent="0.2">
      <c r="A2060" s="5">
        <v>1999</v>
      </c>
      <c r="B2060" s="138">
        <f>'Cap Outlay Deprec 26'!L13</f>
        <v>150556</v>
      </c>
      <c r="C2060" s="2" t="s">
        <v>594</v>
      </c>
      <c r="D2060" s="2" t="str">
        <f t="shared" si="31"/>
        <v>Error?</v>
      </c>
    </row>
    <row r="2061" spans="1:4" x14ac:dyDescent="0.2">
      <c r="A2061" s="5">
        <v>2000</v>
      </c>
      <c r="B2061" s="138">
        <f>'Cap Outlay Deprec 26'!L16</f>
        <v>9936235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302937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333302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159359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400890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120072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1186211</v>
      </c>
      <c r="C2551" s="2" t="s">
        <v>594</v>
      </c>
      <c r="D2551" s="2" t="str">
        <f t="shared" si="38"/>
        <v>Error?</v>
      </c>
    </row>
    <row r="2552" spans="1:4" x14ac:dyDescent="0.2">
      <c r="A2552" s="10">
        <v>2491</v>
      </c>
      <c r="D2552" s="2" t="str">
        <f t="shared" si="38"/>
        <v>OK</v>
      </c>
    </row>
    <row r="2553" spans="1:4" x14ac:dyDescent="0.2">
      <c r="A2553" s="5">
        <v>2492</v>
      </c>
      <c r="B2553" s="138">
        <f>'Acct Summary 7-8'!C6</f>
        <v>2257538</v>
      </c>
      <c r="C2553" s="2" t="s">
        <v>594</v>
      </c>
      <c r="D2553" s="2" t="str">
        <f t="shared" si="38"/>
        <v>Error?</v>
      </c>
    </row>
    <row r="2554" spans="1:4" x14ac:dyDescent="0.2">
      <c r="A2554" s="5">
        <v>2493</v>
      </c>
      <c r="B2554" s="138">
        <f>'Acct Summary 7-8'!C7</f>
        <v>188245</v>
      </c>
      <c r="C2554" s="2" t="s">
        <v>594</v>
      </c>
      <c r="D2554" s="2" t="str">
        <f t="shared" si="38"/>
        <v>Error?</v>
      </c>
    </row>
    <row r="2555" spans="1:4" x14ac:dyDescent="0.2">
      <c r="A2555" s="5">
        <v>2494</v>
      </c>
      <c r="B2555" s="138">
        <f>'Acct Summary 7-8'!C8</f>
        <v>3631994</v>
      </c>
      <c r="C2555" s="2" t="s">
        <v>594</v>
      </c>
      <c r="D2555" s="2" t="str">
        <f t="shared" si="38"/>
        <v>Error?</v>
      </c>
    </row>
    <row r="2556" spans="1:4" x14ac:dyDescent="0.2">
      <c r="A2556" s="5">
        <v>2495</v>
      </c>
      <c r="B2556" s="138">
        <f>'Acct Summary 7-8'!C12</f>
        <v>2255450</v>
      </c>
      <c r="C2556" s="2" t="s">
        <v>594</v>
      </c>
      <c r="D2556" s="2" t="str">
        <f t="shared" si="38"/>
        <v>Error?</v>
      </c>
    </row>
    <row r="2557" spans="1:4" x14ac:dyDescent="0.2">
      <c r="A2557" s="5">
        <v>2496</v>
      </c>
      <c r="B2557" s="138">
        <f>'Acct Summary 7-8'!C13</f>
        <v>681943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333302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3270695</v>
      </c>
      <c r="C2561" s="2" t="s">
        <v>594</v>
      </c>
      <c r="D2561" s="2" t="str">
        <f t="shared" si="39"/>
        <v>Error?</v>
      </c>
    </row>
    <row r="2562" spans="1:4" x14ac:dyDescent="0.2">
      <c r="A2562" s="5">
        <v>2501</v>
      </c>
      <c r="B2562" s="138">
        <f>'Acct Summary 7-8'!C20</f>
        <v>361299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242690</v>
      </c>
      <c r="C2564" s="2" t="s">
        <v>594</v>
      </c>
      <c r="D2564" s="2" t="str">
        <f t="shared" si="39"/>
        <v>Error?</v>
      </c>
    </row>
    <row r="2565" spans="1:4" x14ac:dyDescent="0.2">
      <c r="A2565" s="10">
        <v>2504</v>
      </c>
      <c r="D2565" s="2" t="str">
        <f t="shared" si="39"/>
        <v>OK</v>
      </c>
    </row>
    <row r="2566" spans="1:4" x14ac:dyDescent="0.2">
      <c r="A2566" s="5">
        <v>2505</v>
      </c>
      <c r="B2566" s="138">
        <f>'Acct Summary 7-8'!D6</f>
        <v>87676</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330366</v>
      </c>
      <c r="C2568" s="2" t="s">
        <v>594</v>
      </c>
      <c r="D2568" s="2" t="str">
        <f t="shared" si="39"/>
        <v>Error?</v>
      </c>
    </row>
    <row r="2569" spans="1:4" x14ac:dyDescent="0.2">
      <c r="A2569" s="5">
        <v>2508</v>
      </c>
      <c r="B2569" s="138">
        <f>'Acct Summary 7-8'!D13</f>
        <v>424593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424593</v>
      </c>
      <c r="C2573" s="2" t="s">
        <v>594</v>
      </c>
      <c r="D2573" s="2" t="str">
        <f t="shared" si="39"/>
        <v>Error?</v>
      </c>
    </row>
    <row r="2574" spans="1:4" x14ac:dyDescent="0.2">
      <c r="A2574" s="5">
        <v>2513</v>
      </c>
      <c r="B2574" s="138">
        <f>'Acct Summary 7-8'!D20</f>
        <v>-94227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121498</v>
      </c>
      <c r="C2591" s="2" t="s">
        <v>594</v>
      </c>
      <c r="D2591" s="2" t="str">
        <f t="shared" si="39"/>
        <v>Error?</v>
      </c>
    </row>
    <row r="2592" spans="1:4" x14ac:dyDescent="0.2">
      <c r="A2592" s="10">
        <v>2531</v>
      </c>
      <c r="D2592" s="2" t="str">
        <f t="shared" si="39"/>
        <v>OK</v>
      </c>
    </row>
    <row r="2593" spans="1:4" x14ac:dyDescent="0.2">
      <c r="A2593" s="5">
        <v>2532</v>
      </c>
      <c r="B2593" s="138">
        <f>'Acct Summary 7-8'!F6</f>
        <v>93235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214733</v>
      </c>
      <c r="C2595" s="2" t="s">
        <v>594</v>
      </c>
      <c r="D2595" s="2" t="str">
        <f t="shared" si="39"/>
        <v>Error?</v>
      </c>
    </row>
    <row r="2596" spans="1:4" x14ac:dyDescent="0.2">
      <c r="A2596" s="5">
        <v>2535</v>
      </c>
      <c r="B2596" s="138">
        <f>'Acct Summary 7-8'!F13</f>
        <v>144557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56957</v>
      </c>
      <c r="C2599" s="2" t="s">
        <v>594</v>
      </c>
      <c r="D2599" s="2" t="str">
        <f t="shared" si="39"/>
        <v>Error?</v>
      </c>
    </row>
    <row r="2600" spans="1:4" x14ac:dyDescent="0.2">
      <c r="A2600" s="5">
        <v>2539</v>
      </c>
      <c r="B2600" s="138">
        <f>'Acct Summary 7-8'!F17</f>
        <v>201514</v>
      </c>
      <c r="C2600" s="2" t="s">
        <v>594</v>
      </c>
      <c r="D2600" s="2" t="str">
        <f t="shared" si="39"/>
        <v>Error?</v>
      </c>
    </row>
    <row r="2601" spans="1:4" x14ac:dyDescent="0.2">
      <c r="A2601" s="5">
        <v>2540</v>
      </c>
      <c r="B2601" s="138">
        <f>'Acct Summary 7-8'!F20</f>
        <v>13219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187321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187321</v>
      </c>
      <c r="C2606" s="2" t="s">
        <v>594</v>
      </c>
      <c r="D2606" s="2" t="str">
        <f t="shared" si="39"/>
        <v>Error?</v>
      </c>
    </row>
    <row r="2607" spans="1:4" x14ac:dyDescent="0.2">
      <c r="A2607" s="5">
        <v>2546</v>
      </c>
      <c r="B2607" s="138">
        <f>'Acct Summary 7-8'!G12</f>
        <v>59623</v>
      </c>
      <c r="C2607" s="2" t="s">
        <v>594</v>
      </c>
      <c r="D2607" s="2" t="str">
        <f t="shared" si="39"/>
        <v>Error?</v>
      </c>
    </row>
    <row r="2608" spans="1:4" x14ac:dyDescent="0.2">
      <c r="A2608" s="5">
        <v>2547</v>
      </c>
      <c r="B2608" s="138">
        <f>'Acct Summary 7-8'!G13</f>
        <v>82231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141854</v>
      </c>
      <c r="C2612" s="2" t="s">
        <v>594</v>
      </c>
      <c r="D2612" s="2" t="str">
        <f t="shared" si="39"/>
        <v>Error?</v>
      </c>
    </row>
    <row r="2613" spans="1:4" x14ac:dyDescent="0.2">
      <c r="A2613" s="5">
        <v>2552</v>
      </c>
      <c r="B2613" s="138">
        <f>'Acct Summary 7-8'!G20</f>
        <v>45467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386860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386860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375245</v>
      </c>
      <c r="C2634" s="2" t="s">
        <v>594</v>
      </c>
      <c r="D2634" s="2" t="str">
        <f t="shared" si="40"/>
        <v>Error?</v>
      </c>
    </row>
    <row r="2635" spans="1:4" x14ac:dyDescent="0.2">
      <c r="A2635" s="5">
        <v>2574</v>
      </c>
      <c r="B2635" s="138">
        <f>'Acct Summary 7-8'!E17</f>
        <v>375245</v>
      </c>
      <c r="C2635" s="2" t="s">
        <v>594</v>
      </c>
      <c r="D2635" s="2" t="str">
        <f t="shared" si="40"/>
        <v>Error?</v>
      </c>
    </row>
    <row r="2636" spans="1:4" x14ac:dyDescent="0.2">
      <c r="A2636" s="5">
        <v>2575</v>
      </c>
      <c r="B2636" s="138">
        <f>'Acct Summary 7-8'!E20</f>
        <v>11615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30365</v>
      </c>
      <c r="C2789" s="2" t="s">
        <v>594</v>
      </c>
      <c r="D2789" s="2" t="str">
        <f t="shared" si="42"/>
        <v>Error?</v>
      </c>
    </row>
    <row r="2790" spans="1:4" x14ac:dyDescent="0.2">
      <c r="A2790" s="5">
        <v>2729</v>
      </c>
      <c r="B2790" s="138">
        <f>'Expenditures 15-22'!E102</f>
        <v>30365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608289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153139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110236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153139</v>
      </c>
      <c r="D2912" s="2" t="str">
        <f t="shared" si="44"/>
        <v>Error?</v>
      </c>
    </row>
    <row r="2913" spans="1:4" x14ac:dyDescent="0.2">
      <c r="A2913" s="5">
        <v>2852</v>
      </c>
      <c r="B2913" s="138">
        <f>'Assets-Liab 5-6'!I41</f>
        <v>153139</v>
      </c>
      <c r="C2913" s="2" t="s">
        <v>594</v>
      </c>
      <c r="D2913" s="2" t="str">
        <f t="shared" si="44"/>
        <v>Error?</v>
      </c>
    </row>
    <row r="2914" spans="1:4" x14ac:dyDescent="0.2">
      <c r="A2914" s="5">
        <v>2853</v>
      </c>
      <c r="B2914" s="138">
        <f>'Assets-Liab 5-6'!L33</f>
        <v>110236</v>
      </c>
      <c r="D2914" s="2" t="str">
        <f t="shared" si="44"/>
        <v>Error?</v>
      </c>
    </row>
    <row r="2915" spans="1:4" x14ac:dyDescent="0.2">
      <c r="A2915" s="10">
        <v>2854</v>
      </c>
      <c r="D2915" s="2" t="str">
        <f t="shared" si="44"/>
        <v>OK</v>
      </c>
    </row>
    <row r="2916" spans="1:4" x14ac:dyDescent="0.2">
      <c r="A2916" s="5">
        <v>2855</v>
      </c>
      <c r="B2916" s="138">
        <f>'Assets-Liab 5-6'!L34</f>
        <v>110236</v>
      </c>
      <c r="C2916" s="2" t="s">
        <v>594</v>
      </c>
      <c r="D2916" s="2" t="str">
        <f t="shared" si="44"/>
        <v>Error?</v>
      </c>
    </row>
    <row r="2917" spans="1:4" x14ac:dyDescent="0.2">
      <c r="A2917" s="5">
        <v>2856</v>
      </c>
      <c r="B2917" s="138">
        <f>'Assets-Liab 5-6'!L41</f>
        <v>110236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30365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302937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333302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86447</v>
      </c>
      <c r="D3055" s="2" t="str">
        <f t="shared" si="46"/>
        <v>Error?</v>
      </c>
    </row>
    <row r="3056" spans="1:4" x14ac:dyDescent="0.2">
      <c r="A3056" s="5">
        <v>2995</v>
      </c>
      <c r="B3056" s="138">
        <f>'Expenditures 15-22'!D10</f>
        <v>43688</v>
      </c>
      <c r="D3056" s="2" t="str">
        <f t="shared" si="46"/>
        <v>Error?</v>
      </c>
    </row>
    <row r="3057" spans="1:4" x14ac:dyDescent="0.2">
      <c r="A3057" s="5">
        <v>2996</v>
      </c>
      <c r="B3057" s="138">
        <f>'Expenditures 15-22'!E10</f>
        <v>3983</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134118</v>
      </c>
      <c r="C3062" s="2" t="s">
        <v>594</v>
      </c>
      <c r="D3062" s="2" t="str">
        <f t="shared" si="46"/>
        <v>Error?</v>
      </c>
    </row>
    <row r="3063" spans="1:4" x14ac:dyDescent="0.2">
      <c r="A3063" s="10">
        <v>3002</v>
      </c>
      <c r="D3063" s="2" t="str">
        <f t="shared" si="46"/>
        <v>OK</v>
      </c>
    </row>
    <row r="3064" spans="1:4" x14ac:dyDescent="0.2">
      <c r="A3064" s="5">
        <v>3003</v>
      </c>
      <c r="B3064" s="138">
        <f>'Expenditures 15-22'!D219</f>
        <v>24175</v>
      </c>
      <c r="D3064" s="2" t="str">
        <f t="shared" si="46"/>
        <v>Error?</v>
      </c>
    </row>
    <row r="3065" spans="1:4" x14ac:dyDescent="0.2">
      <c r="A3065" s="5">
        <v>3004</v>
      </c>
      <c r="B3065" s="138">
        <f>'Expenditures 15-22'!K219</f>
        <v>24175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47919</v>
      </c>
      <c r="C3225" s="2" t="s">
        <v>594</v>
      </c>
      <c r="D3225" s="2" t="str">
        <f t="shared" si="49"/>
        <v>Error?</v>
      </c>
    </row>
    <row r="3226" spans="1:4" x14ac:dyDescent="0.2">
      <c r="A3226" s="5">
        <v>3165</v>
      </c>
      <c r="B3226" s="138">
        <f>'Acct Summary 7-8'!I8</f>
        <v>47919</v>
      </c>
      <c r="C3226" s="2" t="s">
        <v>594</v>
      </c>
      <c r="D3226" s="2" t="str">
        <f t="shared" si="49"/>
        <v>Error?</v>
      </c>
    </row>
    <row r="3227" spans="1:4" x14ac:dyDescent="0.2">
      <c r="A3227" s="5">
        <v>3166</v>
      </c>
      <c r="B3227" s="138">
        <f>'Acct Summary 7-8'!I20</f>
        <v>47919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361299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-94227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13219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45467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11615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47919</v>
      </c>
      <c r="C3320" s="2" t="s">
        <v>594</v>
      </c>
      <c r="D3320" s="2" t="str">
        <f t="shared" si="50"/>
        <v>Error?</v>
      </c>
    </row>
    <row r="3321" spans="1:4" x14ac:dyDescent="0.2">
      <c r="A3321" s="5">
        <v>3260</v>
      </c>
      <c r="B3321" s="138">
        <f>'Acct Summary 7-8'!I79</f>
        <v>105220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153139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321017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33859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746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356123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25104</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25104</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920158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25938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120072</v>
      </c>
      <c r="D3417" s="2" t="str">
        <f t="shared" si="52"/>
        <v>Error?</v>
      </c>
    </row>
    <row r="3418" spans="1:4" x14ac:dyDescent="0.2">
      <c r="A3418" s="10">
        <v>3357</v>
      </c>
      <c r="D3418" s="2" t="str">
        <f t="shared" si="52"/>
        <v>OK</v>
      </c>
    </row>
    <row r="3419" spans="1:4" x14ac:dyDescent="0.2">
      <c r="A3419" s="5">
        <v>3358</v>
      </c>
      <c r="B3419" s="138">
        <f>'Assets-Liab 5-6'!F4</f>
        <v>329137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400890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153139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110236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64194</v>
      </c>
      <c r="C3446" s="2" t="s">
        <v>594</v>
      </c>
      <c r="D3446" s="2" t="str">
        <f t="shared" si="52"/>
        <v>Error?</v>
      </c>
    </row>
    <row r="3447" spans="1:4" x14ac:dyDescent="0.2">
      <c r="A3447" s="5">
        <v>3386</v>
      </c>
      <c r="B3447" s="138">
        <f>'Tax Sched 23'!D16</f>
        <v>64194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68116</v>
      </c>
      <c r="C3449" s="2" t="s">
        <v>594</v>
      </c>
      <c r="D3449" s="2" t="str">
        <f t="shared" si="52"/>
        <v>Error?</v>
      </c>
    </row>
    <row r="3450" spans="1:4" x14ac:dyDescent="0.2">
      <c r="A3450" s="5">
        <v>3389</v>
      </c>
      <c r="B3450" s="138">
        <f>'Tax Sched 23'!E16</f>
        <v>68116</v>
      </c>
      <c r="D3450" s="2" t="str">
        <f t="shared" si="52"/>
        <v>Error?</v>
      </c>
    </row>
    <row r="3451" spans="1:4" x14ac:dyDescent="0.2">
      <c r="A3451" s="5">
        <v>3390</v>
      </c>
      <c r="B3451" s="138">
        <f>'Cap Outlay Deprec 26'!C15</f>
        <v>138194</v>
      </c>
      <c r="D3451" s="2" t="str">
        <f t="shared" si="52"/>
        <v>Error?</v>
      </c>
    </row>
    <row r="3452" spans="1:4" x14ac:dyDescent="0.2">
      <c r="A3452" s="5">
        <v>3391</v>
      </c>
      <c r="B3452" s="138">
        <f>'Cap Outlay Deprec 26'!D15</f>
        <v>608289</v>
      </c>
      <c r="D3452" s="2" t="str">
        <f t="shared" si="52"/>
        <v>Error?</v>
      </c>
    </row>
    <row r="3453" spans="1:4" x14ac:dyDescent="0.2">
      <c r="A3453" s="5">
        <v>3392</v>
      </c>
      <c r="B3453" s="138">
        <f>'Cap Outlay Deprec 26'!E15</f>
        <v>138194</v>
      </c>
      <c r="D3453" s="2" t="str">
        <f t="shared" si="52"/>
        <v>Error?</v>
      </c>
    </row>
    <row r="3454" spans="1:4" x14ac:dyDescent="0.2">
      <c r="A3454" s="5">
        <v>3393</v>
      </c>
      <c r="B3454" s="138">
        <f>'Cap Outlay Deprec 26'!F15</f>
        <v>608289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608289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1789198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1789198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1789198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1789198</v>
      </c>
      <c r="C3568" s="2" t="s">
        <v>594</v>
      </c>
      <c r="D3568" s="2" t="str">
        <f t="shared" si="54"/>
        <v>Error?</v>
      </c>
    </row>
    <row r="3569" spans="1:4" x14ac:dyDescent="0.2">
      <c r="A3569" s="5">
        <v>3508</v>
      </c>
      <c r="B3569" s="138">
        <f>'Acct Summary 7-8'!K4</f>
        <v>83193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83193</v>
      </c>
      <c r="C3571" s="2" t="s">
        <v>594</v>
      </c>
      <c r="D3571" s="2" t="str">
        <f t="shared" si="54"/>
        <v>Error?</v>
      </c>
    </row>
    <row r="3572" spans="1:4" x14ac:dyDescent="0.2">
      <c r="A3572" s="5">
        <v>3511</v>
      </c>
      <c r="B3572" s="138">
        <f>'Acct Summary 7-8'!K13</f>
        <v>1231129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1231129</v>
      </c>
      <c r="C3575" s="2" t="s">
        <v>594</v>
      </c>
      <c r="D3575" s="2" t="str">
        <f t="shared" si="54"/>
        <v>Error?</v>
      </c>
    </row>
    <row r="3576" spans="1:4" x14ac:dyDescent="0.2">
      <c r="A3576" s="5">
        <v>3515</v>
      </c>
      <c r="B3576" s="138">
        <f>'Acct Summary 7-8'!K20</f>
        <v>-1147936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-1147936</v>
      </c>
      <c r="C3588" s="2" t="s">
        <v>594</v>
      </c>
      <c r="D3588" s="2" t="str">
        <f t="shared" si="55"/>
        <v>Error?</v>
      </c>
    </row>
    <row r="3589" spans="1:4" x14ac:dyDescent="0.2">
      <c r="A3589" s="5">
        <v>3528</v>
      </c>
      <c r="B3589" s="138">
        <f>'Acct Summary 7-8'!K79</f>
        <v>2937134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1789198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289</v>
      </c>
      <c r="D3639" s="2" t="str">
        <f t="shared" si="55"/>
        <v>Error?</v>
      </c>
    </row>
    <row r="3640" spans="1:4" x14ac:dyDescent="0.2">
      <c r="A3640" s="5">
        <v>3579</v>
      </c>
      <c r="B3640" s="138">
        <f>'Expenditures 15-22'!F350</f>
        <v>289</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289</v>
      </c>
      <c r="C3642" s="2" t="s">
        <v>594</v>
      </c>
      <c r="D3642" s="2" t="str">
        <f t="shared" si="55"/>
        <v>Error?</v>
      </c>
    </row>
    <row r="3643" spans="1:4" x14ac:dyDescent="0.2">
      <c r="A3643" s="5">
        <v>3582</v>
      </c>
      <c r="B3643" s="138">
        <f>'Expenditures 15-22'!F367</f>
        <v>289</v>
      </c>
      <c r="C3643" s="2" t="s">
        <v>594</v>
      </c>
      <c r="D3643" s="2" t="str">
        <f t="shared" si="55"/>
        <v>Error?</v>
      </c>
    </row>
    <row r="3644" spans="1:4" x14ac:dyDescent="0.2">
      <c r="A3644" s="10">
        <v>3583</v>
      </c>
      <c r="D3644" s="2" t="str">
        <f t="shared" si="55"/>
        <v>OK</v>
      </c>
    </row>
    <row r="3645" spans="1:4" x14ac:dyDescent="0.2">
      <c r="A3645" s="5">
        <v>3584</v>
      </c>
      <c r="B3645" s="138">
        <f>'Expenditures 15-22'!G348</f>
        <v>1230840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1230840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1230840</v>
      </c>
      <c r="C3649" s="2" t="s">
        <v>594</v>
      </c>
      <c r="D3649" s="2" t="str">
        <f t="shared" si="56"/>
        <v>Error?</v>
      </c>
    </row>
    <row r="3650" spans="1:4" x14ac:dyDescent="0.2">
      <c r="A3650" s="5">
        <v>3589</v>
      </c>
      <c r="B3650" s="138">
        <f>'Expenditures 15-22'!G367</f>
        <v>1230840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1230840</v>
      </c>
      <c r="C3668" s="2" t="s">
        <v>594</v>
      </c>
      <c r="D3668" s="2" t="str">
        <f t="shared" si="56"/>
        <v>Error?</v>
      </c>
    </row>
    <row r="3669" spans="1:4" x14ac:dyDescent="0.2">
      <c r="A3669" s="5">
        <v>3608</v>
      </c>
      <c r="B3669" s="138">
        <f>'Expenditures 15-22'!K349</f>
        <v>289</v>
      </c>
      <c r="C3669" s="2" t="s">
        <v>594</v>
      </c>
      <c r="D3669" s="2" t="str">
        <f t="shared" si="56"/>
        <v>Error?</v>
      </c>
    </row>
    <row r="3670" spans="1:4" x14ac:dyDescent="0.2">
      <c r="A3670" s="5">
        <v>3609</v>
      </c>
      <c r="B3670" s="138">
        <f>'Expenditures 15-22'!K350</f>
        <v>1231129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1231129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1231129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-1147936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47265</v>
      </c>
      <c r="C3725" s="2" t="s">
        <v>594</v>
      </c>
      <c r="D3725" s="2" t="str">
        <f t="shared" si="57"/>
        <v>Error?</v>
      </c>
    </row>
    <row r="3726" spans="1:4" x14ac:dyDescent="0.2">
      <c r="A3726" s="5">
        <v>3665</v>
      </c>
      <c r="B3726" s="138">
        <f>'Tax Sched 23'!D13</f>
        <v>47265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50663</v>
      </c>
      <c r="C3728" s="2" t="s">
        <v>594</v>
      </c>
      <c r="D3728" s="2" t="str">
        <f t="shared" si="57"/>
        <v>Error?</v>
      </c>
    </row>
    <row r="3729" spans="1:4" x14ac:dyDescent="0.2">
      <c r="A3729" s="5">
        <v>3668</v>
      </c>
      <c r="B3729" s="138">
        <f>'Tax Sched 23'!E13</f>
        <v>50663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1383282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5015276</v>
      </c>
      <c r="C4122" s="2" t="s">
        <v>594</v>
      </c>
      <c r="D4122" s="2" t="str">
        <f t="shared" si="63"/>
        <v>Error?</v>
      </c>
    </row>
    <row r="4123" spans="1:4" x14ac:dyDescent="0.2">
      <c r="A4123" s="5">
        <v>4062</v>
      </c>
      <c r="B4123" s="138">
        <f>'Acct Summary 7-8'!D10</f>
        <v>330366</v>
      </c>
      <c r="C4123" s="2" t="s">
        <v>594</v>
      </c>
      <c r="D4123" s="2" t="str">
        <f t="shared" si="63"/>
        <v>Error?</v>
      </c>
    </row>
    <row r="4124" spans="1:4" x14ac:dyDescent="0.2">
      <c r="A4124" s="5">
        <v>4063</v>
      </c>
      <c r="B4124" s="138">
        <f>'Acct Summary 7-8'!E10</f>
        <v>386860</v>
      </c>
      <c r="C4124" s="2" t="s">
        <v>594</v>
      </c>
      <c r="D4124" s="2" t="str">
        <f t="shared" si="63"/>
        <v>Error?</v>
      </c>
    </row>
    <row r="4125" spans="1:4" x14ac:dyDescent="0.2">
      <c r="A4125" s="5">
        <v>4064</v>
      </c>
      <c r="B4125" s="138">
        <f>'Acct Summary 7-8'!F10</f>
        <v>214733</v>
      </c>
      <c r="C4125" s="2" t="s">
        <v>594</v>
      </c>
      <c r="D4125" s="2" t="str">
        <f t="shared" si="63"/>
        <v>Error?</v>
      </c>
    </row>
    <row r="4126" spans="1:4" x14ac:dyDescent="0.2">
      <c r="A4126" s="5">
        <v>4065</v>
      </c>
      <c r="B4126" s="138">
        <f>'Acct Summary 7-8'!G10</f>
        <v>187321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47919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83193</v>
      </c>
      <c r="C4130" s="2" t="s">
        <v>594</v>
      </c>
      <c r="D4130" s="2" t="str">
        <f t="shared" si="63"/>
        <v>Error?</v>
      </c>
    </row>
    <row r="4131" spans="1:4" x14ac:dyDescent="0.2">
      <c r="A4131" s="5">
        <v>4070</v>
      </c>
      <c r="B4131" s="138">
        <f>'Acct Summary 7-8'!C18</f>
        <v>1383282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4653977</v>
      </c>
      <c r="C4136" s="2" t="s">
        <v>594</v>
      </c>
      <c r="D4136" s="2" t="str">
        <f t="shared" si="63"/>
        <v>Error?</v>
      </c>
    </row>
    <row r="4137" spans="1:4" x14ac:dyDescent="0.2">
      <c r="A4137" s="5">
        <v>4076</v>
      </c>
      <c r="B4137" s="138">
        <f>'Acct Summary 7-8'!D19</f>
        <v>424593</v>
      </c>
      <c r="C4137" s="2" t="s">
        <v>594</v>
      </c>
      <c r="D4137" s="2" t="str">
        <f t="shared" si="63"/>
        <v>Error?</v>
      </c>
    </row>
    <row r="4138" spans="1:4" x14ac:dyDescent="0.2">
      <c r="A4138" s="5">
        <v>4077</v>
      </c>
      <c r="B4138" s="138">
        <f>'Acct Summary 7-8'!E19</f>
        <v>375245</v>
      </c>
      <c r="C4138" s="2" t="s">
        <v>594</v>
      </c>
      <c r="D4138" s="2" t="str">
        <f t="shared" si="63"/>
        <v>Error?</v>
      </c>
    </row>
    <row r="4139" spans="1:4" x14ac:dyDescent="0.2">
      <c r="A4139" s="5">
        <v>4078</v>
      </c>
      <c r="B4139" s="138">
        <f>'Acct Summary 7-8'!F19</f>
        <v>201514</v>
      </c>
      <c r="C4139" s="2" t="s">
        <v>594</v>
      </c>
      <c r="D4139" s="2" t="str">
        <f t="shared" si="63"/>
        <v>Error?</v>
      </c>
    </row>
    <row r="4140" spans="1:4" x14ac:dyDescent="0.2">
      <c r="A4140" s="5">
        <v>4079</v>
      </c>
      <c r="B4140" s="138">
        <f>'Acct Summary 7-8'!G19</f>
        <v>141854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1231129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2511688</v>
      </c>
      <c r="C4171" s="2" t="s">
        <v>594</v>
      </c>
      <c r="D4171" s="2" t="str">
        <f t="shared" si="64"/>
        <v>Error?</v>
      </c>
    </row>
    <row r="4172" spans="1:4" x14ac:dyDescent="0.2">
      <c r="A4172" s="5">
        <v>4111</v>
      </c>
      <c r="B4172" s="138">
        <f>'Short-Term Long-Term Debt 24'!J49</f>
        <v>2391616</v>
      </c>
      <c r="C4172" s="2" t="s">
        <v>594</v>
      </c>
      <c r="D4172" s="2" t="str">
        <f t="shared" si="64"/>
        <v>Error?</v>
      </c>
    </row>
    <row r="4173" spans="1:4" x14ac:dyDescent="0.2">
      <c r="A4173" s="5">
        <v>4112</v>
      </c>
      <c r="B4173" s="138">
        <f>'Short-Term Long-Term Debt 24'!H49</f>
        <v>333564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56957</v>
      </c>
      <c r="D4210" s="2" t="str">
        <f t="shared" si="64"/>
        <v>Error?</v>
      </c>
    </row>
    <row r="4211" spans="1:4" x14ac:dyDescent="0.2">
      <c r="A4211" s="5">
        <v>4150</v>
      </c>
      <c r="B4211" s="138">
        <f>'Expenditures 15-22'!K206</f>
        <v>56957</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1428372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57070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14311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101325384</v>
      </c>
      <c r="D4995" s="2" t="str">
        <f t="shared" si="77"/>
        <v>Error?</v>
      </c>
    </row>
    <row r="4996" spans="1:4" x14ac:dyDescent="0.2">
      <c r="A4996" s="12">
        <v>4935</v>
      </c>
      <c r="B4996" s="138">
        <f>'FP Info 3'!H31</f>
        <v>6991451.4960000003</v>
      </c>
      <c r="D4996" s="2" t="str">
        <f t="shared" si="77"/>
        <v>Error?</v>
      </c>
    </row>
    <row r="4997" spans="1:4" x14ac:dyDescent="0.2">
      <c r="A4997" s="12">
        <v>4936</v>
      </c>
      <c r="B4997" s="138">
        <f>'FP Info 3'!H37</f>
        <v>2511688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47265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867271</v>
      </c>
      <c r="D5061" s="2" t="str">
        <f t="shared" si="78"/>
        <v>Error?</v>
      </c>
    </row>
    <row r="5062" spans="1:4" x14ac:dyDescent="0.2">
      <c r="A5062" s="10">
        <v>5001</v>
      </c>
      <c r="D5062" s="2" t="str">
        <f t="shared" si="78"/>
        <v>OK</v>
      </c>
    </row>
    <row r="5063" spans="1:4" x14ac:dyDescent="0.2">
      <c r="A5063" s="5">
        <v>5002</v>
      </c>
      <c r="B5063" s="138">
        <f>'Revenues 9-14'!C7</f>
        <v>18906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933442</v>
      </c>
      <c r="C5066" s="2" t="s">
        <v>594</v>
      </c>
      <c r="D5066" s="2" t="str">
        <f t="shared" si="78"/>
        <v>Error?</v>
      </c>
    </row>
    <row r="5067" spans="1:4" x14ac:dyDescent="0.2">
      <c r="A5067" s="5">
        <v>5006</v>
      </c>
      <c r="B5067" s="138">
        <f>'Revenues 9-14'!C14</f>
        <v>7294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88315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95609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3348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3348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5368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12141</v>
      </c>
      <c r="C5096" s="2" t="s">
        <v>594</v>
      </c>
      <c r="D5096" s="2" t="str">
        <f t="shared" si="78"/>
        <v>Error?</v>
      </c>
    </row>
    <row r="5097" spans="1:4" x14ac:dyDescent="0.2">
      <c r="A5097" s="5">
        <v>5036</v>
      </c>
      <c r="B5097" s="138">
        <f>'Revenues 9-14'!C77</f>
        <v>32926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16345</v>
      </c>
      <c r="D5101" s="2" t="str">
        <f t="shared" si="78"/>
        <v>Error?</v>
      </c>
    </row>
    <row r="5102" spans="1:4" x14ac:dyDescent="0.2">
      <c r="A5102" s="5">
        <v>5041</v>
      </c>
      <c r="B5102" s="138">
        <f>'Revenues 9-14'!C82</f>
        <v>49271</v>
      </c>
      <c r="C5102" s="2" t="s">
        <v>594</v>
      </c>
      <c r="D5102" s="2" t="str">
        <f t="shared" si="78"/>
        <v>Error?</v>
      </c>
    </row>
    <row r="5103" spans="1:4" x14ac:dyDescent="0.2">
      <c r="A5103" s="5">
        <v>5042</v>
      </c>
      <c r="B5103" s="138">
        <f>'Revenues 9-14'!C84</f>
        <v>26244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26244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4804</v>
      </c>
      <c r="D5114" s="2" t="str">
        <f t="shared" si="78"/>
        <v>Error?</v>
      </c>
    </row>
    <row r="5115" spans="1:4" x14ac:dyDescent="0.2">
      <c r="A5115" s="5">
        <v>5054</v>
      </c>
      <c r="B5115" s="138">
        <f>'Revenues 9-14'!C98</f>
        <v>1222</v>
      </c>
      <c r="D5115" s="2" t="str">
        <f t="shared" si="78"/>
        <v>Error?</v>
      </c>
    </row>
    <row r="5116" spans="1:4" x14ac:dyDescent="0.2">
      <c r="A5116" s="5">
        <v>5055</v>
      </c>
      <c r="B5116" s="138">
        <f>'Revenues 9-14'!C99</f>
        <v>11319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48811</v>
      </c>
      <c r="D5119" s="2" t="str">
        <f t="shared" ref="D5119:D5182" si="79">IF(ISBLANK(B5119),"OK",IF(A5119-B5119=0,"OK","Error?"))</f>
        <v>Error?</v>
      </c>
    </row>
    <row r="5120" spans="1:4" x14ac:dyDescent="0.2">
      <c r="A5120" s="5">
        <v>5059</v>
      </c>
      <c r="B5120" s="138">
        <f>'Revenues 9-14'!C108</f>
        <v>66156</v>
      </c>
      <c r="C5120" s="2" t="s">
        <v>594</v>
      </c>
      <c r="D5120" s="2" t="str">
        <f t="shared" si="79"/>
        <v>Error?</v>
      </c>
    </row>
    <row r="5121" spans="1:4" x14ac:dyDescent="0.2">
      <c r="A5121" s="5">
        <v>5060</v>
      </c>
      <c r="B5121" s="138">
        <f>'Revenues 9-14'!C109</f>
        <v>1186211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2102560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2102560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29328</v>
      </c>
      <c r="D5134" s="2" t="str">
        <f t="shared" si="79"/>
        <v>Error?</v>
      </c>
    </row>
    <row r="5135" spans="1:4" x14ac:dyDescent="0.2">
      <c r="A5135" s="5">
        <v>5074</v>
      </c>
      <c r="B5135" s="138">
        <f>'Revenues 9-14'!C126</f>
        <v>31918</v>
      </c>
      <c r="D5135" s="2" t="str">
        <f t="shared" si="79"/>
        <v>Error?</v>
      </c>
    </row>
    <row r="5136" spans="1:4" x14ac:dyDescent="0.2">
      <c r="A5136" s="10">
        <v>5075</v>
      </c>
      <c r="D5136" s="2" t="str">
        <f t="shared" si="79"/>
        <v>OK</v>
      </c>
    </row>
    <row r="5137" spans="1:4" x14ac:dyDescent="0.2">
      <c r="A5137" s="5">
        <v>5076</v>
      </c>
      <c r="B5137" s="138">
        <f>'Revenues 9-14'!C127</f>
        <v>25244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86490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28977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44186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508</v>
      </c>
      <c r="D5167" s="2" t="str">
        <f t="shared" si="79"/>
        <v>Error?</v>
      </c>
    </row>
    <row r="5168" spans="1:4" x14ac:dyDescent="0.2">
      <c r="A5168" s="5">
        <v>5107</v>
      </c>
      <c r="B5168" s="138">
        <f>'Revenues 9-14'!C147</f>
        <v>22294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154978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2257538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23092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8842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31934</v>
      </c>
      <c r="C5246" s="2" t="s">
        <v>594</v>
      </c>
      <c r="D5246" s="2" t="str">
        <f t="shared" si="80"/>
        <v>Error?</v>
      </c>
    </row>
    <row r="5247" spans="1:4" x14ac:dyDescent="0.2">
      <c r="A5247" s="5">
        <v>5186</v>
      </c>
      <c r="B5247" s="138">
        <f>'Revenues 9-14'!C203</f>
        <v>84380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84380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550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550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188245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188245</v>
      </c>
      <c r="C5326" s="2" t="s">
        <v>594</v>
      </c>
      <c r="D5326" s="2" t="str">
        <f t="shared" si="82"/>
        <v>Error?</v>
      </c>
    </row>
    <row r="5327" spans="1:4" x14ac:dyDescent="0.2">
      <c r="A5327" s="5">
        <v>5266</v>
      </c>
      <c r="B5327" s="138">
        <f>'Revenues 9-14'!C275</f>
        <v>3631994</v>
      </c>
      <c r="C5327" s="2" t="s">
        <v>594</v>
      </c>
      <c r="D5327" s="2" t="str">
        <f t="shared" si="82"/>
        <v>Error?</v>
      </c>
    </row>
    <row r="5328" spans="1:4" x14ac:dyDescent="0.2">
      <c r="A5328" s="5">
        <v>5267</v>
      </c>
      <c r="B5328" s="138">
        <f>'Revenues 9-14'!D5</f>
        <v>236323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236323</v>
      </c>
      <c r="C5334" s="2" t="s">
        <v>594</v>
      </c>
      <c r="D5334" s="2" t="str">
        <f t="shared" si="82"/>
        <v>Error?</v>
      </c>
    </row>
    <row r="5335" spans="1:4" x14ac:dyDescent="0.2">
      <c r="A5335" s="5">
        <v>5274</v>
      </c>
      <c r="B5335" s="138">
        <f>'Revenues 9-14'!D14</f>
        <v>1842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1842</v>
      </c>
      <c r="C5339" s="2" t="s">
        <v>594</v>
      </c>
      <c r="D5339" s="2" t="str">
        <f t="shared" si="82"/>
        <v>Error?</v>
      </c>
    </row>
    <row r="5340" spans="1:4" x14ac:dyDescent="0.2">
      <c r="A5340" s="5">
        <v>5279</v>
      </c>
      <c r="B5340" s="138">
        <f>'Revenues 9-14'!D65</f>
        <v>234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4016</v>
      </c>
      <c r="D5354" s="2" t="str">
        <f t="shared" si="82"/>
        <v>Error?</v>
      </c>
    </row>
    <row r="5355" spans="1:4" x14ac:dyDescent="0.2">
      <c r="A5355" s="5">
        <v>5294</v>
      </c>
      <c r="B5355" s="138">
        <f>'Revenues 9-14'!D108</f>
        <v>4291</v>
      </c>
      <c r="C5355" s="2" t="s">
        <v>594</v>
      </c>
      <c r="D5355" s="2" t="str">
        <f t="shared" si="82"/>
        <v>Error?</v>
      </c>
    </row>
    <row r="5356" spans="1:4" x14ac:dyDescent="0.2">
      <c r="A5356" s="5">
        <v>5295</v>
      </c>
      <c r="B5356" s="138">
        <f>'Revenues 9-14'!D109</f>
        <v>242690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87676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87676</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87676</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330366</v>
      </c>
      <c r="C5508" s="2" t="s">
        <v>594</v>
      </c>
      <c r="D5508" s="2" t="str">
        <f t="shared" si="85"/>
        <v>Error?</v>
      </c>
    </row>
    <row r="5509" spans="1:4" x14ac:dyDescent="0.2">
      <c r="A5509" s="5">
        <v>5448</v>
      </c>
      <c r="B5509" s="138">
        <f>'Revenues 9-14'!E5</f>
        <v>375583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375583</v>
      </c>
      <c r="C5513" s="2" t="s">
        <v>594</v>
      </c>
      <c r="D5513" s="2" t="str">
        <f t="shared" si="85"/>
        <v>Error?</v>
      </c>
    </row>
    <row r="5514" spans="1:4" x14ac:dyDescent="0.2">
      <c r="A5514" s="5">
        <v>5453</v>
      </c>
      <c r="B5514" s="138">
        <f>'Revenues 9-14'!E14</f>
        <v>2924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2924</v>
      </c>
      <c r="C5518" s="2" t="s">
        <v>594</v>
      </c>
      <c r="D5518" s="2" t="str">
        <f t="shared" si="85"/>
        <v>Error?</v>
      </c>
    </row>
    <row r="5519" spans="1:4" x14ac:dyDescent="0.2">
      <c r="A5519" s="5">
        <v>5458</v>
      </c>
      <c r="B5519" s="138">
        <f>'Revenues 9-14'!E65</f>
        <v>256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8097</v>
      </c>
      <c r="C5526" s="2" t="s">
        <v>594</v>
      </c>
      <c r="D5526" s="2" t="str">
        <f t="shared" si="85"/>
        <v>Error?</v>
      </c>
    </row>
    <row r="5527" spans="1:4" x14ac:dyDescent="0.2">
      <c r="A5527" s="5">
        <v>5466</v>
      </c>
      <c r="B5527" s="138">
        <f>'Revenues 9-14'!E109</f>
        <v>386860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386860</v>
      </c>
      <c r="C5552" s="2" t="s">
        <v>594</v>
      </c>
      <c r="D5552" s="2" t="str">
        <f t="shared" si="85"/>
        <v>Error?</v>
      </c>
    </row>
    <row r="5553" spans="1:4" x14ac:dyDescent="0.2">
      <c r="A5553" s="5">
        <v>5492</v>
      </c>
      <c r="B5553" s="138">
        <f>'Revenues 9-14'!F5</f>
        <v>113435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113435</v>
      </c>
      <c r="C5557" s="2" t="s">
        <v>594</v>
      </c>
      <c r="D5557" s="2" t="str">
        <f t="shared" si="85"/>
        <v>Error?</v>
      </c>
    </row>
    <row r="5558" spans="1:4" x14ac:dyDescent="0.2">
      <c r="A5558" s="5">
        <v>5497</v>
      </c>
      <c r="B5558" s="138">
        <f>'Revenues 9-14'!F14</f>
        <v>884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884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651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651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6408</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120</v>
      </c>
      <c r="D5586" s="2" t="str">
        <f t="shared" si="86"/>
        <v>Error?</v>
      </c>
    </row>
    <row r="5587" spans="1:4" x14ac:dyDescent="0.2">
      <c r="A5587" s="5">
        <v>5526</v>
      </c>
      <c r="B5587" s="138">
        <f>'Revenues 9-14'!F108</f>
        <v>6528</v>
      </c>
      <c r="C5587" s="2" t="s">
        <v>594</v>
      </c>
      <c r="D5587" s="2" t="str">
        <f t="shared" si="86"/>
        <v>Error?</v>
      </c>
    </row>
    <row r="5588" spans="1:4" x14ac:dyDescent="0.2">
      <c r="A5588" s="5">
        <v>5527</v>
      </c>
      <c r="B5588" s="138">
        <f>'Revenues 9-14'!F109</f>
        <v>121498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27939</v>
      </c>
      <c r="D5615" s="2" t="str">
        <f t="shared" si="86"/>
        <v>Error?</v>
      </c>
    </row>
    <row r="5616" spans="1:4" x14ac:dyDescent="0.2">
      <c r="A5616" s="10">
        <v>5555</v>
      </c>
      <c r="D5616" s="2" t="str">
        <f t="shared" si="86"/>
        <v>OK</v>
      </c>
    </row>
    <row r="5617" spans="1:4" x14ac:dyDescent="0.2">
      <c r="A5617" s="5">
        <v>5556</v>
      </c>
      <c r="B5617" s="138">
        <f>'Revenues 9-14'!F152</f>
        <v>65296</v>
      </c>
      <c r="D5617" s="2" t="str">
        <f t="shared" si="86"/>
        <v>Error?</v>
      </c>
    </row>
    <row r="5618" spans="1:4" x14ac:dyDescent="0.2">
      <c r="A5618" s="5">
        <v>5557</v>
      </c>
      <c r="B5618" s="138">
        <f>'Revenues 9-14'!F154</f>
        <v>93235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93235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93235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214733</v>
      </c>
      <c r="C5720" s="2" t="s">
        <v>594</v>
      </c>
      <c r="D5720" s="2" t="str">
        <f t="shared" si="88"/>
        <v>Error?</v>
      </c>
    </row>
    <row r="5721" spans="1:4" x14ac:dyDescent="0.2">
      <c r="A5721" s="5">
        <v>5660</v>
      </c>
      <c r="B5721" s="138">
        <f>'Revenues 9-14'!G5</f>
        <v>115351</v>
      </c>
      <c r="D5721" s="2" t="str">
        <f t="shared" si="88"/>
        <v>Error?</v>
      </c>
    </row>
    <row r="5722" spans="1:4" x14ac:dyDescent="0.2">
      <c r="A5722" s="5">
        <v>5661</v>
      </c>
      <c r="B5722" s="138">
        <f>'Revenues 9-14'!G7</f>
        <v>0</v>
      </c>
      <c r="D5722" s="2" t="str">
        <f t="shared" si="88"/>
        <v>Error?</v>
      </c>
    </row>
    <row r="5723" spans="1:4" x14ac:dyDescent="0.2">
      <c r="A5723" s="5">
        <v>5662</v>
      </c>
      <c r="B5723" s="138">
        <f>'Revenues 9-14'!G8</f>
        <v>64194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179545</v>
      </c>
      <c r="C5725" s="2" t="s">
        <v>594</v>
      </c>
      <c r="D5725" s="2" t="str">
        <f t="shared" si="88"/>
        <v>Error?</v>
      </c>
    </row>
    <row r="5726" spans="1:4" x14ac:dyDescent="0.2">
      <c r="A5726" s="5">
        <v>5665</v>
      </c>
      <c r="B5726" s="138">
        <f>'Revenues 9-14'!G14</f>
        <v>1398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5537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6935</v>
      </c>
      <c r="C5730" s="2" t="s">
        <v>594</v>
      </c>
      <c r="D5730" s="2" t="str">
        <f t="shared" si="88"/>
        <v>Error?</v>
      </c>
    </row>
    <row r="5731" spans="1:4" x14ac:dyDescent="0.2">
      <c r="A5731" s="5">
        <v>5670</v>
      </c>
      <c r="B5731" s="138">
        <f>'Revenues 9-14'!G65</f>
        <v>841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841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187321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47265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47265</v>
      </c>
      <c r="C5918" s="2" t="s">
        <v>594</v>
      </c>
      <c r="D5918" s="2" t="str">
        <f t="shared" si="91"/>
        <v>Error?</v>
      </c>
    </row>
    <row r="5919" spans="1:4" x14ac:dyDescent="0.2">
      <c r="A5919" s="5">
        <v>5858</v>
      </c>
      <c r="B5919" s="138">
        <f>'Revenues 9-14'!I14</f>
        <v>368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368</v>
      </c>
      <c r="C5923" s="2" t="s">
        <v>594</v>
      </c>
      <c r="D5923" s="2" t="str">
        <f t="shared" si="91"/>
        <v>Error?</v>
      </c>
    </row>
    <row r="5924" spans="1:4" x14ac:dyDescent="0.2">
      <c r="A5924" s="5">
        <v>5863</v>
      </c>
      <c r="B5924" s="138">
        <f>'Revenues 9-14'!I65</f>
        <v>286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47919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47265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47265</v>
      </c>
      <c r="C5987" s="2" t="s">
        <v>594</v>
      </c>
      <c r="D5987" s="2" t="str">
        <f t="shared" si="92"/>
        <v>Error?</v>
      </c>
    </row>
    <row r="5988" spans="1:4" x14ac:dyDescent="0.2">
      <c r="A5988" s="5">
        <v>5927</v>
      </c>
      <c r="B5988" s="138">
        <f>'Revenues 9-14'!K14</f>
        <v>368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368</v>
      </c>
      <c r="C5992" s="2" t="s">
        <v>594</v>
      </c>
      <c r="D5992" s="2" t="str">
        <f t="shared" si="92"/>
        <v>Error?</v>
      </c>
    </row>
    <row r="5993" spans="1:4" x14ac:dyDescent="0.2">
      <c r="A5993" s="5">
        <v>5932</v>
      </c>
      <c r="B5993" s="138">
        <f>'Revenues 9-14'!K65</f>
        <v>35560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35560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83193</v>
      </c>
      <c r="C6023" s="2" t="s">
        <v>594</v>
      </c>
      <c r="D6023" s="2" t="str">
        <f t="shared" si="93"/>
        <v>Error?</v>
      </c>
    </row>
    <row r="6024" spans="1:5" x14ac:dyDescent="0.2">
      <c r="A6024" s="5">
        <v>5963</v>
      </c>
      <c r="B6024" s="138">
        <f>'Revenues 9-14'!G109</f>
        <v>187321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47919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83193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6773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400.14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107327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107327</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107327</v>
      </c>
      <c r="D6216" s="2" t="str">
        <f t="shared" si="96"/>
        <v>Error?</v>
      </c>
      <c r="E6216" s="2" t="s">
        <v>199</v>
      </c>
    </row>
    <row r="6217" spans="1:5" x14ac:dyDescent="0.2">
      <c r="A6217">
        <v>6156</v>
      </c>
      <c r="B6217" s="138">
        <f>'Assets-Liab 5-6'!J4</f>
        <v>107327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238843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238843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238843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229725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229725</v>
      </c>
      <c r="D6229" s="2" t="str">
        <f t="shared" si="96"/>
        <v>Error?</v>
      </c>
      <c r="E6229" s="2" t="s">
        <v>199</v>
      </c>
    </row>
    <row r="6230" spans="1:5" x14ac:dyDescent="0.2">
      <c r="A6230">
        <v>6169</v>
      </c>
      <c r="B6230" s="138">
        <f>'Acct Summary 7-8'!J20</f>
        <v>9118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9118</v>
      </c>
      <c r="D6263" s="2" t="str">
        <f t="shared" si="96"/>
        <v>Error?</v>
      </c>
      <c r="E6263" s="2" t="s">
        <v>199</v>
      </c>
    </row>
    <row r="6264" spans="1:5" x14ac:dyDescent="0.2">
      <c r="A6264">
        <v>6203</v>
      </c>
      <c r="B6264" s="138">
        <f>'Acct Summary 7-8'!J79</f>
        <v>98209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107327</v>
      </c>
      <c r="D6266" s="2" t="str">
        <f t="shared" si="96"/>
        <v>Error?</v>
      </c>
      <c r="E6266" s="2" t="s">
        <v>199</v>
      </c>
    </row>
    <row r="6267" spans="1:5" x14ac:dyDescent="0.2">
      <c r="A6267">
        <v>6206</v>
      </c>
      <c r="B6267" s="138">
        <f>'Acct Summary 7-8'!C82</f>
        <v>361299</v>
      </c>
      <c r="D6267" s="2" t="str">
        <f t="shared" si="96"/>
        <v>Error?</v>
      </c>
      <c r="E6267" s="2" t="s">
        <v>199</v>
      </c>
    </row>
    <row r="6268" spans="1:5" x14ac:dyDescent="0.2">
      <c r="A6268">
        <v>6207</v>
      </c>
      <c r="B6268" s="138">
        <f>'Acct Summary 7-8'!D82</f>
        <v>-94227</v>
      </c>
      <c r="D6268" s="2" t="str">
        <f t="shared" si="96"/>
        <v>Error?</v>
      </c>
      <c r="E6268" s="2" t="s">
        <v>199</v>
      </c>
    </row>
    <row r="6269" spans="1:5" x14ac:dyDescent="0.2">
      <c r="A6269">
        <v>6208</v>
      </c>
      <c r="B6269" s="138">
        <f>'Acct Summary 7-8'!E82</f>
        <v>11615</v>
      </c>
      <c r="D6269" s="2" t="str">
        <f t="shared" si="96"/>
        <v>Error?</v>
      </c>
      <c r="E6269" s="2" t="s">
        <v>199</v>
      </c>
    </row>
    <row r="6270" spans="1:5" x14ac:dyDescent="0.2">
      <c r="A6270">
        <v>6209</v>
      </c>
      <c r="B6270" s="138">
        <f>'Acct Summary 7-8'!F82</f>
        <v>13219</v>
      </c>
      <c r="D6270" s="2" t="str">
        <f t="shared" si="96"/>
        <v>Error?</v>
      </c>
      <c r="E6270" s="2" t="s">
        <v>199</v>
      </c>
    </row>
    <row r="6271" spans="1:5" x14ac:dyDescent="0.2">
      <c r="A6271">
        <v>6210</v>
      </c>
      <c r="B6271" s="138">
        <f>'Acct Summary 7-8'!G82</f>
        <v>45467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47919</v>
      </c>
      <c r="D6273" s="2" t="str">
        <f t="shared" si="97"/>
        <v>Error?</v>
      </c>
      <c r="E6273" s="2" t="s">
        <v>199</v>
      </c>
    </row>
    <row r="6274" spans="1:5" x14ac:dyDescent="0.2">
      <c r="A6274">
        <v>6213</v>
      </c>
      <c r="B6274" s="138">
        <f>'Acct Summary 7-8'!J82</f>
        <v>9118</v>
      </c>
      <c r="D6274" s="2" t="str">
        <f t="shared" si="97"/>
        <v>Error?</v>
      </c>
      <c r="E6274" s="2" t="s">
        <v>199</v>
      </c>
    </row>
    <row r="6275" spans="1:5" x14ac:dyDescent="0.2">
      <c r="A6275">
        <v>6214</v>
      </c>
      <c r="B6275" s="138">
        <f>'Acct Summary 7-8'!K82</f>
        <v>-1147936</v>
      </c>
      <c r="D6275" s="2" t="str">
        <f t="shared" si="97"/>
        <v>Error?</v>
      </c>
      <c r="E6275" s="2" t="s">
        <v>199</v>
      </c>
    </row>
    <row r="6276" spans="1:5" x14ac:dyDescent="0.2">
      <c r="A6276">
        <v>6215</v>
      </c>
      <c r="B6276" s="138">
        <f>'Acct Summary 7-8'!C83</f>
        <v>0.39264887117212477</v>
      </c>
      <c r="D6276" s="2" t="str">
        <f t="shared" si="97"/>
        <v>Error?</v>
      </c>
      <c r="E6276" s="2" t="s">
        <v>199</v>
      </c>
    </row>
    <row r="6277" spans="1:5" x14ac:dyDescent="0.2">
      <c r="A6277">
        <v>6216</v>
      </c>
      <c r="B6277" s="138">
        <f>'Acct Summary 7-8'!D83</f>
        <v>-3.6327781633125142</v>
      </c>
      <c r="D6277" s="2" t="str">
        <f t="shared" si="97"/>
        <v>Error?</v>
      </c>
      <c r="E6277" s="2" t="s">
        <v>199</v>
      </c>
    </row>
    <row r="6278" spans="1:5" x14ac:dyDescent="0.2">
      <c r="A6278">
        <v>6217</v>
      </c>
      <c r="B6278" s="138">
        <f>'Acct Summary 7-8'!E83</f>
        <v>9.6733626490772204E-2</v>
      </c>
      <c r="D6278" s="2" t="str">
        <f t="shared" si="97"/>
        <v>Error?</v>
      </c>
      <c r="E6278" s="2" t="s">
        <v>199</v>
      </c>
    </row>
    <row r="6279" spans="1:5" x14ac:dyDescent="0.2">
      <c r="A6279">
        <v>6218</v>
      </c>
      <c r="B6279" s="138">
        <f>'Acct Summary 7-8'!F83</f>
        <v>4.0162607060281887E-2</v>
      </c>
      <c r="D6279" s="2" t="str">
        <f t="shared" si="97"/>
        <v>Error?</v>
      </c>
      <c r="E6279" s="2" t="s">
        <v>199</v>
      </c>
    </row>
    <row r="6280" spans="1:5" x14ac:dyDescent="0.2">
      <c r="A6280">
        <v>6219</v>
      </c>
      <c r="B6280" s="138">
        <f>'Acct Summary 7-8'!G83</f>
        <v>0.11341515128838335</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0.31291179908449185</v>
      </c>
      <c r="D6282" s="2" t="str">
        <f t="shared" si="97"/>
        <v>Error?</v>
      </c>
      <c r="E6282" s="2" t="s">
        <v>199</v>
      </c>
    </row>
    <row r="6283" spans="1:5" x14ac:dyDescent="0.2">
      <c r="A6283">
        <v>6222</v>
      </c>
      <c r="B6283" s="138">
        <f>'Acct Summary 7-8'!J83</f>
        <v>8.4955323450762621E-2</v>
      </c>
      <c r="D6283" s="2" t="str">
        <f t="shared" si="97"/>
        <v>Error?</v>
      </c>
      <c r="E6283" s="2" t="s">
        <v>199</v>
      </c>
    </row>
    <row r="6284" spans="1:5" x14ac:dyDescent="0.2">
      <c r="A6284">
        <v>6223</v>
      </c>
      <c r="B6284" s="138">
        <f>'Acct Summary 7-8'!K83</f>
        <v>-0.64159249004302488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236729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236729</v>
      </c>
      <c r="D6301" s="2" t="str">
        <f t="shared" si="97"/>
        <v>Error?</v>
      </c>
      <c r="E6301" s="2" t="s">
        <v>199</v>
      </c>
    </row>
    <row r="6302" spans="1:5" x14ac:dyDescent="0.2">
      <c r="A6302">
        <v>6241</v>
      </c>
      <c r="B6302" s="138">
        <f>'Revenues 9-14'!J14</f>
        <v>1844</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1844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270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270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238843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15209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229725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238843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9509</v>
      </c>
      <c r="D7093" s="2" t="str">
        <f t="shared" si="109"/>
        <v>Error?</v>
      </c>
    </row>
    <row r="7094" spans="1:4" x14ac:dyDescent="0.2">
      <c r="A7094">
        <v>7033</v>
      </c>
      <c r="B7094" s="138">
        <f>'Expenditures 15-22'!K254</f>
        <v>9509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30267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30267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9356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9356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113179</v>
      </c>
      <c r="D7172" s="2" t="str">
        <f t="shared" si="111"/>
        <v>Error?</v>
      </c>
    </row>
    <row r="7173" spans="1:4" x14ac:dyDescent="0.2">
      <c r="A7173">
        <v>7112</v>
      </c>
      <c r="B7173" s="138">
        <f>'Expenditures 15-22'!D325</f>
        <v>22279</v>
      </c>
      <c r="D7173" s="2" t="str">
        <f t="shared" si="111"/>
        <v>Error?</v>
      </c>
    </row>
    <row r="7174" spans="1:4" x14ac:dyDescent="0.2">
      <c r="A7174">
        <v>7113</v>
      </c>
      <c r="B7174" s="138">
        <f>'Expenditures 15-22'!E325</f>
        <v>14639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150097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726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726</v>
      </c>
      <c r="D7198" s="2" t="str">
        <f t="shared" si="111"/>
        <v>Error?</v>
      </c>
    </row>
    <row r="7199" spans="1:4" x14ac:dyDescent="0.2">
      <c r="A7199">
        <v>7138</v>
      </c>
      <c r="B7199" s="138">
        <f>'Expenditures 15-22'!C330</f>
        <v>113179</v>
      </c>
      <c r="D7199" s="2" t="str">
        <f t="shared" si="111"/>
        <v>Error?</v>
      </c>
    </row>
    <row r="7200" spans="1:4" x14ac:dyDescent="0.2">
      <c r="A7200">
        <v>7139</v>
      </c>
      <c r="B7200" s="138">
        <f>'Expenditures 15-22'!D330</f>
        <v>22279</v>
      </c>
      <c r="D7200" s="2" t="str">
        <f t="shared" si="111"/>
        <v>Error?</v>
      </c>
    </row>
    <row r="7201" spans="1:4" x14ac:dyDescent="0.2">
      <c r="A7201">
        <v>7140</v>
      </c>
      <c r="B7201" s="138">
        <f>'Expenditures 15-22'!E330</f>
        <v>94267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229725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113179</v>
      </c>
      <c r="D7216" s="2" t="str">
        <f t="shared" si="111"/>
        <v>Error?</v>
      </c>
    </row>
    <row r="7217" spans="1:4" x14ac:dyDescent="0.2">
      <c r="A7217">
        <v>7156</v>
      </c>
      <c r="B7217" s="138">
        <f>'Expenditures 15-22'!D342</f>
        <v>22279</v>
      </c>
      <c r="D7217" s="2" t="str">
        <f t="shared" si="111"/>
        <v>Error?</v>
      </c>
    </row>
    <row r="7218" spans="1:4" x14ac:dyDescent="0.2">
      <c r="A7218">
        <v>7157</v>
      </c>
      <c r="B7218" s="138">
        <f>'Expenditures 15-22'!E342</f>
        <v>94267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229725</v>
      </c>
      <c r="D7224" s="2" t="str">
        <f t="shared" si="111"/>
        <v>Error?</v>
      </c>
    </row>
    <row r="7225" spans="1:4" x14ac:dyDescent="0.2">
      <c r="A7225">
        <v>7164</v>
      </c>
      <c r="B7225" s="138">
        <f>'Expenditures 15-22'!K343</f>
        <v>9118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34355</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34355</v>
      </c>
      <c r="D7600" s="2" t="str">
        <f t="shared" si="122"/>
        <v>Error?</v>
      </c>
      <c r="E7600" s="2" t="s">
        <v>19</v>
      </c>
    </row>
    <row r="7601" spans="1:5" x14ac:dyDescent="0.2">
      <c r="A7601">
        <f t="shared" si="123"/>
        <v>7540</v>
      </c>
      <c r="B7601" s="138">
        <f>'Cap Outlay Deprec 26'!H6</f>
        <v>1260</v>
      </c>
      <c r="D7601" s="2" t="str">
        <f t="shared" si="122"/>
        <v>Error?</v>
      </c>
      <c r="E7601" s="2" t="s">
        <v>19</v>
      </c>
    </row>
    <row r="7602" spans="1:5" x14ac:dyDescent="0.2">
      <c r="A7602">
        <f t="shared" si="123"/>
        <v>7541</v>
      </c>
      <c r="B7602" s="138">
        <f>'Cap Outlay Deprec 26'!I6</f>
        <v>687</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1947</v>
      </c>
      <c r="D7604" s="2" t="str">
        <f t="shared" si="122"/>
        <v>Error?</v>
      </c>
      <c r="E7604" s="2" t="s">
        <v>19</v>
      </c>
    </row>
    <row r="7605" spans="1:5" x14ac:dyDescent="0.2">
      <c r="A7605">
        <f t="shared" si="123"/>
        <v>7544</v>
      </c>
      <c r="B7605" s="138">
        <f>'Cap Outlay Deprec 26'!L6</f>
        <v>32408</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374670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29240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29240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10039</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10039</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22294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22294</v>
      </c>
      <c r="D7719" s="2" t="str">
        <f t="shared" si="126"/>
        <v>Error?</v>
      </c>
      <c r="E7719" s="2" t="s">
        <v>881</v>
      </c>
    </row>
    <row r="7720" spans="1:6" x14ac:dyDescent="0.2">
      <c r="A7720">
        <v>7659</v>
      </c>
      <c r="B7720" s="138">
        <f>'Rest Tax Levies-Tort Im 25'!H14</f>
        <v>18906</v>
      </c>
      <c r="D7720" s="2" t="str">
        <f t="shared" si="126"/>
        <v>Error?</v>
      </c>
      <c r="E7720" s="2" t="s">
        <v>881</v>
      </c>
    </row>
    <row r="7721" spans="1:6" x14ac:dyDescent="0.2">
      <c r="A7721">
        <v>7660</v>
      </c>
      <c r="B7721" s="138">
        <f>'Rest Tax Levies-Tort Im 25'!K14</f>
        <v>22294</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8097</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Normal="100" workbookViewId="0">
      <selection activeCell="A13" sqref="A13:H1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Fairfield CHSD 225</v>
      </c>
      <c r="B7" s="2403"/>
      <c r="C7" s="2403"/>
      <c r="D7" s="2440"/>
      <c r="E7" s="2441">
        <f>COVER!A13</f>
        <v>20096225016</v>
      </c>
      <c r="F7" s="2442"/>
      <c r="G7" s="2409">
        <f>COVER!T23</f>
        <v>0</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Kemper CPA Group LLP</v>
      </c>
      <c r="H9" s="2416"/>
      <c r="I9" s="2416"/>
      <c r="J9" s="2416"/>
      <c r="K9" s="2416"/>
      <c r="L9" s="2417"/>
    </row>
    <row r="10" spans="1:29" ht="13.5" customHeight="1" x14ac:dyDescent="0.2">
      <c r="A10" s="2399" t="str">
        <f>COVER!A38</f>
        <v>Jill Fulkerson</v>
      </c>
      <c r="B10" s="2400"/>
      <c r="C10" s="2400"/>
      <c r="D10" s="2400"/>
      <c r="E10" s="2400"/>
      <c r="F10" s="2401"/>
      <c r="G10" s="2415" t="str">
        <f>COVER!T17</f>
        <v>7200 Eagle Crest Blvd.</v>
      </c>
      <c r="H10" s="2428"/>
      <c r="I10" s="2428"/>
      <c r="J10" s="2428"/>
      <c r="K10" s="2428"/>
      <c r="L10" s="2429"/>
    </row>
    <row r="11" spans="1:29" ht="13.5" customHeight="1" x14ac:dyDescent="0.2">
      <c r="A11" s="1185" t="s">
        <v>1599</v>
      </c>
      <c r="B11" s="1186"/>
      <c r="C11" s="1187"/>
      <c r="D11" s="1192"/>
      <c r="E11" s="1187"/>
      <c r="F11" s="1191"/>
      <c r="G11" s="2415" t="str">
        <f>COVER!T19</f>
        <v>Evansville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mdsmith@kempercpa.com</v>
      </c>
      <c r="J13" s="2437"/>
      <c r="K13" s="2437"/>
      <c r="L13" s="2438"/>
    </row>
    <row r="14" spans="1:29" ht="13.5" customHeight="1" x14ac:dyDescent="0.2">
      <c r="A14" s="2415" t="str">
        <f>COVER!A19</f>
        <v xml:space="preserve">300 West King </v>
      </c>
      <c r="B14" s="2428"/>
      <c r="C14" s="2428"/>
      <c r="D14" s="2428"/>
      <c r="E14" s="2428"/>
      <c r="F14" s="2429"/>
      <c r="G14" s="1196" t="s">
        <v>1247</v>
      </c>
      <c r="H14" s="1194"/>
      <c r="I14" s="1194"/>
      <c r="J14" s="1194"/>
      <c r="K14" s="1194"/>
      <c r="L14" s="1195"/>
    </row>
    <row r="15" spans="1:29" ht="13.5" customHeight="1" x14ac:dyDescent="0.2">
      <c r="A15" s="2415" t="str">
        <f>COVER!A21</f>
        <v>Fairfield</v>
      </c>
      <c r="B15" s="2428"/>
      <c r="C15" s="2428"/>
      <c r="D15" s="2428"/>
      <c r="E15" s="2428"/>
      <c r="F15" s="2429"/>
      <c r="G15" s="2425" t="str">
        <f>COVER!T15</f>
        <v>Michelle Smith, CPA</v>
      </c>
      <c r="H15" s="2426"/>
      <c r="I15" s="2426"/>
      <c r="J15" s="2426"/>
      <c r="K15" s="2426"/>
      <c r="L15" s="2427"/>
    </row>
    <row r="16" spans="1:29" ht="12.2" customHeight="1" x14ac:dyDescent="0.2">
      <c r="A16" s="2405">
        <f>COVER!A25</f>
        <v>62837</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(812)421-8000</v>
      </c>
      <c r="H18" s="2403"/>
      <c r="I18" s="2403"/>
      <c r="J18" s="2403"/>
      <c r="K18" s="2402" t="str">
        <f>COVER!X21</f>
        <v>(812)421-2292</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activeCell="A13" sqref="A13:H1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Fairfield CHSD 225</v>
      </c>
      <c r="B1" s="2439"/>
      <c r="C1" s="2439"/>
      <c r="D1" s="2439"/>
    </row>
    <row r="2" spans="1:11" s="1215" customFormat="1" ht="12.75" x14ac:dyDescent="0.2">
      <c r="A2" s="2444">
        <f>'Single Audit Cover'!E7</f>
        <v>20096225016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Fairfield CHSD 225</v>
      </c>
      <c r="B1" s="2447"/>
      <c r="C1" s="2447"/>
      <c r="D1" s="2447"/>
      <c r="E1" s="2447"/>
    </row>
    <row r="2" spans="1:5" x14ac:dyDescent="0.2">
      <c r="A2" s="2448">
        <f>'Single Audit Cover'!E7</f>
        <v>20096225016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188245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188245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188245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188245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0" zoomScaleNormal="100" workbookViewId="0">
      <selection activeCell="A13" sqref="A13:H1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Fairfield CHSD 225</v>
      </c>
      <c r="B1" s="2452"/>
      <c r="C1" s="2452"/>
      <c r="D1" s="2452"/>
      <c r="E1" s="2452"/>
      <c r="F1" s="2452"/>
    </row>
    <row r="2" spans="1:7" ht="13.5" customHeight="1" x14ac:dyDescent="0.2">
      <c r="A2" s="2453">
        <f>'Single Audit Cover'!E7</f>
        <v>20096225016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0" t="s">
        <v>1332</v>
      </c>
      <c r="D15" s="2457" t="s">
        <v>1331</v>
      </c>
      <c r="E15" s="2457"/>
      <c r="F15" s="2457"/>
    </row>
    <row r="16" spans="1:7" ht="13.5" customHeight="1" x14ac:dyDescent="0.2">
      <c r="A16" s="1282"/>
      <c r="B16" s="1276" t="s">
        <v>1330</v>
      </c>
      <c r="C16" s="1870"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61">
        <f>+C33+C34</f>
        <v>0</v>
      </c>
      <c r="F34" s="2462"/>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69"/>
      <c r="C50" s="1869"/>
      <c r="D50" s="1869"/>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A13" sqref="A13:H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Fairfield CHSD 225</v>
      </c>
      <c r="C1" s="2464"/>
      <c r="D1" s="2464"/>
      <c r="E1" s="2464"/>
      <c r="F1" s="2464"/>
      <c r="G1" s="2464"/>
      <c r="H1" s="2464"/>
      <c r="I1" s="2464"/>
      <c r="J1" s="2464"/>
      <c r="K1" s="2464"/>
      <c r="L1" s="2464"/>
      <c r="M1" s="2464"/>
    </row>
    <row r="2" spans="2:14" ht="15" x14ac:dyDescent="0.2">
      <c r="B2" s="2453">
        <f>'Single Audit Cover'!E7</f>
        <v>20096225016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2"/>
      <c r="G118" s="1956"/>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H1k5gKOpe0LPYFcbuVlnq72+Ppfobuq3x2Kvj/P/2R5CkbgQAKsomfDxHNl+k93dogZRrMYEKbucAH6Ztv0Q==" saltValue="qUn3EdbBGdsBFJHFaVxsP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Normal="100" workbookViewId="0">
      <selection activeCell="A13" sqref="A13:H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Fairfield CHSD 225</v>
      </c>
      <c r="C1" s="2472"/>
      <c r="D1" s="2472"/>
      <c r="E1" s="2472"/>
      <c r="F1" s="2472"/>
      <c r="G1" s="2472"/>
      <c r="H1" s="2472"/>
      <c r="I1" s="2472"/>
      <c r="J1" s="1422"/>
    </row>
    <row r="2" spans="2:10" s="317" customFormat="1" ht="12.75" customHeight="1" x14ac:dyDescent="0.2">
      <c r="B2" s="2473">
        <f>'Single Audit Cover'!E7</f>
        <v>20096225016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1226</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2077</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t="s">
        <v>2077</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0"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Normal="100" workbookViewId="0">
      <selection activeCell="A13" sqref="A13:H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Fairfield CHSD 225</v>
      </c>
      <c r="C1" s="2471"/>
      <c r="D1" s="2471"/>
      <c r="E1" s="2471"/>
      <c r="F1" s="2471"/>
      <c r="G1" s="2471"/>
      <c r="H1" s="2471"/>
      <c r="I1" s="2471"/>
      <c r="J1" s="2471"/>
      <c r="K1" s="2471"/>
      <c r="L1" s="1374"/>
      <c r="M1" s="1374"/>
    </row>
    <row r="2" spans="1:13" ht="12" customHeight="1" x14ac:dyDescent="0.2">
      <c r="B2" s="2473">
        <f>'Single Audit Cover'!E7</f>
        <v>20096225016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2011</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2116</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2133</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t="s">
        <v>2117</v>
      </c>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2118</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2119</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2120</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2136</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Normal="100" zoomScaleSheetLayoutView="100" workbookViewId="0">
      <selection activeCell="A13" sqref="A13:H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Fairfield CHSD 225</v>
      </c>
      <c r="C1" s="2471"/>
      <c r="D1" s="2471"/>
      <c r="E1" s="2471"/>
      <c r="F1" s="2471"/>
      <c r="G1" s="2471"/>
      <c r="H1" s="2471"/>
      <c r="I1" s="2471"/>
      <c r="J1" s="2471"/>
      <c r="K1" s="2471"/>
      <c r="L1" s="1374"/>
      <c r="M1" s="1374"/>
    </row>
    <row r="2" spans="1:13" ht="12" customHeight="1" x14ac:dyDescent="0.2">
      <c r="B2" s="2473">
        <f>'Single Audit Cover'!E7</f>
        <v>20096225016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957"/>
      <c r="M3" s="195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2013</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2134</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2121</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t="s">
        <v>2122</v>
      </c>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2123</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2124</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2125</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2126</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election activeCell="A13" sqref="A13:H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Fairfield CHSD 225</v>
      </c>
      <c r="C1" s="2498"/>
      <c r="D1" s="2498"/>
      <c r="E1" s="2498"/>
      <c r="F1" s="2498"/>
      <c r="G1" s="2498"/>
      <c r="H1" s="2498"/>
      <c r="I1" s="2498"/>
      <c r="J1" s="2498"/>
      <c r="K1" s="2498"/>
      <c r="L1" s="1465"/>
    </row>
    <row r="2" spans="1:12" ht="12.75" customHeight="1" x14ac:dyDescent="0.2">
      <c r="B2" s="2499">
        <f>'Single Audit Cover'!E7</f>
        <v>20096225016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election activeCell="A13" sqref="A13:H13"/>
    </sheetView>
  </sheetViews>
  <sheetFormatPr defaultColWidth="9.140625" defaultRowHeight="12.75" x14ac:dyDescent="0.2"/>
  <cols>
    <col min="1" max="1" width="1.5703125" style="317" customWidth="1"/>
    <col min="2" max="2" width="14.7109375" style="317" customWidth="1"/>
    <col min="3" max="3" width="48.42578125" style="317" bestFit="1"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Fairfield CHSD 225</v>
      </c>
      <c r="C1" s="2471"/>
      <c r="D1" s="2471"/>
      <c r="E1" s="1491"/>
    </row>
    <row r="2" spans="2:5" s="1282" customFormat="1" ht="12.75" customHeight="1" x14ac:dyDescent="0.2">
      <c r="B2" s="2473">
        <f>'Single Audit Cover'!E7</f>
        <v>20096225016</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t="s">
        <v>2127</v>
      </c>
      <c r="C7" s="1958" t="s">
        <v>2128</v>
      </c>
      <c r="D7" s="1958" t="s">
        <v>2129</v>
      </c>
      <c r="E7" s="324"/>
    </row>
    <row r="8" spans="2:5" ht="13.5" customHeight="1" x14ac:dyDescent="0.2">
      <c r="B8" s="1496" t="s">
        <v>2130</v>
      </c>
      <c r="C8" s="324" t="s">
        <v>2131</v>
      </c>
      <c r="D8" s="1958" t="s">
        <v>2132</v>
      </c>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101325384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54">
        <f>ROUND(D10+F10+H10,5)</f>
        <v>1.29E-2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4225012</v>
      </c>
      <c r="E16" s="356"/>
      <c r="F16" s="1755">
        <f>SUM('Acct Summary 7-8'!C17,'Acct Summary 7-8'!D17,'Acct Summary 7-8'!F17)</f>
        <v>3896802</v>
      </c>
      <c r="G16" s="356"/>
      <c r="H16" s="1755">
        <f>SUM(D16-F16)</f>
        <v>328210</v>
      </c>
      <c r="I16" s="222"/>
      <c r="J16" s="1755">
        <f>SUM('Acct Summary 7-8'!C81,'Acct Summary 7-8'!D81,'Acct Summary 7-8'!F81,'Acct Summary 7-8'!I81)</f>
        <v>1428372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6991451.4960000003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2511688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4"/>
  <sheetViews>
    <sheetView showGridLines="0" zoomScaleNormal="100" workbookViewId="0">
      <selection activeCell="A13" sqref="A13:H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Fairfield CHSD 225</v>
      </c>
      <c r="E7" s="391"/>
      <c r="G7" s="252"/>
      <c r="H7" s="387"/>
      <c r="I7" s="387"/>
      <c r="J7" s="387"/>
      <c r="K7" s="387"/>
      <c r="L7" s="329"/>
      <c r="M7" s="329"/>
      <c r="N7" s="329"/>
      <c r="O7" s="329"/>
      <c r="P7" s="329"/>
    </row>
    <row r="8" spans="1:18" ht="12.75" x14ac:dyDescent="0.2">
      <c r="A8" s="329"/>
      <c r="B8" s="329"/>
      <c r="C8" s="389" t="s">
        <v>1187</v>
      </c>
      <c r="D8" s="392">
        <f>COVER!A13</f>
        <v>20096225016</v>
      </c>
      <c r="E8" s="393"/>
      <c r="G8" s="329"/>
      <c r="H8" s="329"/>
      <c r="I8" s="329"/>
      <c r="J8" s="329"/>
      <c r="K8" s="329"/>
      <c r="L8" s="329"/>
      <c r="M8" s="329"/>
      <c r="N8" s="329"/>
      <c r="O8" s="329"/>
      <c r="P8" s="329"/>
    </row>
    <row r="9" spans="1:18" ht="12.75" x14ac:dyDescent="0.2">
      <c r="A9" s="329"/>
      <c r="B9" s="329"/>
      <c r="C9" s="389" t="s">
        <v>737</v>
      </c>
      <c r="D9" s="394" t="str">
        <f>COVER!A15</f>
        <v>Wayne, White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1428372</v>
      </c>
      <c r="I12" s="404"/>
      <c r="J12" s="404"/>
      <c r="K12" s="405">
        <f>TRUNC((H12/H13*100000),5)/100000</f>
        <v>0.3380752528</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4225012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3896802</v>
      </c>
      <c r="I17" s="404"/>
      <c r="J17" s="416"/>
      <c r="K17" s="405">
        <f>TRUNC((H17/H18*100000),5)/100000</f>
        <v>0.9223173804</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4225012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1428372</v>
      </c>
      <c r="I24" s="422"/>
      <c r="J24" s="422"/>
      <c r="K24" s="423">
        <f>TRUNC(((H24/H25*100000)/100000),2)</f>
        <v>131.94999999999999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10824.45</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1111032.83556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2511688</v>
      </c>
      <c r="I32" s="420"/>
      <c r="J32" s="420"/>
      <c r="K32" s="423">
        <f>TRUNC(100-((((H32/H33*100))*100)/100),2)</f>
        <v>64.069999999999993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6991451.4960000003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8"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5" activePane="bottomLeft" state="frozen"/>
      <selection activeCell="A13" sqref="A13:H13"/>
      <selection pane="bottomLeft" activeCell="A13" sqref="A13:H1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920158</v>
      </c>
      <c r="D4" s="466">
        <v>25938</v>
      </c>
      <c r="E4" s="466">
        <v>120072</v>
      </c>
      <c r="F4" s="466">
        <v>329137</v>
      </c>
      <c r="G4" s="466">
        <v>400890</v>
      </c>
      <c r="H4" s="466"/>
      <c r="I4" s="466">
        <v>153139</v>
      </c>
      <c r="J4" s="467">
        <v>107327</v>
      </c>
      <c r="K4" s="466">
        <v>1789198</v>
      </c>
      <c r="L4" s="466">
        <v>110236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920158</v>
      </c>
      <c r="D13" s="1759">
        <f t="shared" ref="D13:L13" si="0">SUM(D4:D12)</f>
        <v>25938</v>
      </c>
      <c r="E13" s="1759">
        <f t="shared" si="0"/>
        <v>120072</v>
      </c>
      <c r="F13" s="1759">
        <f t="shared" si="0"/>
        <v>329137</v>
      </c>
      <c r="G13" s="1759">
        <f t="shared" si="0"/>
        <v>400890</v>
      </c>
      <c r="H13" s="1759">
        <f t="shared" si="0"/>
        <v>0</v>
      </c>
      <c r="I13" s="1759">
        <f t="shared" si="0"/>
        <v>153139</v>
      </c>
      <c r="J13" s="1759">
        <f t="shared" si="0"/>
        <v>107327</v>
      </c>
      <c r="K13" s="1759">
        <f t="shared" si="0"/>
        <v>1789198</v>
      </c>
      <c r="L13" s="1759">
        <f t="shared" si="0"/>
        <v>110236</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301371</v>
      </c>
      <c r="N16" s="484"/>
    </row>
    <row r="17" spans="1:14" s="485" customFormat="1" ht="12.75" customHeight="1" x14ac:dyDescent="0.2">
      <c r="A17" s="482" t="s">
        <v>1470</v>
      </c>
      <c r="B17" s="483">
        <v>230</v>
      </c>
      <c r="C17" s="477"/>
      <c r="D17" s="477"/>
      <c r="E17" s="477"/>
      <c r="F17" s="477"/>
      <c r="G17" s="477"/>
      <c r="H17" s="477"/>
      <c r="I17" s="477"/>
      <c r="J17" s="477"/>
      <c r="K17" s="477"/>
      <c r="L17" s="477"/>
      <c r="M17" s="467">
        <v>12602782</v>
      </c>
      <c r="N17" s="484"/>
    </row>
    <row r="18" spans="1:14" s="485" customFormat="1" ht="12.75" customHeight="1" x14ac:dyDescent="0.2">
      <c r="A18" s="482" t="s">
        <v>1471</v>
      </c>
      <c r="B18" s="483">
        <v>240</v>
      </c>
      <c r="C18" s="477"/>
      <c r="D18" s="477"/>
      <c r="E18" s="477"/>
      <c r="F18" s="477"/>
      <c r="G18" s="477"/>
      <c r="H18" s="477"/>
      <c r="I18" s="477"/>
      <c r="J18" s="477"/>
      <c r="K18" s="477"/>
      <c r="L18" s="477"/>
      <c r="M18" s="467">
        <v>1253198</v>
      </c>
      <c r="N18" s="484"/>
    </row>
    <row r="19" spans="1:14" s="485" customFormat="1" ht="12.75" customHeight="1" x14ac:dyDescent="0.2">
      <c r="A19" s="482" t="s">
        <v>1472</v>
      </c>
      <c r="B19" s="483">
        <v>250</v>
      </c>
      <c r="C19" s="477"/>
      <c r="D19" s="477"/>
      <c r="E19" s="477"/>
      <c r="F19" s="477"/>
      <c r="G19" s="477"/>
      <c r="H19" s="477"/>
      <c r="I19" s="477"/>
      <c r="J19" s="477"/>
      <c r="K19" s="477"/>
      <c r="L19" s="477"/>
      <c r="M19" s="467">
        <v>1102291</v>
      </c>
      <c r="N19" s="484"/>
    </row>
    <row r="20" spans="1:14" s="485" customFormat="1" ht="12.75" customHeight="1" x14ac:dyDescent="0.2">
      <c r="A20" s="482" t="s">
        <v>1473</v>
      </c>
      <c r="B20" s="483">
        <v>260</v>
      </c>
      <c r="C20" s="477"/>
      <c r="D20" s="477"/>
      <c r="E20" s="477"/>
      <c r="F20" s="477"/>
      <c r="G20" s="477"/>
      <c r="H20" s="477"/>
      <c r="I20" s="477"/>
      <c r="J20" s="477"/>
      <c r="K20" s="477"/>
      <c r="L20" s="477"/>
      <c r="M20" s="467">
        <v>608289</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120072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2391616</v>
      </c>
    </row>
    <row r="23" spans="1:14" ht="13.5" customHeight="1" thickBot="1" x14ac:dyDescent="0.25">
      <c r="A23" s="1758" t="s">
        <v>664</v>
      </c>
      <c r="B23" s="1763"/>
      <c r="C23" s="468"/>
      <c r="D23" s="468"/>
      <c r="E23" s="468"/>
      <c r="F23" s="468"/>
      <c r="G23" s="468"/>
      <c r="H23" s="468"/>
      <c r="I23" s="468"/>
      <c r="J23" s="468"/>
      <c r="K23" s="468"/>
      <c r="L23" s="468"/>
      <c r="M23" s="1710">
        <f>SUM(M15:M22)</f>
        <v>15867931</v>
      </c>
      <c r="N23" s="1710">
        <f>SUM(N21:N22)</f>
        <v>2511688</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110236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110236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2511688</v>
      </c>
    </row>
    <row r="37" spans="1:14" ht="13.5" thickBot="1" x14ac:dyDescent="0.25">
      <c r="A37" s="1758" t="s">
        <v>674</v>
      </c>
      <c r="B37" s="1763"/>
      <c r="C37" s="477"/>
      <c r="D37" s="477"/>
      <c r="E37" s="477"/>
      <c r="F37" s="477"/>
      <c r="G37" s="477"/>
      <c r="H37" s="477"/>
      <c r="I37" s="477"/>
      <c r="J37" s="477"/>
      <c r="K37" s="477"/>
      <c r="L37" s="480"/>
      <c r="M37" s="468"/>
      <c r="N37" s="1710">
        <f>SUM(N36:N36)</f>
        <v>2511688</v>
      </c>
    </row>
    <row r="38" spans="1:14" s="329" customFormat="1" ht="13.5" customHeight="1" thickTop="1" x14ac:dyDescent="0.2">
      <c r="A38" s="496" t="s">
        <v>440</v>
      </c>
      <c r="B38" s="483">
        <v>714</v>
      </c>
      <c r="C38" s="466">
        <v>159359</v>
      </c>
      <c r="D38" s="466"/>
      <c r="E38" s="466">
        <v>120072</v>
      </c>
      <c r="F38" s="466"/>
      <c r="G38" s="466">
        <v>400890</v>
      </c>
      <c r="H38" s="466"/>
      <c r="I38" s="466"/>
      <c r="J38" s="467">
        <v>107327</v>
      </c>
      <c r="K38" s="466">
        <v>1789198</v>
      </c>
      <c r="L38" s="481"/>
      <c r="M38" s="497"/>
      <c r="N38" s="497"/>
    </row>
    <row r="39" spans="1:14" s="329" customFormat="1" ht="13.5" customHeight="1" x14ac:dyDescent="0.2">
      <c r="A39" s="496" t="s">
        <v>360</v>
      </c>
      <c r="B39" s="483">
        <v>730</v>
      </c>
      <c r="C39" s="466">
        <v>760799</v>
      </c>
      <c r="D39" s="466">
        <v>25938</v>
      </c>
      <c r="E39" s="466"/>
      <c r="F39" s="466">
        <v>329137</v>
      </c>
      <c r="G39" s="466"/>
      <c r="H39" s="466"/>
      <c r="I39" s="466">
        <v>153139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15867931</v>
      </c>
      <c r="N40" s="497"/>
    </row>
    <row r="41" spans="1:14" ht="13.5" customHeight="1" thickBot="1" x14ac:dyDescent="0.25">
      <c r="A41" s="1758" t="s">
        <v>676</v>
      </c>
      <c r="B41" s="1728"/>
      <c r="C41" s="1710">
        <f>(SUM(C34,C37,C38,C39))</f>
        <v>920158</v>
      </c>
      <c r="D41" s="1710">
        <f t="shared" ref="D41:L41" si="2">SUM(D34,D37,D38:D39)</f>
        <v>25938</v>
      </c>
      <c r="E41" s="1710">
        <f t="shared" si="2"/>
        <v>120072</v>
      </c>
      <c r="F41" s="1710">
        <f t="shared" si="2"/>
        <v>329137</v>
      </c>
      <c r="G41" s="1710">
        <f t="shared" si="2"/>
        <v>400890</v>
      </c>
      <c r="H41" s="1710">
        <f t="shared" si="2"/>
        <v>0</v>
      </c>
      <c r="I41" s="1710">
        <f t="shared" si="2"/>
        <v>153139</v>
      </c>
      <c r="J41" s="1710">
        <f t="shared" si="2"/>
        <v>107327</v>
      </c>
      <c r="K41" s="1710">
        <f t="shared" si="2"/>
        <v>1789198</v>
      </c>
      <c r="L41" s="1710">
        <f t="shared" si="2"/>
        <v>110236</v>
      </c>
      <c r="M41" s="1710">
        <f>SUM(M40)</f>
        <v>15867931</v>
      </c>
      <c r="N41" s="1710">
        <f>SUM(N37)</f>
        <v>2511688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13" sqref="A13:H13"/>
      <selection pane="bottomLeft" activeCell="A13" sqref="A13:H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3" t="s">
        <v>1579</v>
      </c>
      <c r="B4" s="1954">
        <v>1000</v>
      </c>
      <c r="C4" s="1764">
        <f>'Revenues 9-14'!C109</f>
        <v>1186211</v>
      </c>
      <c r="D4" s="1764">
        <f>'Revenues 9-14'!D109</f>
        <v>242690</v>
      </c>
      <c r="E4" s="1764">
        <f>'Revenues 9-14'!E109</f>
        <v>386860</v>
      </c>
      <c r="F4" s="1764">
        <f>'Revenues 9-14'!F109</f>
        <v>121498</v>
      </c>
      <c r="G4" s="1764">
        <f>'Revenues 9-14'!G109</f>
        <v>187321</v>
      </c>
      <c r="H4" s="1764">
        <f>'Revenues 9-14'!H109</f>
        <v>0</v>
      </c>
      <c r="I4" s="1764">
        <f>'Revenues 9-14'!I109</f>
        <v>47919</v>
      </c>
      <c r="J4" s="1764">
        <f>'Revenues 9-14'!J109</f>
        <v>238843</v>
      </c>
      <c r="K4" s="1764">
        <f>'Revenues 9-14'!K109</f>
        <v>83193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2257538</v>
      </c>
      <c r="D6" s="1765">
        <f>'Revenues 9-14'!D173</f>
        <v>87676</v>
      </c>
      <c r="E6" s="1765">
        <f>'Revenues 9-14'!E173</f>
        <v>0</v>
      </c>
      <c r="F6" s="1765">
        <f>'Revenues 9-14'!F173</f>
        <v>93235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188245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3631994</v>
      </c>
      <c r="D8" s="1710">
        <f t="shared" ref="D8:K8" si="0">SUM(D4:D7)</f>
        <v>330366</v>
      </c>
      <c r="E8" s="1710">
        <f t="shared" si="0"/>
        <v>386860</v>
      </c>
      <c r="F8" s="1710">
        <f t="shared" si="0"/>
        <v>214733</v>
      </c>
      <c r="G8" s="1710">
        <f t="shared" si="0"/>
        <v>187321</v>
      </c>
      <c r="H8" s="1710">
        <f t="shared" si="0"/>
        <v>0</v>
      </c>
      <c r="I8" s="1710">
        <f t="shared" si="0"/>
        <v>47919</v>
      </c>
      <c r="J8" s="1710">
        <f t="shared" si="0"/>
        <v>238843</v>
      </c>
      <c r="K8" s="1710">
        <f t="shared" si="0"/>
        <v>83193</v>
      </c>
      <c r="L8" s="347"/>
    </row>
    <row r="9" spans="1:13" ht="15.75" thickTop="1" x14ac:dyDescent="0.2">
      <c r="A9" s="514" t="s">
        <v>1752</v>
      </c>
      <c r="B9" s="515">
        <v>3998</v>
      </c>
      <c r="C9" s="481">
        <v>1383282</v>
      </c>
      <c r="D9" s="516"/>
      <c r="E9" s="481"/>
      <c r="F9" s="481"/>
      <c r="G9" s="517"/>
      <c r="H9" s="481"/>
      <c r="I9" s="509" t="s">
        <v>1231</v>
      </c>
      <c r="J9" s="478"/>
      <c r="K9" s="481"/>
      <c r="L9" s="347"/>
    </row>
    <row r="10" spans="1:13" s="519" customFormat="1" ht="13.5" thickBot="1" x14ac:dyDescent="0.25">
      <c r="A10" s="1758" t="s">
        <v>1235</v>
      </c>
      <c r="B10" s="1731"/>
      <c r="C10" s="1710">
        <f>SUM(C8:C9)</f>
        <v>5015276</v>
      </c>
      <c r="D10" s="1710">
        <f t="shared" ref="D10:K10" si="1">SUM(D8:D9)</f>
        <v>330366</v>
      </c>
      <c r="E10" s="1710">
        <f t="shared" si="1"/>
        <v>386860</v>
      </c>
      <c r="F10" s="1710">
        <f t="shared" si="1"/>
        <v>214733</v>
      </c>
      <c r="G10" s="1710">
        <f t="shared" si="1"/>
        <v>187321</v>
      </c>
      <c r="H10" s="1710">
        <f t="shared" si="1"/>
        <v>0</v>
      </c>
      <c r="I10" s="1710">
        <f t="shared" si="1"/>
        <v>47919</v>
      </c>
      <c r="J10" s="1710">
        <f t="shared" si="1"/>
        <v>238843</v>
      </c>
      <c r="K10" s="1710">
        <f t="shared" si="1"/>
        <v>83193</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2255450</v>
      </c>
      <c r="D12" s="520" t="s">
        <v>1231</v>
      </c>
      <c r="E12" s="468" t="s">
        <v>1231</v>
      </c>
      <c r="F12" s="468" t="s">
        <v>1231</v>
      </c>
      <c r="G12" s="1764">
        <f>'Expenditures 15-22'!K229</f>
        <v>59623</v>
      </c>
      <c r="H12" s="521"/>
      <c r="I12" s="468" t="s">
        <v>1231</v>
      </c>
      <c r="J12" s="468" t="s">
        <v>1231</v>
      </c>
      <c r="K12" s="521" t="s">
        <v>1231</v>
      </c>
      <c r="L12" s="347"/>
    </row>
    <row r="13" spans="1:13" ht="15.75" customHeight="1" x14ac:dyDescent="0.2">
      <c r="A13" s="1598" t="s">
        <v>477</v>
      </c>
      <c r="B13" s="1600">
        <v>2000</v>
      </c>
      <c r="C13" s="1765">
        <f>'Expenditures 15-22'!K74</f>
        <v>681943</v>
      </c>
      <c r="D13" s="1765">
        <f>'Expenditures 15-22'!K129</f>
        <v>424593</v>
      </c>
      <c r="E13" s="469" t="s">
        <v>1231</v>
      </c>
      <c r="F13" s="1765">
        <f>'Expenditures 15-22'!K184</f>
        <v>144557</v>
      </c>
      <c r="G13" s="1765">
        <f>'Expenditures 15-22'!K279</f>
        <v>82231</v>
      </c>
      <c r="H13" s="1765">
        <f>'Expenditures 15-22'!K303</f>
        <v>0</v>
      </c>
      <c r="I13" s="468" t="s">
        <v>1231</v>
      </c>
      <c r="J13" s="1765">
        <f>'Expenditures 15-22'!K330</f>
        <v>229725</v>
      </c>
      <c r="K13" s="1769">
        <f>'Expenditures 15-22'!K352</f>
        <v>1231129</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333302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375245</v>
      </c>
      <c r="F16" s="1765">
        <f>'Expenditures 15-22'!K208</f>
        <v>56957</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3270695</v>
      </c>
      <c r="D17" s="1710">
        <f t="shared" si="2"/>
        <v>424593</v>
      </c>
      <c r="E17" s="1710">
        <f t="shared" si="2"/>
        <v>375245</v>
      </c>
      <c r="F17" s="1710">
        <f t="shared" si="2"/>
        <v>201514</v>
      </c>
      <c r="G17" s="1710">
        <f t="shared" si="2"/>
        <v>141854</v>
      </c>
      <c r="H17" s="1710">
        <f t="shared" si="2"/>
        <v>0</v>
      </c>
      <c r="I17" s="468"/>
      <c r="J17" s="1710">
        <f>SUM(J12:J16)</f>
        <v>229725</v>
      </c>
      <c r="K17" s="1710">
        <f>SUM(K12:K16)</f>
        <v>1231129</v>
      </c>
      <c r="L17" s="347"/>
    </row>
    <row r="18" spans="1:12" ht="15" customHeight="1" thickTop="1" x14ac:dyDescent="0.2">
      <c r="A18" s="1766" t="s">
        <v>1753</v>
      </c>
      <c r="B18" s="1767">
        <v>4180</v>
      </c>
      <c r="C18" s="1764">
        <f t="shared" ref="C18:H18" si="3">C9</f>
        <v>1383282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4653977</v>
      </c>
      <c r="D19" s="1710">
        <f t="shared" si="4"/>
        <v>424593</v>
      </c>
      <c r="E19" s="1710">
        <f t="shared" si="4"/>
        <v>375245</v>
      </c>
      <c r="F19" s="1710">
        <f t="shared" si="4"/>
        <v>201514</v>
      </c>
      <c r="G19" s="1710">
        <f t="shared" si="4"/>
        <v>141854</v>
      </c>
      <c r="H19" s="1710">
        <f t="shared" si="4"/>
        <v>0</v>
      </c>
      <c r="I19" s="468"/>
      <c r="J19" s="1710">
        <f>SUM(J17:J18)</f>
        <v>229725</v>
      </c>
      <c r="K19" s="1710">
        <f>SUM(K17:K18)</f>
        <v>1231129</v>
      </c>
      <c r="L19" s="347"/>
    </row>
    <row r="20" spans="1:12" ht="16.5" thickTop="1" thickBot="1" x14ac:dyDescent="0.25">
      <c r="A20" s="2144" t="s">
        <v>1754</v>
      </c>
      <c r="B20" s="2145"/>
      <c r="C20" s="1768">
        <f>C8-C17</f>
        <v>361299</v>
      </c>
      <c r="D20" s="1768">
        <f t="shared" ref="D20:K20" si="5">D8-D17</f>
        <v>-94227</v>
      </c>
      <c r="E20" s="1768">
        <f t="shared" si="5"/>
        <v>11615</v>
      </c>
      <c r="F20" s="1768">
        <f t="shared" si="5"/>
        <v>13219</v>
      </c>
      <c r="G20" s="1768">
        <f t="shared" si="5"/>
        <v>45467</v>
      </c>
      <c r="H20" s="1768">
        <f t="shared" si="5"/>
        <v>0</v>
      </c>
      <c r="I20" s="1768">
        <f t="shared" si="5"/>
        <v>47919</v>
      </c>
      <c r="J20" s="1768">
        <f t="shared" si="5"/>
        <v>9118</v>
      </c>
      <c r="K20" s="1768">
        <f t="shared" si="5"/>
        <v>-1147936</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361299</v>
      </c>
      <c r="D78" s="1724">
        <f t="shared" si="9"/>
        <v>-94227</v>
      </c>
      <c r="E78" s="1724">
        <f t="shared" si="9"/>
        <v>11615</v>
      </c>
      <c r="F78" s="1724">
        <f t="shared" si="9"/>
        <v>13219</v>
      </c>
      <c r="G78" s="1724">
        <f t="shared" si="9"/>
        <v>45467</v>
      </c>
      <c r="H78" s="1724">
        <f t="shared" si="9"/>
        <v>0</v>
      </c>
      <c r="I78" s="1724">
        <f t="shared" si="9"/>
        <v>47919</v>
      </c>
      <c r="J78" s="1724">
        <f t="shared" si="9"/>
        <v>9118</v>
      </c>
      <c r="K78" s="1724">
        <f t="shared" si="9"/>
        <v>-1147936</v>
      </c>
      <c r="L78" s="533"/>
    </row>
    <row r="79" spans="1:12" ht="13.5" thickTop="1" x14ac:dyDescent="0.2">
      <c r="A79" s="1516" t="s">
        <v>2071</v>
      </c>
      <c r="B79" s="534"/>
      <c r="C79" s="478">
        <v>558859</v>
      </c>
      <c r="D79" s="535">
        <v>120165</v>
      </c>
      <c r="E79" s="535">
        <v>108457</v>
      </c>
      <c r="F79" s="535">
        <v>315918</v>
      </c>
      <c r="G79" s="535">
        <v>355423</v>
      </c>
      <c r="H79" s="535"/>
      <c r="I79" s="535">
        <v>105220</v>
      </c>
      <c r="J79" s="535">
        <v>98209</v>
      </c>
      <c r="K79" s="535">
        <v>2937134</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920158</v>
      </c>
      <c r="D81" s="1710">
        <f>SUM(D78:D80)</f>
        <v>25938</v>
      </c>
      <c r="E81" s="1710">
        <f t="shared" ref="E81:K81" si="10">SUM(E78:E80)</f>
        <v>120072</v>
      </c>
      <c r="F81" s="1710">
        <f t="shared" si="10"/>
        <v>329137</v>
      </c>
      <c r="G81" s="1710">
        <f t="shared" si="10"/>
        <v>400890</v>
      </c>
      <c r="H81" s="1710">
        <f t="shared" si="10"/>
        <v>0</v>
      </c>
      <c r="I81" s="1710">
        <f t="shared" si="10"/>
        <v>153139</v>
      </c>
      <c r="J81" s="1710">
        <f t="shared" si="10"/>
        <v>107327</v>
      </c>
      <c r="K81" s="1710">
        <f t="shared" si="10"/>
        <v>1789198</v>
      </c>
      <c r="L81" s="347"/>
    </row>
    <row r="82" spans="1:12" ht="0.75" customHeight="1" thickTop="1" thickBot="1" x14ac:dyDescent="0.25">
      <c r="A82" s="536" t="s">
        <v>361</v>
      </c>
      <c r="B82" s="537"/>
      <c r="C82" s="538">
        <f>(C81-C79)</f>
        <v>361299</v>
      </c>
      <c r="D82" s="538">
        <f t="shared" ref="D82:K82" si="11">(D81-D79)</f>
        <v>-94227</v>
      </c>
      <c r="E82" s="538">
        <f t="shared" si="11"/>
        <v>11615</v>
      </c>
      <c r="F82" s="538">
        <f t="shared" si="11"/>
        <v>13219</v>
      </c>
      <c r="G82" s="538">
        <f t="shared" si="11"/>
        <v>45467</v>
      </c>
      <c r="H82" s="538">
        <f t="shared" si="11"/>
        <v>0</v>
      </c>
      <c r="I82" s="538">
        <f t="shared" si="11"/>
        <v>47919</v>
      </c>
      <c r="J82" s="538">
        <f t="shared" si="11"/>
        <v>9118</v>
      </c>
      <c r="K82" s="538">
        <f t="shared" si="11"/>
        <v>-1147936</v>
      </c>
    </row>
    <row r="83" spans="1:12" ht="14.25" hidden="1" thickTop="1" thickBot="1" x14ac:dyDescent="0.25">
      <c r="A83" s="539" t="s">
        <v>362</v>
      </c>
      <c r="B83" s="464"/>
      <c r="C83" s="540">
        <f>C82/C81</f>
        <v>0.39264887117212477</v>
      </c>
      <c r="D83" s="540">
        <f t="shared" ref="D83:K83" si="12">D82/D81</f>
        <v>-3.6327781633125142</v>
      </c>
      <c r="E83" s="540">
        <f t="shared" si="12"/>
        <v>9.6733626490772204E-2</v>
      </c>
      <c r="F83" s="540">
        <f t="shared" si="12"/>
        <v>4.0162607060281887E-2</v>
      </c>
      <c r="G83" s="540">
        <f t="shared" si="12"/>
        <v>0.11341515128838335</v>
      </c>
      <c r="H83" s="540" t="e">
        <f t="shared" si="12"/>
        <v>#DIV/0!</v>
      </c>
      <c r="I83" s="540">
        <f t="shared" si="12"/>
        <v>0.31291179908449185</v>
      </c>
      <c r="J83" s="540">
        <f t="shared" si="12"/>
        <v>8.4955323450762621E-2</v>
      </c>
      <c r="K83" s="540">
        <f t="shared" si="12"/>
        <v>-0.64159249004302488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13" sqref="A13:H13"/>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867271</v>
      </c>
      <c r="D5" s="481">
        <v>236323</v>
      </c>
      <c r="E5" s="466">
        <v>375583</v>
      </c>
      <c r="F5" s="548">
        <v>113435</v>
      </c>
      <c r="G5" s="466">
        <v>115351</v>
      </c>
      <c r="H5" s="466"/>
      <c r="I5" s="466">
        <v>47265</v>
      </c>
      <c r="J5" s="467">
        <v>236729</v>
      </c>
      <c r="K5" s="466">
        <v>47265</v>
      </c>
    </row>
    <row r="6" spans="1:12" ht="15" x14ac:dyDescent="0.2">
      <c r="A6" s="463" t="s">
        <v>1761</v>
      </c>
      <c r="B6" s="470">
        <v>1130</v>
      </c>
      <c r="C6" s="466">
        <v>47265</v>
      </c>
      <c r="D6" s="466"/>
      <c r="E6" s="475"/>
      <c r="F6" s="475"/>
      <c r="G6" s="468"/>
      <c r="H6" s="468"/>
      <c r="I6" s="468"/>
      <c r="J6" s="468"/>
      <c r="K6" s="468"/>
    </row>
    <row r="7" spans="1:12" x14ac:dyDescent="0.2">
      <c r="A7" s="463" t="s">
        <v>112</v>
      </c>
      <c r="B7" s="549">
        <v>1140</v>
      </c>
      <c r="C7" s="466">
        <v>18906</v>
      </c>
      <c r="D7" s="466"/>
      <c r="E7" s="468"/>
      <c r="F7" s="467"/>
      <c r="G7" s="467"/>
      <c r="H7" s="467"/>
      <c r="I7" s="468"/>
      <c r="J7" s="468"/>
      <c r="K7" s="468"/>
    </row>
    <row r="8" spans="1:12" x14ac:dyDescent="0.2">
      <c r="A8" s="463" t="s">
        <v>433</v>
      </c>
      <c r="B8" s="470">
        <v>1150</v>
      </c>
      <c r="C8" s="475"/>
      <c r="D8" s="475"/>
      <c r="E8" s="477"/>
      <c r="F8" s="477"/>
      <c r="G8" s="481">
        <v>64194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933442</v>
      </c>
      <c r="D12" s="1729">
        <f t="shared" si="0"/>
        <v>236323</v>
      </c>
      <c r="E12" s="1729">
        <f t="shared" si="0"/>
        <v>375583</v>
      </c>
      <c r="F12" s="1729">
        <f t="shared" si="0"/>
        <v>113435</v>
      </c>
      <c r="G12" s="1729">
        <f t="shared" si="0"/>
        <v>179545</v>
      </c>
      <c r="H12" s="1729">
        <f t="shared" si="0"/>
        <v>0</v>
      </c>
      <c r="I12" s="1729">
        <f t="shared" si="0"/>
        <v>47265</v>
      </c>
      <c r="J12" s="1729">
        <f t="shared" si="0"/>
        <v>236729</v>
      </c>
      <c r="K12" s="1710">
        <f t="shared" si="0"/>
        <v>47265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7294</v>
      </c>
      <c r="D14" s="466">
        <v>1842</v>
      </c>
      <c r="E14" s="466">
        <v>2924</v>
      </c>
      <c r="F14" s="466">
        <v>884</v>
      </c>
      <c r="G14" s="466">
        <v>1398</v>
      </c>
      <c r="H14" s="466"/>
      <c r="I14" s="466">
        <v>368</v>
      </c>
      <c r="J14" s="467">
        <v>1844</v>
      </c>
      <c r="K14" s="466">
        <v>368</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88315</v>
      </c>
      <c r="D16" s="466"/>
      <c r="E16" s="466"/>
      <c r="F16" s="466"/>
      <c r="G16" s="466">
        <v>5537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95609</v>
      </c>
      <c r="D18" s="1732">
        <f t="shared" ref="D18:K18" si="1">SUM(D14:D17)</f>
        <v>1842</v>
      </c>
      <c r="E18" s="1732">
        <f t="shared" si="1"/>
        <v>2924</v>
      </c>
      <c r="F18" s="1732">
        <f t="shared" si="1"/>
        <v>884</v>
      </c>
      <c r="G18" s="1732">
        <f t="shared" si="1"/>
        <v>6935</v>
      </c>
      <c r="H18" s="1732">
        <f t="shared" si="1"/>
        <v>0</v>
      </c>
      <c r="I18" s="1732">
        <f t="shared" si="1"/>
        <v>368</v>
      </c>
      <c r="J18" s="1732">
        <f t="shared" si="1"/>
        <v>1844</v>
      </c>
      <c r="K18" s="1733">
        <f t="shared" si="1"/>
        <v>368</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3348</v>
      </c>
      <c r="D65" s="466">
        <v>234</v>
      </c>
      <c r="E65" s="466">
        <v>256</v>
      </c>
      <c r="F65" s="467">
        <v>651</v>
      </c>
      <c r="G65" s="466">
        <v>841</v>
      </c>
      <c r="H65" s="466"/>
      <c r="I65" s="466">
        <v>286</v>
      </c>
      <c r="J65" s="467">
        <v>270</v>
      </c>
      <c r="K65" s="466">
        <v>35560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3348</v>
      </c>
      <c r="D67" s="1710">
        <f t="shared" ref="D67:K67" si="2">SUM(D65:D66)</f>
        <v>234</v>
      </c>
      <c r="E67" s="1710">
        <f t="shared" si="2"/>
        <v>256</v>
      </c>
      <c r="F67" s="1710">
        <f t="shared" si="2"/>
        <v>651</v>
      </c>
      <c r="G67" s="1710">
        <f t="shared" si="2"/>
        <v>841</v>
      </c>
      <c r="H67" s="1710">
        <f t="shared" si="2"/>
        <v>0</v>
      </c>
      <c r="I67" s="1710">
        <f t="shared" si="2"/>
        <v>286</v>
      </c>
      <c r="J67" s="1710">
        <f t="shared" si="2"/>
        <v>270</v>
      </c>
      <c r="K67" s="1710">
        <f t="shared" si="2"/>
        <v>35560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6773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5368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12141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32926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16345</v>
      </c>
      <c r="D81" s="466"/>
      <c r="E81" s="468"/>
      <c r="F81" s="468"/>
      <c r="G81" s="468"/>
      <c r="H81" s="468"/>
      <c r="I81" s="468"/>
      <c r="J81" s="468"/>
      <c r="K81" s="468"/>
    </row>
    <row r="82" spans="1:11" ht="12.75" customHeight="1" thickBot="1" x14ac:dyDescent="0.25">
      <c r="A82" s="1730" t="s">
        <v>259</v>
      </c>
      <c r="B82" s="1731"/>
      <c r="C82" s="1729">
        <f>SUM(C77:C81)</f>
        <v>49271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26244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26244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275</v>
      </c>
      <c r="E95" s="521"/>
      <c r="F95" s="521"/>
      <c r="G95" s="521"/>
      <c r="H95" s="521"/>
      <c r="I95" s="521"/>
      <c r="J95" s="521"/>
      <c r="K95" s="521"/>
    </row>
    <row r="96" spans="1:11" ht="12.75" customHeight="1" x14ac:dyDescent="0.2">
      <c r="A96" s="463" t="s">
        <v>409</v>
      </c>
      <c r="B96" s="470">
        <v>1920</v>
      </c>
      <c r="C96" s="551">
        <v>4804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1222</v>
      </c>
      <c r="D98" s="466"/>
      <c r="E98" s="512"/>
      <c r="F98" s="466">
        <v>6408</v>
      </c>
      <c r="G98" s="512"/>
      <c r="H98" s="512"/>
      <c r="I98" s="510"/>
      <c r="J98" s="512"/>
      <c r="K98" s="512"/>
    </row>
    <row r="99" spans="1:12" ht="12.75" customHeight="1" x14ac:dyDescent="0.2">
      <c r="A99" s="463" t="s">
        <v>875</v>
      </c>
      <c r="B99" s="470">
        <v>1950</v>
      </c>
      <c r="C99" s="489">
        <v>11319</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8097</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48811</v>
      </c>
      <c r="D107" s="466">
        <v>4016</v>
      </c>
      <c r="E107" s="466"/>
      <c r="F107" s="466">
        <v>120</v>
      </c>
      <c r="G107" s="466"/>
      <c r="H107" s="466"/>
      <c r="I107" s="466"/>
      <c r="J107" s="467"/>
      <c r="K107" s="466"/>
    </row>
    <row r="108" spans="1:12" ht="12.75" customHeight="1" thickBot="1" x14ac:dyDescent="0.25">
      <c r="A108" s="1730" t="s">
        <v>508</v>
      </c>
      <c r="B108" s="1734"/>
      <c r="C108" s="1729">
        <f>SUM(C95:C107)</f>
        <v>66156</v>
      </c>
      <c r="D108" s="1729">
        <f t="shared" ref="D108:K108" si="3">SUM(D95:D107)</f>
        <v>4291</v>
      </c>
      <c r="E108" s="1729">
        <f t="shared" si="3"/>
        <v>8097</v>
      </c>
      <c r="F108" s="1729">
        <f t="shared" si="3"/>
        <v>6528</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1186211</v>
      </c>
      <c r="D109" s="1737">
        <f t="shared" si="4"/>
        <v>242690</v>
      </c>
      <c r="E109" s="1737">
        <f t="shared" si="4"/>
        <v>386860</v>
      </c>
      <c r="F109" s="1737">
        <f t="shared" si="4"/>
        <v>121498</v>
      </c>
      <c r="G109" s="1737">
        <f t="shared" si="4"/>
        <v>187321</v>
      </c>
      <c r="H109" s="1737">
        <f t="shared" si="4"/>
        <v>0</v>
      </c>
      <c r="I109" s="1737">
        <f t="shared" si="4"/>
        <v>47919</v>
      </c>
      <c r="J109" s="1737">
        <f t="shared" si="4"/>
        <v>238843</v>
      </c>
      <c r="K109" s="1724">
        <f t="shared" si="4"/>
        <v>83193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2102560</v>
      </c>
      <c r="D117" s="481">
        <v>87676</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2102560</v>
      </c>
      <c r="D121" s="1729">
        <f t="shared" si="5"/>
        <v>87676</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29328</v>
      </c>
      <c r="D125" s="561"/>
      <c r="E125" s="468"/>
      <c r="F125" s="466"/>
      <c r="G125" s="468"/>
      <c r="H125" s="468"/>
      <c r="I125" s="468"/>
      <c r="J125" s="468"/>
      <c r="K125" s="468"/>
    </row>
    <row r="126" spans="1:11" ht="12.75" customHeight="1" x14ac:dyDescent="0.2">
      <c r="A126" s="463" t="s">
        <v>922</v>
      </c>
      <c r="B126" s="562">
        <v>3110</v>
      </c>
      <c r="C126" s="551">
        <v>31918</v>
      </c>
      <c r="D126" s="466"/>
      <c r="E126" s="468"/>
      <c r="F126" s="466"/>
      <c r="G126" s="468"/>
      <c r="H126" s="468"/>
      <c r="I126" s="468"/>
      <c r="J126" s="468"/>
      <c r="K126" s="468"/>
    </row>
    <row r="127" spans="1:11" ht="12.75" customHeight="1" x14ac:dyDescent="0.2">
      <c r="A127" s="463" t="s">
        <v>107</v>
      </c>
      <c r="B127" s="562">
        <v>3120</v>
      </c>
      <c r="C127" s="466">
        <v>25244</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86490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28977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15209</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44186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508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22294</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27939</v>
      </c>
      <c r="G151" s="467"/>
      <c r="H151" s="468"/>
      <c r="I151" s="468"/>
      <c r="J151" s="468"/>
      <c r="K151" s="468"/>
    </row>
    <row r="152" spans="1:11" ht="12.75" customHeight="1" x14ac:dyDescent="0.2">
      <c r="A152" s="463" t="s">
        <v>1117</v>
      </c>
      <c r="B152" s="562">
        <v>3510</v>
      </c>
      <c r="C152" s="551"/>
      <c r="D152" s="466"/>
      <c r="E152" s="561"/>
      <c r="F152" s="466">
        <v>65296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93235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154978</v>
      </c>
      <c r="D172" s="1744">
        <f t="shared" si="6"/>
        <v>0</v>
      </c>
      <c r="E172" s="1744">
        <f t="shared" si="6"/>
        <v>0</v>
      </c>
      <c r="F172" s="1744">
        <f t="shared" si="6"/>
        <v>93235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2257538</v>
      </c>
      <c r="D173" s="1737">
        <f>SUM(D121,D172)</f>
        <v>87676</v>
      </c>
      <c r="E173" s="1737">
        <f>SUM(E121,E172)</f>
        <v>0</v>
      </c>
      <c r="F173" s="1737">
        <f t="shared" ref="F173:K173" si="7">SUM(F121,F172)</f>
        <v>93235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23092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8842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31934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84380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84380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550</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550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14311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57070</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188245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188245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3631994</v>
      </c>
      <c r="D275" s="1737">
        <f t="shared" si="12"/>
        <v>330366</v>
      </c>
      <c r="E275" s="1737">
        <f t="shared" si="12"/>
        <v>386860</v>
      </c>
      <c r="F275" s="1737">
        <f t="shared" si="12"/>
        <v>214733</v>
      </c>
      <c r="G275" s="1737">
        <f t="shared" si="12"/>
        <v>187321</v>
      </c>
      <c r="H275" s="1737">
        <f t="shared" si="12"/>
        <v>0</v>
      </c>
      <c r="I275" s="1737">
        <f t="shared" si="12"/>
        <v>47919</v>
      </c>
      <c r="J275" s="1737">
        <f t="shared" si="12"/>
        <v>238843</v>
      </c>
      <c r="K275" s="1724">
        <f t="shared" si="12"/>
        <v>83193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&amp;CThe notes to the financial statements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66" activePane="bottomLeft" state="frozen"/>
      <selection activeCell="A13" sqref="A13:H13"/>
      <selection pane="bottomLeft" activeCell="A13" sqref="A13:H1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917491</v>
      </c>
      <c r="D5" s="466">
        <v>218591</v>
      </c>
      <c r="E5" s="466">
        <v>41032</v>
      </c>
      <c r="F5" s="466">
        <v>58301</v>
      </c>
      <c r="G5" s="466">
        <v>16250</v>
      </c>
      <c r="H5" s="466"/>
      <c r="I5" s="467"/>
      <c r="J5" s="467"/>
      <c r="K5" s="1693">
        <f>SUM(C5:J5)</f>
        <v>1251665</v>
      </c>
      <c r="L5" s="466">
        <v>1237493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321017</v>
      </c>
      <c r="D8" s="466">
        <v>33859</v>
      </c>
      <c r="E8" s="466">
        <v>746</v>
      </c>
      <c r="F8" s="466">
        <v>501</v>
      </c>
      <c r="G8" s="466"/>
      <c r="H8" s="466"/>
      <c r="I8" s="467"/>
      <c r="J8" s="467"/>
      <c r="K8" s="1693">
        <f t="shared" si="0"/>
        <v>356123</v>
      </c>
      <c r="L8" s="466">
        <v>404010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86447</v>
      </c>
      <c r="D10" s="466">
        <v>43688</v>
      </c>
      <c r="E10" s="466">
        <v>3983</v>
      </c>
      <c r="F10" s="466"/>
      <c r="G10" s="466"/>
      <c r="H10" s="466"/>
      <c r="I10" s="467"/>
      <c r="J10" s="467"/>
      <c r="K10" s="1693">
        <f t="shared" si="0"/>
        <v>134118</v>
      </c>
      <c r="L10" s="466">
        <v>99075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258379</v>
      </c>
      <c r="D13" s="466">
        <v>64088</v>
      </c>
      <c r="E13" s="466">
        <v>2635</v>
      </c>
      <c r="F13" s="466">
        <v>7454</v>
      </c>
      <c r="G13" s="466">
        <v>2786</v>
      </c>
      <c r="H13" s="466"/>
      <c r="I13" s="467"/>
      <c r="J13" s="467"/>
      <c r="K13" s="1693">
        <f t="shared" si="0"/>
        <v>335342</v>
      </c>
      <c r="L13" s="466">
        <v>319325</v>
      </c>
    </row>
    <row r="14" spans="1:14" x14ac:dyDescent="0.2">
      <c r="A14" s="1526" t="s">
        <v>1020</v>
      </c>
      <c r="B14" s="615">
        <v>1500</v>
      </c>
      <c r="C14" s="466">
        <v>105323</v>
      </c>
      <c r="D14" s="466">
        <v>13917</v>
      </c>
      <c r="E14" s="466">
        <v>25879</v>
      </c>
      <c r="F14" s="466">
        <v>24002</v>
      </c>
      <c r="G14" s="466"/>
      <c r="H14" s="466">
        <v>9081</v>
      </c>
      <c r="I14" s="467"/>
      <c r="J14" s="467"/>
      <c r="K14" s="1693">
        <f t="shared" si="0"/>
        <v>178202</v>
      </c>
      <c r="L14" s="466">
        <v>177840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1688657</v>
      </c>
      <c r="D33" s="1692">
        <f t="shared" ref="D33:L33" si="1">SUM(D5:D32)</f>
        <v>374143</v>
      </c>
      <c r="E33" s="1692">
        <f t="shared" si="1"/>
        <v>74275</v>
      </c>
      <c r="F33" s="1692">
        <f t="shared" si="1"/>
        <v>90258</v>
      </c>
      <c r="G33" s="1692">
        <f t="shared" si="1"/>
        <v>19036</v>
      </c>
      <c r="H33" s="1692">
        <f t="shared" si="1"/>
        <v>9081</v>
      </c>
      <c r="I33" s="1692">
        <f t="shared" si="1"/>
        <v>0</v>
      </c>
      <c r="J33" s="1692">
        <f t="shared" si="1"/>
        <v>0</v>
      </c>
      <c r="K33" s="1692">
        <f t="shared" si="1"/>
        <v>2255450</v>
      </c>
      <c r="L33" s="1692">
        <f t="shared" si="1"/>
        <v>2237743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122948</v>
      </c>
      <c r="D37" s="466">
        <v>22635</v>
      </c>
      <c r="E37" s="466">
        <v>9786</v>
      </c>
      <c r="F37" s="466">
        <v>305</v>
      </c>
      <c r="G37" s="466"/>
      <c r="H37" s="466"/>
      <c r="I37" s="467"/>
      <c r="J37" s="467"/>
      <c r="K37" s="1693">
        <f t="shared" si="2"/>
        <v>155674</v>
      </c>
      <c r="L37" s="466">
        <v>156000</v>
      </c>
    </row>
    <row r="38" spans="1:14" x14ac:dyDescent="0.2">
      <c r="A38" s="1526" t="s">
        <v>207</v>
      </c>
      <c r="B38" s="615">
        <v>2130</v>
      </c>
      <c r="C38" s="466">
        <v>24576</v>
      </c>
      <c r="D38" s="466">
        <v>5643</v>
      </c>
      <c r="E38" s="466">
        <v>298</v>
      </c>
      <c r="F38" s="466">
        <v>875</v>
      </c>
      <c r="G38" s="466"/>
      <c r="H38" s="466"/>
      <c r="I38" s="467"/>
      <c r="J38" s="467"/>
      <c r="K38" s="1693">
        <f t="shared" si="2"/>
        <v>31392</v>
      </c>
      <c r="L38" s="466">
        <v>31735</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147524</v>
      </c>
      <c r="D42" s="1692">
        <f t="shared" ref="D42:L42" si="3">SUM(D36:D41)</f>
        <v>28278</v>
      </c>
      <c r="E42" s="1692">
        <f t="shared" si="3"/>
        <v>10084</v>
      </c>
      <c r="F42" s="1692">
        <f t="shared" si="3"/>
        <v>1180</v>
      </c>
      <c r="G42" s="1692">
        <f t="shared" si="3"/>
        <v>0</v>
      </c>
      <c r="H42" s="1692">
        <f t="shared" si="3"/>
        <v>0</v>
      </c>
      <c r="I42" s="1692">
        <f t="shared" si="3"/>
        <v>0</v>
      </c>
      <c r="J42" s="1692">
        <f t="shared" si="3"/>
        <v>0</v>
      </c>
      <c r="K42" s="1692">
        <f t="shared" si="3"/>
        <v>187066</v>
      </c>
      <c r="L42" s="1692">
        <f t="shared" si="3"/>
        <v>187735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4876</v>
      </c>
      <c r="D44" s="481">
        <v>937</v>
      </c>
      <c r="E44" s="481">
        <v>794</v>
      </c>
      <c r="F44" s="481"/>
      <c r="G44" s="481"/>
      <c r="H44" s="481"/>
      <c r="I44" s="467"/>
      <c r="J44" s="467"/>
      <c r="K44" s="1694">
        <f>SUM(C44:J44)</f>
        <v>6607</v>
      </c>
      <c r="L44" s="481"/>
    </row>
    <row r="45" spans="1:14" x14ac:dyDescent="0.2">
      <c r="A45" s="1526" t="s">
        <v>869</v>
      </c>
      <c r="B45" s="615">
        <v>2220</v>
      </c>
      <c r="C45" s="466"/>
      <c r="D45" s="466"/>
      <c r="E45" s="466">
        <v>1817</v>
      </c>
      <c r="F45" s="466">
        <v>2146</v>
      </c>
      <c r="G45" s="466"/>
      <c r="H45" s="466"/>
      <c r="I45" s="467"/>
      <c r="J45" s="467"/>
      <c r="K45" s="1694">
        <f>SUM(C45:J45)</f>
        <v>3963</v>
      </c>
      <c r="L45" s="466">
        <v>3970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4876</v>
      </c>
      <c r="D47" s="1692">
        <f t="shared" ref="D47:K47" si="4">SUM(D44:D46)</f>
        <v>937</v>
      </c>
      <c r="E47" s="1692">
        <f t="shared" si="4"/>
        <v>2611</v>
      </c>
      <c r="F47" s="1692">
        <f t="shared" si="4"/>
        <v>2146</v>
      </c>
      <c r="G47" s="1692">
        <f t="shared" si="4"/>
        <v>0</v>
      </c>
      <c r="H47" s="1692">
        <f t="shared" si="4"/>
        <v>0</v>
      </c>
      <c r="I47" s="1692">
        <f t="shared" si="4"/>
        <v>0</v>
      </c>
      <c r="J47" s="1692">
        <f t="shared" si="4"/>
        <v>0</v>
      </c>
      <c r="K47" s="1692">
        <f t="shared" si="4"/>
        <v>10570</v>
      </c>
      <c r="L47" s="1692">
        <f>SUM(L44:L46)</f>
        <v>3970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2450</v>
      </c>
      <c r="D49" s="481"/>
      <c r="E49" s="481">
        <v>19978</v>
      </c>
      <c r="F49" s="481"/>
      <c r="G49" s="481">
        <v>16802</v>
      </c>
      <c r="H49" s="481">
        <v>10724</v>
      </c>
      <c r="I49" s="467"/>
      <c r="J49" s="467"/>
      <c r="K49" s="1694">
        <f>SUM(C49:J49)</f>
        <v>49954</v>
      </c>
      <c r="L49" s="481">
        <v>50525</v>
      </c>
    </row>
    <row r="50" spans="1:14" x14ac:dyDescent="0.2">
      <c r="A50" s="1526" t="s">
        <v>872</v>
      </c>
      <c r="B50" s="615">
        <v>2320</v>
      </c>
      <c r="C50" s="466">
        <v>90174</v>
      </c>
      <c r="D50" s="466">
        <v>17510</v>
      </c>
      <c r="E50" s="466">
        <v>1019</v>
      </c>
      <c r="F50" s="466">
        <v>133</v>
      </c>
      <c r="G50" s="466"/>
      <c r="H50" s="466">
        <v>851</v>
      </c>
      <c r="I50" s="467"/>
      <c r="J50" s="467"/>
      <c r="K50" s="1694">
        <f>SUM(C50:J50)</f>
        <v>109687</v>
      </c>
      <c r="L50" s="466">
        <v>109900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92624</v>
      </c>
      <c r="D53" s="1692">
        <f t="shared" ref="D53:L53" si="5">SUM(D49:D52)</f>
        <v>17510</v>
      </c>
      <c r="E53" s="1692">
        <f t="shared" si="5"/>
        <v>20997</v>
      </c>
      <c r="F53" s="1692">
        <f t="shared" si="5"/>
        <v>133</v>
      </c>
      <c r="G53" s="1692">
        <f t="shared" si="5"/>
        <v>16802</v>
      </c>
      <c r="H53" s="1692">
        <f t="shared" si="5"/>
        <v>11575</v>
      </c>
      <c r="I53" s="1692">
        <f t="shared" si="5"/>
        <v>0</v>
      </c>
      <c r="J53" s="1692">
        <f t="shared" si="5"/>
        <v>0</v>
      </c>
      <c r="K53" s="1692">
        <f t="shared" si="5"/>
        <v>159641</v>
      </c>
      <c r="L53" s="1692">
        <f t="shared" si="5"/>
        <v>160425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122394</v>
      </c>
      <c r="D55" s="481">
        <v>17560</v>
      </c>
      <c r="E55" s="481">
        <v>27208</v>
      </c>
      <c r="F55" s="481">
        <v>18265</v>
      </c>
      <c r="G55" s="481"/>
      <c r="H55" s="481">
        <v>1049</v>
      </c>
      <c r="I55" s="467"/>
      <c r="J55" s="467"/>
      <c r="K55" s="1694">
        <f>SUM(C55:J55)</f>
        <v>186476</v>
      </c>
      <c r="L55" s="481">
        <v>186694</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122394</v>
      </c>
      <c r="D57" s="1696">
        <f t="shared" ref="D57:K57" si="6">SUM(D55:D56)</f>
        <v>17560</v>
      </c>
      <c r="E57" s="1696">
        <f t="shared" si="6"/>
        <v>27208</v>
      </c>
      <c r="F57" s="1696">
        <f t="shared" si="6"/>
        <v>18265</v>
      </c>
      <c r="G57" s="1696">
        <f t="shared" si="6"/>
        <v>0</v>
      </c>
      <c r="H57" s="1696">
        <f t="shared" si="6"/>
        <v>1049</v>
      </c>
      <c r="I57" s="1696">
        <f t="shared" si="6"/>
        <v>0</v>
      </c>
      <c r="J57" s="1696">
        <f t="shared" si="6"/>
        <v>0</v>
      </c>
      <c r="K57" s="1696">
        <f t="shared" si="6"/>
        <v>186476</v>
      </c>
      <c r="L57" s="1692">
        <f>SUM(L55:L56)</f>
        <v>186694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34758</v>
      </c>
      <c r="D60" s="466">
        <v>6646</v>
      </c>
      <c r="E60" s="466">
        <v>17845</v>
      </c>
      <c r="F60" s="466">
        <v>2057</v>
      </c>
      <c r="G60" s="466"/>
      <c r="H60" s="466"/>
      <c r="I60" s="467"/>
      <c r="J60" s="467"/>
      <c r="K60" s="1694">
        <f t="shared" si="7"/>
        <v>61306</v>
      </c>
      <c r="L60" s="466">
        <v>61650</v>
      </c>
      <c r="M60" s="610"/>
      <c r="N60" s="610"/>
    </row>
    <row r="61" spans="1:14" s="343" customFormat="1" x14ac:dyDescent="0.2">
      <c r="A61" s="1526" t="s">
        <v>206</v>
      </c>
      <c r="B61" s="615">
        <v>2540</v>
      </c>
      <c r="C61" s="466"/>
      <c r="D61" s="466"/>
      <c r="E61" s="466">
        <v>5081</v>
      </c>
      <c r="F61" s="466"/>
      <c r="G61" s="466"/>
      <c r="H61" s="466"/>
      <c r="I61" s="467"/>
      <c r="J61" s="467"/>
      <c r="K61" s="1694">
        <f t="shared" si="7"/>
        <v>5081</v>
      </c>
      <c r="L61" s="466">
        <v>5000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15699</v>
      </c>
      <c r="D63" s="466">
        <v>6142</v>
      </c>
      <c r="E63" s="466">
        <v>435</v>
      </c>
      <c r="F63" s="466">
        <v>49527</v>
      </c>
      <c r="G63" s="466"/>
      <c r="H63" s="466"/>
      <c r="I63" s="467"/>
      <c r="J63" s="467"/>
      <c r="K63" s="1694">
        <f t="shared" si="7"/>
        <v>71803</v>
      </c>
      <c r="L63" s="466">
        <v>70350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50457</v>
      </c>
      <c r="D65" s="1692">
        <f t="shared" ref="D65:L65" si="8">SUM(D59:D64)</f>
        <v>12788</v>
      </c>
      <c r="E65" s="1692">
        <f t="shared" si="8"/>
        <v>23361</v>
      </c>
      <c r="F65" s="1692">
        <f t="shared" si="8"/>
        <v>51584</v>
      </c>
      <c r="G65" s="1692">
        <f t="shared" si="8"/>
        <v>0</v>
      </c>
      <c r="H65" s="1692">
        <f t="shared" si="8"/>
        <v>0</v>
      </c>
      <c r="I65" s="1692">
        <f t="shared" si="8"/>
        <v>0</v>
      </c>
      <c r="J65" s="1692">
        <f t="shared" si="8"/>
        <v>0</v>
      </c>
      <c r="K65" s="1692">
        <f t="shared" si="8"/>
        <v>138190</v>
      </c>
      <c r="L65" s="1692">
        <f t="shared" si="8"/>
        <v>137000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417875</v>
      </c>
      <c r="D74" s="1699">
        <f t="shared" ref="D74:K74" si="10">SUM(D42,D47,D53,D57,D65,D72,D73)</f>
        <v>77073</v>
      </c>
      <c r="E74" s="1699">
        <f t="shared" si="10"/>
        <v>84261</v>
      </c>
      <c r="F74" s="1699">
        <f t="shared" si="10"/>
        <v>73308</v>
      </c>
      <c r="G74" s="1699">
        <f t="shared" si="10"/>
        <v>16802</v>
      </c>
      <c r="H74" s="1699">
        <f t="shared" si="10"/>
        <v>12624</v>
      </c>
      <c r="I74" s="1699">
        <f t="shared" si="10"/>
        <v>0</v>
      </c>
      <c r="J74" s="1699">
        <f t="shared" si="10"/>
        <v>0</v>
      </c>
      <c r="K74" s="1699">
        <f t="shared" si="10"/>
        <v>681943</v>
      </c>
      <c r="L74" s="1699">
        <f>SUM(L42,L47,L53,L57,L65,L72,L73)</f>
        <v>675824</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30365</v>
      </c>
      <c r="F79" s="617"/>
      <c r="G79" s="617"/>
      <c r="H79" s="466">
        <v>302937</v>
      </c>
      <c r="I79" s="477"/>
      <c r="J79" s="477"/>
      <c r="K79" s="1693">
        <f t="shared" si="11"/>
        <v>333302</v>
      </c>
      <c r="L79" s="466">
        <v>354000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30365</v>
      </c>
      <c r="F84" s="617"/>
      <c r="G84" s="617"/>
      <c r="H84" s="1692">
        <f>SUM(H78:H83)</f>
        <v>302937</v>
      </c>
      <c r="I84" s="477"/>
      <c r="J84" s="477"/>
      <c r="K84" s="1692">
        <f>SUM(K78:K83)</f>
        <v>333302</v>
      </c>
      <c r="L84" s="1692">
        <f>SUM(L78:L83)</f>
        <v>354000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30365</v>
      </c>
      <c r="F102" s="617"/>
      <c r="G102" s="617"/>
      <c r="H102" s="1699">
        <f>SUM(H84,H92,H100,H101)</f>
        <v>302937</v>
      </c>
      <c r="I102" s="477"/>
      <c r="J102" s="477"/>
      <c r="K102" s="1699">
        <f>SUM(K84,K92,K100,K101)</f>
        <v>333302</v>
      </c>
      <c r="L102" s="1699">
        <f>SUM(L84,L92,L100,L101)</f>
        <v>354000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2106532</v>
      </c>
      <c r="D114" s="1692">
        <f t="shared" ref="D114:K114" si="13">SUM(D33,D74,D75,D102,D112,D113)</f>
        <v>451216</v>
      </c>
      <c r="E114" s="1692">
        <f t="shared" si="13"/>
        <v>188901</v>
      </c>
      <c r="F114" s="1692">
        <f t="shared" si="13"/>
        <v>163566</v>
      </c>
      <c r="G114" s="1692">
        <f t="shared" si="13"/>
        <v>35838</v>
      </c>
      <c r="H114" s="1692">
        <f>SUM(H33,H74,H75,H102,H112,H113)</f>
        <v>324642</v>
      </c>
      <c r="I114" s="1692">
        <f t="shared" si="13"/>
        <v>0</v>
      </c>
      <c r="J114" s="1692">
        <f t="shared" si="13"/>
        <v>0</v>
      </c>
      <c r="K114" s="1692">
        <f t="shared" si="13"/>
        <v>3270695</v>
      </c>
      <c r="L114" s="1692">
        <f>SUM(L33,L74,L75,L102,L112,L113)</f>
        <v>3267567</v>
      </c>
    </row>
    <row r="115" spans="1:14" ht="13.5" thickTop="1" x14ac:dyDescent="0.2">
      <c r="A115" s="2174" t="s">
        <v>1053</v>
      </c>
      <c r="B115" s="2175"/>
      <c r="C115" s="619"/>
      <c r="D115" s="619"/>
      <c r="E115" s="619"/>
      <c r="F115" s="619"/>
      <c r="G115" s="619"/>
      <c r="H115" s="619"/>
      <c r="I115" s="619"/>
      <c r="J115" s="619"/>
      <c r="K115" s="1706">
        <f>'Revenues 9-14'!C275-'Expenditures 15-22'!K114</f>
        <v>361299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167772</v>
      </c>
      <c r="D124" s="466">
        <v>31311</v>
      </c>
      <c r="E124" s="466">
        <v>185418</v>
      </c>
      <c r="F124" s="466">
        <v>34477</v>
      </c>
      <c r="G124" s="466">
        <v>5615</v>
      </c>
      <c r="H124" s="466"/>
      <c r="I124" s="467"/>
      <c r="J124" s="467"/>
      <c r="K124" s="1692">
        <f>SUM(C124:J124)</f>
        <v>424593</v>
      </c>
      <c r="L124" s="466">
        <v>450700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167772</v>
      </c>
      <c r="D127" s="1692">
        <f t="shared" ref="D127:L127" si="14">SUM(D122:D126)</f>
        <v>31311</v>
      </c>
      <c r="E127" s="1692">
        <f t="shared" si="14"/>
        <v>185418</v>
      </c>
      <c r="F127" s="1692">
        <f t="shared" si="14"/>
        <v>34477</v>
      </c>
      <c r="G127" s="1692">
        <f t="shared" si="14"/>
        <v>5615</v>
      </c>
      <c r="H127" s="1692">
        <f t="shared" si="14"/>
        <v>0</v>
      </c>
      <c r="I127" s="1692">
        <f t="shared" si="14"/>
        <v>0</v>
      </c>
      <c r="J127" s="1692">
        <f t="shared" si="14"/>
        <v>0</v>
      </c>
      <c r="K127" s="1692">
        <f t="shared" si="14"/>
        <v>424593</v>
      </c>
      <c r="L127" s="1692">
        <f t="shared" si="14"/>
        <v>450700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167772</v>
      </c>
      <c r="D129" s="1699">
        <f t="shared" ref="D129:L129" si="15">SUM(D120,D127,D128)</f>
        <v>31311</v>
      </c>
      <c r="E129" s="1699">
        <f t="shared" si="15"/>
        <v>185418</v>
      </c>
      <c r="F129" s="1699">
        <f t="shared" si="15"/>
        <v>34477</v>
      </c>
      <c r="G129" s="1699">
        <f t="shared" si="15"/>
        <v>5615</v>
      </c>
      <c r="H129" s="1699">
        <f t="shared" si="15"/>
        <v>0</v>
      </c>
      <c r="I129" s="1699">
        <f t="shared" si="15"/>
        <v>0</v>
      </c>
      <c r="J129" s="1699">
        <f t="shared" si="15"/>
        <v>0</v>
      </c>
      <c r="K129" s="1699">
        <f t="shared" si="15"/>
        <v>424593</v>
      </c>
      <c r="L129" s="1699">
        <f t="shared" si="15"/>
        <v>450700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3"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167772</v>
      </c>
      <c r="D151" s="1692">
        <f t="shared" ref="D151:K151" si="16">SUM(D129,D130,D139,D149,D150)</f>
        <v>31311</v>
      </c>
      <c r="E151" s="1692">
        <f t="shared" si="16"/>
        <v>185418</v>
      </c>
      <c r="F151" s="1692">
        <f t="shared" si="16"/>
        <v>34477</v>
      </c>
      <c r="G151" s="1692">
        <f t="shared" si="16"/>
        <v>5615</v>
      </c>
      <c r="H151" s="1692">
        <f t="shared" si="16"/>
        <v>0</v>
      </c>
      <c r="I151" s="1692">
        <f t="shared" si="16"/>
        <v>0</v>
      </c>
      <c r="J151" s="1692">
        <f t="shared" si="16"/>
        <v>0</v>
      </c>
      <c r="K151" s="1692">
        <f t="shared" si="16"/>
        <v>424593</v>
      </c>
      <c r="L151" s="1692">
        <f>SUM(L129,L130,L139,L149,L150)</f>
        <v>450700</v>
      </c>
    </row>
    <row r="152" spans="1:14" ht="12.75" customHeight="1" thickTop="1" x14ac:dyDescent="0.2">
      <c r="A152" s="2194" t="s">
        <v>1240</v>
      </c>
      <c r="B152" s="2195"/>
      <c r="C152" s="619"/>
      <c r="D152" s="619"/>
      <c r="E152" s="619"/>
      <c r="F152" s="619"/>
      <c r="G152" s="619"/>
      <c r="H152" s="619"/>
      <c r="I152" s="619"/>
      <c r="J152" s="617"/>
      <c r="K152" s="1706">
        <f>'Revenues 9-14'!D275-'Expenditures 15-22'!K151</f>
        <v>-94227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4"/>
      <c r="I155" s="617"/>
      <c r="J155" s="617"/>
      <c r="K155" s="1848"/>
      <c r="L155" s="1864"/>
      <c r="M155" s="620"/>
      <c r="N155" s="620"/>
    </row>
    <row r="156" spans="1:14" s="621" customFormat="1" ht="15.75" customHeight="1" thickTop="1" x14ac:dyDescent="0.2">
      <c r="A156" s="1845" t="s">
        <v>1957</v>
      </c>
      <c r="B156" s="1846"/>
      <c r="C156" s="617"/>
      <c r="D156" s="617"/>
      <c r="E156" s="617"/>
      <c r="F156" s="617"/>
      <c r="G156" s="617"/>
      <c r="H156" s="1865"/>
      <c r="I156" s="617"/>
      <c r="J156" s="617"/>
      <c r="K156" s="1847"/>
      <c r="L156" s="1865"/>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92145</v>
      </c>
      <c r="I169" s="617"/>
      <c r="J169" s="617"/>
      <c r="K169" s="1693">
        <f>SUM(C169:H169)</f>
        <v>92145</v>
      </c>
      <c r="L169" s="657">
        <v>92145</v>
      </c>
    </row>
    <row r="170" spans="1:14" ht="33.75" customHeight="1" x14ac:dyDescent="0.2">
      <c r="A170" s="670" t="s">
        <v>1769</v>
      </c>
      <c r="B170" s="672" t="s">
        <v>31</v>
      </c>
      <c r="C170" s="617"/>
      <c r="D170" s="617"/>
      <c r="E170" s="617"/>
      <c r="F170" s="617"/>
      <c r="G170" s="617"/>
      <c r="H170" s="569">
        <v>282100</v>
      </c>
      <c r="I170" s="617"/>
      <c r="J170" s="617"/>
      <c r="K170" s="1693">
        <f>SUM(C170:J170)</f>
        <v>282100</v>
      </c>
      <c r="L170" s="569">
        <v>282100</v>
      </c>
    </row>
    <row r="171" spans="1:14" ht="15.75" customHeight="1" x14ac:dyDescent="0.2">
      <c r="A171" s="622" t="s">
        <v>790</v>
      </c>
      <c r="B171" s="673" t="s">
        <v>86</v>
      </c>
      <c r="C171" s="617"/>
      <c r="D171" s="617"/>
      <c r="E171" s="466"/>
      <c r="F171" s="617"/>
      <c r="G171" s="617"/>
      <c r="H171" s="569">
        <v>1000</v>
      </c>
      <c r="I171" s="477"/>
      <c r="J171" s="617"/>
      <c r="K171" s="1693">
        <f>SUM(C171:J171)</f>
        <v>1000</v>
      </c>
      <c r="L171" s="569">
        <v>1300</v>
      </c>
    </row>
    <row r="172" spans="1:14" ht="12.75" customHeight="1" thickBot="1" x14ac:dyDescent="0.25">
      <c r="A172" s="1690" t="s">
        <v>659</v>
      </c>
      <c r="B172" s="1691" t="s">
        <v>513</v>
      </c>
      <c r="C172" s="617"/>
      <c r="D172" s="617"/>
      <c r="E172" s="1699">
        <f>SUM(E168,E169,E170,E171)</f>
        <v>0</v>
      </c>
      <c r="F172" s="617"/>
      <c r="G172" s="617"/>
      <c r="H172" s="1699">
        <f>SUM(H168,H169,H170,H171)</f>
        <v>375245</v>
      </c>
      <c r="I172" s="639"/>
      <c r="J172" s="617"/>
      <c r="K172" s="1699">
        <f>SUM(K168,K169,K170,K171)</f>
        <v>375245</v>
      </c>
      <c r="L172" s="1699">
        <f>SUM(L168,L169,L170,L171)</f>
        <v>375545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375245</v>
      </c>
      <c r="I174" s="639"/>
      <c r="J174" s="617"/>
      <c r="K174" s="1699">
        <f>SUM(K160,K172,K173)</f>
        <v>375245</v>
      </c>
      <c r="L174" s="1699">
        <f>SUM(L160,L172,L173)</f>
        <v>375545</v>
      </c>
    </row>
    <row r="175" spans="1:14" ht="13.5" thickTop="1" x14ac:dyDescent="0.2">
      <c r="A175" s="2174" t="s">
        <v>1053</v>
      </c>
      <c r="B175" s="2175"/>
      <c r="C175" s="617"/>
      <c r="D175" s="617"/>
      <c r="E175" s="617"/>
      <c r="F175" s="617"/>
      <c r="G175" s="617"/>
      <c r="H175" s="619"/>
      <c r="I175" s="617"/>
      <c r="J175" s="617"/>
      <c r="K175" s="1706">
        <f>'Revenues 9-14'!E275-'Expenditures 15-22'!K174</f>
        <v>11615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94082</v>
      </c>
      <c r="D182" s="466">
        <v>6031</v>
      </c>
      <c r="E182" s="466">
        <v>6885</v>
      </c>
      <c r="F182" s="466">
        <v>37559</v>
      </c>
      <c r="G182" s="466"/>
      <c r="H182" s="466"/>
      <c r="I182" s="467"/>
      <c r="J182" s="467"/>
      <c r="K182" s="1693">
        <f>SUM(C182:J182)</f>
        <v>144557</v>
      </c>
      <c r="L182" s="466">
        <v>194531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94082</v>
      </c>
      <c r="D184" s="1699">
        <f t="shared" ref="D184:J184" si="17">SUM(D180,D182,D183)</f>
        <v>6031</v>
      </c>
      <c r="E184" s="1699">
        <f t="shared" si="17"/>
        <v>6885</v>
      </c>
      <c r="F184" s="1699">
        <f t="shared" si="17"/>
        <v>37559</v>
      </c>
      <c r="G184" s="1699">
        <f t="shared" si="17"/>
        <v>0</v>
      </c>
      <c r="H184" s="1699">
        <f t="shared" si="17"/>
        <v>0</v>
      </c>
      <c r="I184" s="1699">
        <f t="shared" si="17"/>
        <v>0</v>
      </c>
      <c r="J184" s="1699">
        <f t="shared" si="17"/>
        <v>0</v>
      </c>
      <c r="K184" s="1699">
        <f>SUM(K180,K182,K183)</f>
        <v>144557</v>
      </c>
      <c r="L184" s="1699">
        <f>SUM(L180, L182:L183)</f>
        <v>194531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v>56957</v>
      </c>
      <c r="I206" s="617"/>
      <c r="J206" s="617"/>
      <c r="K206" s="1693">
        <f>SUM(H206)</f>
        <v>56957</v>
      </c>
      <c r="L206" s="466">
        <v>33550</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56957</v>
      </c>
      <c r="I208" s="617"/>
      <c r="J208" s="617"/>
      <c r="K208" s="1699">
        <f>SUM(K204,K205,K206,K207)</f>
        <v>56957</v>
      </c>
      <c r="L208" s="1699">
        <f>SUM(L204,L205,L206,L207)</f>
        <v>33550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94082</v>
      </c>
      <c r="D210" s="1692">
        <f>SUM(D184,D185)</f>
        <v>6031</v>
      </c>
      <c r="E210" s="1692">
        <f>SUM(E184,E185,E196)</f>
        <v>6885</v>
      </c>
      <c r="F210" s="1692">
        <f>SUM(F184,F185)</f>
        <v>37559</v>
      </c>
      <c r="G210" s="1692">
        <f>SUM(G184,G185)</f>
        <v>0</v>
      </c>
      <c r="H210" s="1692">
        <f>SUM(H184,H185,H196,H208,H209)</f>
        <v>56957</v>
      </c>
      <c r="I210" s="1692">
        <f>SUM(I184,I185)</f>
        <v>0</v>
      </c>
      <c r="J210" s="1692">
        <f>SUM(J184,J185)</f>
        <v>0</v>
      </c>
      <c r="K210" s="1693">
        <f>SUM(K184,K185,K196,K208,K209)</f>
        <v>201514</v>
      </c>
      <c r="L210" s="1692">
        <f>SUM(L184,L185,L196,L208,L209)</f>
        <v>228081</v>
      </c>
    </row>
    <row r="211" spans="1:14" ht="13.5" thickTop="1" x14ac:dyDescent="0.2">
      <c r="A211" s="2174" t="s">
        <v>1053</v>
      </c>
      <c r="B211" s="2175"/>
      <c r="C211" s="619"/>
      <c r="D211" s="619"/>
      <c r="E211" s="619"/>
      <c r="F211" s="619"/>
      <c r="G211" s="619"/>
      <c r="H211" s="619"/>
      <c r="I211" s="617"/>
      <c r="J211" s="617"/>
      <c r="K211" s="1706">
        <f>'Revenues 9-14'!F275-'Expenditures 15-22'!K210</f>
        <v>13219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25104</v>
      </c>
      <c r="E215" s="617"/>
      <c r="F215" s="617"/>
      <c r="G215" s="617"/>
      <c r="H215" s="617"/>
      <c r="I215" s="617"/>
      <c r="J215" s="617"/>
      <c r="K215" s="1693">
        <f>D215</f>
        <v>25104</v>
      </c>
      <c r="L215" s="466">
        <v>24050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v>24550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24175</v>
      </c>
      <c r="E219" s="617"/>
      <c r="F219" s="617"/>
      <c r="G219" s="617"/>
      <c r="H219" s="617"/>
      <c r="I219" s="617"/>
      <c r="J219" s="617"/>
      <c r="K219" s="1693">
        <f t="shared" si="19"/>
        <v>24175</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3747</v>
      </c>
      <c r="E222" s="617"/>
      <c r="F222" s="617"/>
      <c r="G222" s="617"/>
      <c r="H222" s="617"/>
      <c r="I222" s="617"/>
      <c r="J222" s="617"/>
      <c r="K222" s="1693">
        <f t="shared" si="19"/>
        <v>3747</v>
      </c>
      <c r="L222" s="466">
        <v>3600</v>
      </c>
    </row>
    <row r="223" spans="1:14" x14ac:dyDescent="0.2">
      <c r="A223" s="1526" t="s">
        <v>1020</v>
      </c>
      <c r="B223" s="615">
        <v>1500</v>
      </c>
      <c r="C223" s="617"/>
      <c r="D223" s="466">
        <v>6597</v>
      </c>
      <c r="E223" s="617"/>
      <c r="F223" s="617"/>
      <c r="G223" s="617"/>
      <c r="H223" s="617"/>
      <c r="I223" s="617"/>
      <c r="J223" s="617"/>
      <c r="K223" s="1693">
        <f t="shared" si="19"/>
        <v>6597</v>
      </c>
      <c r="L223" s="466">
        <v>6125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59623</v>
      </c>
      <c r="E229" s="617"/>
      <c r="F229" s="617"/>
      <c r="G229" s="617"/>
      <c r="H229" s="617"/>
      <c r="I229" s="617"/>
      <c r="J229" s="617"/>
      <c r="K229" s="1692">
        <f>SUM(K215:K228)</f>
        <v>59623</v>
      </c>
      <c r="L229" s="1692">
        <f>SUM(L215:L228)</f>
        <v>58325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6749</v>
      </c>
      <c r="E233" s="617"/>
      <c r="F233" s="617"/>
      <c r="G233" s="617"/>
      <c r="H233" s="617"/>
      <c r="I233" s="617"/>
      <c r="J233" s="617"/>
      <c r="K233" s="1693">
        <f t="shared" si="20"/>
        <v>6749</v>
      </c>
      <c r="L233" s="466">
        <v>6850</v>
      </c>
    </row>
    <row r="234" spans="1:12" x14ac:dyDescent="0.2">
      <c r="A234" s="1526" t="s">
        <v>207</v>
      </c>
      <c r="B234" s="615">
        <v>2130</v>
      </c>
      <c r="C234" s="617"/>
      <c r="D234" s="466">
        <v>4246</v>
      </c>
      <c r="E234" s="617"/>
      <c r="F234" s="617"/>
      <c r="G234" s="617"/>
      <c r="H234" s="617"/>
      <c r="I234" s="617"/>
      <c r="J234" s="617"/>
      <c r="K234" s="1693">
        <f t="shared" si="20"/>
        <v>4246</v>
      </c>
      <c r="L234" s="466">
        <v>4300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10995</v>
      </c>
      <c r="E238" s="617"/>
      <c r="F238" s="617"/>
      <c r="G238" s="617"/>
      <c r="H238" s="617"/>
      <c r="I238" s="617"/>
      <c r="J238" s="617"/>
      <c r="K238" s="1692">
        <f>SUM(K232:K237)</f>
        <v>10995</v>
      </c>
      <c r="L238" s="1692">
        <f>SUM(L232:L237)</f>
        <v>11150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71</v>
      </c>
      <c r="E240" s="617"/>
      <c r="F240" s="617"/>
      <c r="G240" s="617"/>
      <c r="H240" s="617"/>
      <c r="I240" s="617"/>
      <c r="J240" s="617"/>
      <c r="K240" s="1694">
        <f>D240</f>
        <v>71</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71</v>
      </c>
      <c r="E243" s="617"/>
      <c r="F243" s="617"/>
      <c r="G243" s="617"/>
      <c r="H243" s="617"/>
      <c r="I243" s="617"/>
      <c r="J243" s="617"/>
      <c r="K243" s="1692">
        <f>SUM(K240:K242)</f>
        <v>71</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187</v>
      </c>
      <c r="E245" s="617"/>
      <c r="F245" s="617"/>
      <c r="G245" s="617"/>
      <c r="H245" s="617"/>
      <c r="I245" s="617"/>
      <c r="J245" s="617"/>
      <c r="K245" s="1694">
        <f>D245</f>
        <v>187</v>
      </c>
      <c r="L245" s="481">
        <v>200</v>
      </c>
    </row>
    <row r="246" spans="1:12" x14ac:dyDescent="0.2">
      <c r="A246" s="1526" t="s">
        <v>872</v>
      </c>
      <c r="B246" s="615">
        <v>2320</v>
      </c>
      <c r="C246" s="617"/>
      <c r="D246" s="466">
        <v>1308</v>
      </c>
      <c r="E246" s="617"/>
      <c r="F246" s="617"/>
      <c r="G246" s="617"/>
      <c r="H246" s="617"/>
      <c r="I246" s="617"/>
      <c r="J246" s="617"/>
      <c r="K246" s="1694">
        <f t="shared" ref="K246:K256" si="21">D246</f>
        <v>1308</v>
      </c>
      <c r="L246" s="466">
        <v>1350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9509</v>
      </c>
      <c r="E254" s="617"/>
      <c r="F254" s="617"/>
      <c r="G254" s="617"/>
      <c r="H254" s="617"/>
      <c r="I254" s="617"/>
      <c r="J254" s="617"/>
      <c r="K254" s="1694">
        <f t="shared" si="21"/>
        <v>9509</v>
      </c>
      <c r="L254" s="466">
        <v>9550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11004</v>
      </c>
      <c r="E257" s="617"/>
      <c r="F257" s="617"/>
      <c r="G257" s="617"/>
      <c r="H257" s="617"/>
      <c r="I257" s="617"/>
      <c r="J257" s="617"/>
      <c r="K257" s="1692">
        <f>SUM(K245:K256)</f>
        <v>11004</v>
      </c>
      <c r="L257" s="1692">
        <f>SUM(L245:L256)</f>
        <v>11100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11354</v>
      </c>
      <c r="E259" s="617"/>
      <c r="F259" s="617"/>
      <c r="G259" s="617"/>
      <c r="H259" s="617"/>
      <c r="I259" s="617"/>
      <c r="J259" s="617"/>
      <c r="K259" s="1694">
        <f>D259</f>
        <v>11354</v>
      </c>
      <c r="L259" s="481">
        <v>11400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11354</v>
      </c>
      <c r="E261" s="617"/>
      <c r="F261" s="617"/>
      <c r="G261" s="617"/>
      <c r="H261" s="617"/>
      <c r="I261" s="617"/>
      <c r="J261" s="617"/>
      <c r="K261" s="1692">
        <f>SUM(K259:K260)</f>
        <v>11354</v>
      </c>
      <c r="L261" s="1692">
        <f>SUM(L259:L260)</f>
        <v>11400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6008</v>
      </c>
      <c r="E264" s="617"/>
      <c r="F264" s="617"/>
      <c r="G264" s="617"/>
      <c r="H264" s="617"/>
      <c r="I264" s="617"/>
      <c r="J264" s="617"/>
      <c r="K264" s="1694">
        <f t="shared" ref="K264:K269" si="22">D264</f>
        <v>6008</v>
      </c>
      <c r="L264" s="466">
        <v>6050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28291</v>
      </c>
      <c r="E266" s="617"/>
      <c r="F266" s="617"/>
      <c r="G266" s="617"/>
      <c r="H266" s="617"/>
      <c r="I266" s="617"/>
      <c r="J266" s="617"/>
      <c r="K266" s="1694">
        <f t="shared" si="22"/>
        <v>28291</v>
      </c>
      <c r="L266" s="466">
        <v>28500</v>
      </c>
    </row>
    <row r="267" spans="1:14" x14ac:dyDescent="0.2">
      <c r="A267" s="1526" t="s">
        <v>1010</v>
      </c>
      <c r="B267" s="615">
        <v>2550</v>
      </c>
      <c r="C267" s="617"/>
      <c r="D267" s="466">
        <v>11795</v>
      </c>
      <c r="E267" s="617"/>
      <c r="F267" s="617"/>
      <c r="G267" s="617"/>
      <c r="H267" s="617"/>
      <c r="I267" s="617"/>
      <c r="J267" s="617"/>
      <c r="K267" s="1694">
        <f t="shared" si="22"/>
        <v>11795</v>
      </c>
      <c r="L267" s="466">
        <v>14405</v>
      </c>
    </row>
    <row r="268" spans="1:14" x14ac:dyDescent="0.2">
      <c r="A268" s="1526" t="s">
        <v>102</v>
      </c>
      <c r="B268" s="615">
        <v>2560</v>
      </c>
      <c r="C268" s="617"/>
      <c r="D268" s="466">
        <v>2713</v>
      </c>
      <c r="E268" s="617"/>
      <c r="F268" s="617"/>
      <c r="G268" s="617"/>
      <c r="H268" s="617"/>
      <c r="I268" s="617"/>
      <c r="J268" s="617"/>
      <c r="K268" s="1694">
        <f t="shared" si="22"/>
        <v>2713</v>
      </c>
      <c r="L268" s="466">
        <v>2700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48807</v>
      </c>
      <c r="E270" s="617"/>
      <c r="F270" s="617"/>
      <c r="G270" s="617"/>
      <c r="H270" s="617"/>
      <c r="I270" s="617"/>
      <c r="J270" s="617"/>
      <c r="K270" s="1692">
        <f>SUM(K263:K269)</f>
        <v>48807</v>
      </c>
      <c r="L270" s="1692">
        <f>SUM(L263:L269)</f>
        <v>51655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82231</v>
      </c>
      <c r="E279" s="617"/>
      <c r="F279" s="617"/>
      <c r="G279" s="617"/>
      <c r="H279" s="617"/>
      <c r="I279" s="617"/>
      <c r="J279" s="617"/>
      <c r="K279" s="1699">
        <f>SUM(K238,K243,K257,K261,K270,K277,K278)</f>
        <v>82231</v>
      </c>
      <c r="L279" s="1699">
        <f>SUM(L238,L243,L257,L261,L270,L277,L278)</f>
        <v>85305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141854</v>
      </c>
      <c r="E295" s="617"/>
      <c r="F295" s="617"/>
      <c r="G295" s="617"/>
      <c r="H295" s="1692">
        <f>H293</f>
        <v>0</v>
      </c>
      <c r="I295" s="617"/>
      <c r="J295" s="617"/>
      <c r="K295" s="1692">
        <f>SUM(K229,K279,K280,K285,K293,K294)</f>
        <v>141854</v>
      </c>
      <c r="L295" s="1692">
        <f>SUM(L229,L279,L280,L285,L293,L294)</f>
        <v>143630</v>
      </c>
    </row>
    <row r="296" spans="1:14" ht="13.5" thickTop="1" x14ac:dyDescent="0.2">
      <c r="A296" s="2174" t="s">
        <v>1053</v>
      </c>
      <c r="B296" s="2175"/>
      <c r="C296" s="617"/>
      <c r="D296" s="619"/>
      <c r="E296" s="617"/>
      <c r="F296" s="617"/>
      <c r="G296" s="617"/>
      <c r="H296" s="688"/>
      <c r="I296" s="617"/>
      <c r="J296" s="617"/>
      <c r="K296" s="1706">
        <f>'Revenues 9-14'!G275-'Expenditures 15-22'!K295</f>
        <v>45467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30267</v>
      </c>
      <c r="F320" s="467"/>
      <c r="G320" s="467"/>
      <c r="H320" s="467"/>
      <c r="I320" s="467"/>
      <c r="J320" s="467"/>
      <c r="K320" s="1693">
        <f t="shared" ref="K320:K327" si="24">SUM(C320:J320)</f>
        <v>30267</v>
      </c>
      <c r="L320" s="467">
        <v>30300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9356</v>
      </c>
      <c r="F322" s="467"/>
      <c r="G322" s="467"/>
      <c r="H322" s="467"/>
      <c r="I322" s="467"/>
      <c r="J322" s="467"/>
      <c r="K322" s="1693">
        <f t="shared" si="24"/>
        <v>9356</v>
      </c>
      <c r="L322" s="467">
        <v>8000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113179</v>
      </c>
      <c r="D325" s="467">
        <v>22279</v>
      </c>
      <c r="E325" s="467">
        <v>14639</v>
      </c>
      <c r="F325" s="467"/>
      <c r="G325" s="467"/>
      <c r="H325" s="467"/>
      <c r="I325" s="467"/>
      <c r="J325" s="467"/>
      <c r="K325" s="1693">
        <f t="shared" si="24"/>
        <v>150097</v>
      </c>
      <c r="L325" s="467">
        <v>143300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726</v>
      </c>
      <c r="F327" s="467"/>
      <c r="G327" s="467"/>
      <c r="H327" s="467"/>
      <c r="I327" s="467"/>
      <c r="J327" s="467"/>
      <c r="K327" s="1693">
        <f t="shared" si="24"/>
        <v>726</v>
      </c>
      <c r="L327" s="467">
        <v>800</v>
      </c>
      <c r="M327" s="666"/>
      <c r="N327" s="666"/>
    </row>
    <row r="328" spans="1:14" s="675" customFormat="1" x14ac:dyDescent="0.2">
      <c r="A328" s="1542" t="s">
        <v>492</v>
      </c>
      <c r="B328" s="691" t="s">
        <v>1194</v>
      </c>
      <c r="C328" s="474"/>
      <c r="D328" s="474"/>
      <c r="E328" s="474">
        <v>29240</v>
      </c>
      <c r="F328" s="474"/>
      <c r="G328" s="474"/>
      <c r="H328" s="474"/>
      <c r="I328" s="474"/>
      <c r="J328" s="474"/>
      <c r="K328" s="1721">
        <f>SUM(C328:J328)</f>
        <v>29240</v>
      </c>
      <c r="L328" s="474">
        <v>29250</v>
      </c>
      <c r="M328" s="666"/>
      <c r="N328" s="666"/>
    </row>
    <row r="329" spans="1:14" s="675" customFormat="1" x14ac:dyDescent="0.2">
      <c r="A329" s="1542" t="s">
        <v>1195</v>
      </c>
      <c r="B329" s="691" t="s">
        <v>1196</v>
      </c>
      <c r="C329" s="474"/>
      <c r="D329" s="474"/>
      <c r="E329" s="474">
        <v>10039</v>
      </c>
      <c r="F329" s="474"/>
      <c r="G329" s="474"/>
      <c r="H329" s="474"/>
      <c r="I329" s="474"/>
      <c r="J329" s="474"/>
      <c r="K329" s="1721">
        <f>SUM(C329:J329)</f>
        <v>10039</v>
      </c>
      <c r="L329" s="474">
        <v>10050</v>
      </c>
      <c r="M329" s="666"/>
      <c r="N329" s="666"/>
    </row>
    <row r="330" spans="1:14" s="675" customFormat="1" ht="12.75" customHeight="1" thickBot="1" x14ac:dyDescent="0.25">
      <c r="A330" s="1722" t="s">
        <v>741</v>
      </c>
      <c r="B330" s="1691" t="s">
        <v>590</v>
      </c>
      <c r="C330" s="1692">
        <f>SUM(C319:C329)</f>
        <v>113179</v>
      </c>
      <c r="D330" s="1692">
        <f t="shared" ref="D330:J330" si="25">SUM(D319:D329)</f>
        <v>22279</v>
      </c>
      <c r="E330" s="1692">
        <f t="shared" si="25"/>
        <v>94267</v>
      </c>
      <c r="F330" s="1692">
        <f t="shared" si="25"/>
        <v>0</v>
      </c>
      <c r="G330" s="1692">
        <f t="shared" si="25"/>
        <v>0</v>
      </c>
      <c r="H330" s="1692">
        <f t="shared" si="25"/>
        <v>0</v>
      </c>
      <c r="I330" s="1692">
        <f t="shared" si="25"/>
        <v>0</v>
      </c>
      <c r="J330" s="1692">
        <f t="shared" si="25"/>
        <v>0</v>
      </c>
      <c r="K330" s="1692">
        <f>SUM(K319:K329)</f>
        <v>229725</v>
      </c>
      <c r="L330" s="1692">
        <f>SUM(L319:L329)</f>
        <v>221700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113179</v>
      </c>
      <c r="D342" s="1692">
        <f>SUM(D330)</f>
        <v>22279</v>
      </c>
      <c r="E342" s="1692">
        <f>SUM(E330)</f>
        <v>94267</v>
      </c>
      <c r="F342" s="1692">
        <f>SUM(F330)</f>
        <v>0</v>
      </c>
      <c r="G342" s="1692">
        <f>SUM(G330)</f>
        <v>0</v>
      </c>
      <c r="H342" s="1692">
        <f>SUM(H330,H334,H340)</f>
        <v>0</v>
      </c>
      <c r="I342" s="1692">
        <f>SUM(I330)</f>
        <v>0</v>
      </c>
      <c r="J342" s="1692">
        <f>SUM(J330)</f>
        <v>0</v>
      </c>
      <c r="K342" s="1692">
        <f>SUM(K330,K334,K340)</f>
        <v>229725</v>
      </c>
      <c r="L342" s="1699">
        <f>SUM(L330,L334,L340,L341)</f>
        <v>221700</v>
      </c>
    </row>
    <row r="343" spans="1:14" ht="12.75" customHeight="1" thickTop="1" x14ac:dyDescent="0.2">
      <c r="A343" s="2187" t="s">
        <v>1053</v>
      </c>
      <c r="B343" s="2188"/>
      <c r="C343" s="617"/>
      <c r="D343" s="617"/>
      <c r="E343" s="617"/>
      <c r="F343" s="617"/>
      <c r="G343" s="617"/>
      <c r="H343" s="617"/>
      <c r="I343" s="617"/>
      <c r="J343" s="617"/>
      <c r="K343" s="1706">
        <f>'Revenues 9-14'!J275-'Expenditures 15-22'!K342</f>
        <v>9118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1230840</v>
      </c>
      <c r="H348" s="466"/>
      <c r="I348" s="467"/>
      <c r="J348" s="467"/>
      <c r="K348" s="1693">
        <f>SUM(C348:J348)</f>
        <v>1230840</v>
      </c>
      <c r="L348" s="466">
        <v>1100000</v>
      </c>
    </row>
    <row r="349" spans="1:14" x14ac:dyDescent="0.2">
      <c r="A349" s="1526" t="s">
        <v>206</v>
      </c>
      <c r="B349" s="615">
        <v>2540</v>
      </c>
      <c r="C349" s="466"/>
      <c r="D349" s="466"/>
      <c r="E349" s="466"/>
      <c r="F349" s="466">
        <v>289</v>
      </c>
      <c r="G349" s="466"/>
      <c r="H349" s="466"/>
      <c r="I349" s="467"/>
      <c r="J349" s="467"/>
      <c r="K349" s="1693">
        <f>SUM(C349:J349)</f>
        <v>289</v>
      </c>
      <c r="L349" s="466">
        <v>16000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289</v>
      </c>
      <c r="G350" s="1692">
        <f t="shared" si="26"/>
        <v>1230840</v>
      </c>
      <c r="H350" s="1692">
        <f t="shared" si="26"/>
        <v>0</v>
      </c>
      <c r="I350" s="1692">
        <f t="shared" si="26"/>
        <v>0</v>
      </c>
      <c r="J350" s="1692">
        <f t="shared" si="26"/>
        <v>0</v>
      </c>
      <c r="K350" s="1692">
        <f t="shared" si="26"/>
        <v>1231129</v>
      </c>
      <c r="L350" s="1692">
        <f t="shared" si="26"/>
        <v>1116000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289</v>
      </c>
      <c r="G352" s="1692">
        <f t="shared" si="27"/>
        <v>1230840</v>
      </c>
      <c r="H352" s="1692">
        <f t="shared" si="27"/>
        <v>0</v>
      </c>
      <c r="I352" s="1692">
        <f t="shared" si="27"/>
        <v>0</v>
      </c>
      <c r="J352" s="1692">
        <f t="shared" si="27"/>
        <v>0</v>
      </c>
      <c r="K352" s="1692">
        <f t="shared" si="27"/>
        <v>1231129</v>
      </c>
      <c r="L352" s="1692">
        <f t="shared" si="27"/>
        <v>1116000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289</v>
      </c>
      <c r="G367" s="1692">
        <f t="shared" si="28"/>
        <v>1230840</v>
      </c>
      <c r="H367" s="1692">
        <f t="shared" si="28"/>
        <v>0</v>
      </c>
      <c r="I367" s="1692">
        <f t="shared" si="28"/>
        <v>0</v>
      </c>
      <c r="J367" s="1692">
        <f t="shared" si="28"/>
        <v>0</v>
      </c>
      <c r="K367" s="1692">
        <f t="shared" si="28"/>
        <v>1231129</v>
      </c>
      <c r="L367" s="1692">
        <f t="shared" si="28"/>
        <v>1116000</v>
      </c>
    </row>
    <row r="368" spans="1:14" ht="13.5" thickTop="1" x14ac:dyDescent="0.2">
      <c r="A368" s="2174" t="s">
        <v>1053</v>
      </c>
      <c r="B368" s="2175"/>
      <c r="C368" s="655"/>
      <c r="D368" s="655"/>
      <c r="E368" s="627"/>
      <c r="F368" s="627"/>
      <c r="G368" s="627"/>
      <c r="H368" s="627"/>
      <c r="I368" s="627"/>
      <c r="J368" s="624"/>
      <c r="K368" s="1693">
        <f>'Revenues 9-14'!K275-'Expenditures 15-22'!K367</f>
        <v>-1147936</v>
      </c>
      <c r="L368" s="655"/>
    </row>
  </sheetData>
  <sheetProtection algorithmName="SHA-512" hashValue="rmqUtPKyfrEM2OT/DAnQzHsnqRjG7U61BUuQsArCQNL5T8WjWmnkpTFp5VcscE7zMqZE2GmXqLoiJOE9p4LOgA==" saltValue="HDp4VHD9n+MlTwj8udeCE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to the financial statements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0920CD-3DEE-4A31-A47D-EFBEC443C523}">
  <ds:schemaRefs>
    <ds:schemaRef ds:uri="http://schemas.microsoft.com/sharepoint/v3/contenttype/forms"/>
  </ds:schemaRefs>
</ds:datastoreItem>
</file>

<file path=customXml/itemProps2.xml><?xml version="1.0" encoding="utf-8"?>
<ds:datastoreItem xmlns:ds="http://schemas.openxmlformats.org/officeDocument/2006/customXml" ds:itemID="{74FC8732-B5A4-4FA0-A043-A5337E94E6A4}">
  <ds:schemaRefs>
    <ds:schemaRef ds:uri="http://purl.org/dc/elements/1.1/"/>
    <ds:schemaRef ds:uri="4d435f69-8686-490b-bd6d-b153bf22ab50"/>
    <ds:schemaRef ds:uri="http://purl.org/dc/terms/"/>
    <ds:schemaRef ds:uri="6ce3111e-7420-4802-b50a-75d4e9a0b980"/>
    <ds:schemaRef ds:uri="http://purl.org/dc/dcmitype/"/>
    <ds:schemaRef ds:uri="http://schemas.microsoft.com/office/2006/documentManagement/types"/>
    <ds:schemaRef ds:uri="http://www.w3.org/XML/1998/namespace"/>
    <ds:schemaRef ds:uri="d21dc803-237d-4c68-8692-8d731fd29118"/>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9D13DE51-86CE-4198-B8FA-8203B3C2E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2018-12-04T20:13:00Z</cp:lastPrinted>
  <dcterms:created xsi:type="dcterms:W3CDTF">2003-10-29T19:06:34Z</dcterms:created>
  <dcterms:modified xsi:type="dcterms:W3CDTF">2018-12-17T21:56:02Z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