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3)" sheetId="185" r:id="rId32"/>
    <sheet name="SF&amp;QC Sec-2 (2)" sheetId="184" r:id="rId33"/>
    <sheet name="SF&amp;QC Sec-2 (4)" sheetId="186" r:id="rId34"/>
    <sheet name="SF&amp;QC Sec-3" sheetId="176" r:id="rId35"/>
    <sheet name="SSPAF" sheetId="177" r:id="rId36"/>
    <sheet name="Sheet1" sheetId="183" r:id="rId37"/>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2">#REF!</definedName>
    <definedName name="SCHADDRS" localSheetId="31">#REF!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2">#REF!</definedName>
    <definedName name="SCHCTY" localSheetId="31">#REF!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2">#REF!</definedName>
    <definedName name="SCHNMBR" localSheetId="31">#REF!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2">#REF!</definedName>
    <definedName name="SCHNME" localSheetId="31">#REF!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FQC" localSheetId="31">#REF!</definedName>
    <definedName name="SFQC" localSheetId="33">#REF!</definedName>
    <definedName name="SFQC">#REF!</definedName>
    <definedName name="SFQC2" localSheetId="31">#REF!</definedName>
    <definedName name="SFQC2" localSheetId="33">#REF!</definedName>
    <definedName name="SFQC2">#REF!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2">#REF!</definedName>
    <definedName name="SUPT" localSheetId="31">#REF!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6" l="1"/>
  <c r="B4" i="185"/>
  <c r="B4" i="18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45" i="181" l="1"/>
  <c r="D80" i="36" l="1"/>
  <c r="B7797" i="106"/>
  <c r="E45" i="181"/>
  <c r="E17" i="181"/>
  <c r="E16" i="181"/>
  <c r="F16" i="181" s="1"/>
  <c r="G16" i="181" s="1"/>
  <c r="F17" i="181" l="1"/>
  <c r="G17" i="181" s="1"/>
  <c r="G45" i="181" s="1"/>
  <c r="G40" i="108" l="1"/>
  <c r="B7799" i="106"/>
  <c r="F4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5" l="1"/>
  <c r="B2" i="186"/>
  <c r="B1" i="184"/>
  <c r="B1" i="185"/>
  <c r="B1" i="186"/>
  <c r="B2" i="179"/>
  <c r="B2" i="184"/>
  <c r="A2" i="170"/>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s="1"/>
  <c r="B7729" i="106"/>
  <c r="B7734" i="106"/>
  <c r="B7726" i="106"/>
  <c r="D76" i="36"/>
  <c r="F162" i="34"/>
  <c r="B30" i="36"/>
  <c r="B33" i="36" s="1"/>
  <c r="B43" i="36" s="1"/>
  <c r="B56" i="36" s="1"/>
  <c r="B66" i="36" s="1"/>
  <c r="B70" i="36" s="1"/>
  <c r="B74" i="36" s="1"/>
  <c r="D73" i="36"/>
  <c r="C191" i="5"/>
  <c r="B4395" i="106" s="1"/>
  <c r="D4395" i="106" s="1"/>
  <c r="C201" i="5"/>
  <c r="C211" i="5"/>
  <c r="B5260" i="106" s="1"/>
  <c r="D5260" i="106" s="1"/>
  <c r="C216" i="5"/>
  <c r="C224" i="5"/>
  <c r="B5286" i="106" s="1"/>
  <c r="D5286" i="106" s="1"/>
  <c r="C228" i="5"/>
  <c r="C259" i="5"/>
  <c r="B6833" i="106" s="1"/>
  <c r="D6833" i="106" s="1"/>
  <c r="B7761" i="106"/>
  <c r="L127" i="29"/>
  <c r="L129" i="29" s="1"/>
  <c r="L139" i="29"/>
  <c r="L149" i="29"/>
  <c r="I7" i="145"/>
  <c r="I6" i="145"/>
  <c r="D78" i="36"/>
  <c r="K75" i="29"/>
  <c r="K130" i="29"/>
  <c r="K185" i="29"/>
  <c r="B2836" i="106" s="1"/>
  <c r="D2836" i="106" s="1"/>
  <c r="K122" i="29"/>
  <c r="F15" i="145" s="1"/>
  <c r="F19" i="145" s="1"/>
  <c r="K67" i="29"/>
  <c r="E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K93" i="29"/>
  <c r="B6997" i="106" s="1"/>
  <c r="D6997" i="106" s="1"/>
  <c r="K94" i="29"/>
  <c r="K95" i="29"/>
  <c r="B7001" i="106" s="1"/>
  <c r="D7001" i="106" s="1"/>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D26" i="108"/>
  <c r="E26" i="108"/>
  <c r="F26" i="108"/>
  <c r="G26" i="108"/>
  <c r="D27" i="108"/>
  <c r="E27" i="108"/>
  <c r="F27" i="108"/>
  <c r="G27" i="108"/>
  <c r="E28" i="108"/>
  <c r="F31" i="108"/>
  <c r="F36" i="108"/>
  <c r="F37" i="108"/>
  <c r="G28" i="108"/>
  <c r="E29" i="108"/>
  <c r="E30" i="108"/>
  <c r="G30" i="108"/>
  <c r="D31" i="108"/>
  <c r="D36" i="108"/>
  <c r="D37" i="108"/>
  <c r="E31" i="108"/>
  <c r="G31" i="108"/>
  <c r="G33" i="108"/>
  <c r="E34" i="108"/>
  <c r="G34"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F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14" i="4"/>
  <c r="B2609" i="106" s="1"/>
  <c r="D2609" i="106" s="1"/>
  <c r="G15" i="4"/>
  <c r="B6032" i="106" s="1"/>
  <c r="D6032" i="106" s="1"/>
  <c r="D14" i="4"/>
  <c r="B2570" i="106" s="1"/>
  <c r="D2570" i="106" s="1"/>
  <c r="B2633" i="106"/>
  <c r="D2633" i="106" s="1"/>
  <c r="D7" i="118"/>
  <c r="D8" i="118"/>
  <c r="D9" i="118"/>
  <c r="H14" i="118"/>
  <c r="H19" i="118"/>
  <c r="H24" i="118"/>
  <c r="H28" i="118"/>
  <c r="H33" i="118"/>
  <c r="D22" i="37"/>
  <c r="J22" i="37"/>
  <c r="D24" i="37"/>
  <c r="B4270" i="106" s="1"/>
  <c r="D4270" i="106" s="1"/>
  <c r="H173" i="5"/>
  <c r="B5906" i="106" s="1"/>
  <c r="D5906" i="106" s="1"/>
  <c r="B1746" i="106"/>
  <c r="D1746" i="106" s="1"/>
  <c r="D15" i="7"/>
  <c r="B1772" i="106" s="1"/>
  <c r="D1772" i="106" s="1"/>
  <c r="F136" i="34" l="1"/>
  <c r="F36" i="34"/>
  <c r="I342" i="29"/>
  <c r="B7222" i="106" s="1"/>
  <c r="D7222" i="106" s="1"/>
  <c r="F21" i="8"/>
  <c r="G39" i="108"/>
  <c r="D11" i="7"/>
  <c r="B1768" i="106" s="1"/>
  <c r="D1768" i="106" s="1"/>
  <c r="L22" i="37"/>
  <c r="D11" i="37"/>
  <c r="F14" i="4"/>
  <c r="B2597" i="106" s="1"/>
  <c r="D2597" i="106" s="1"/>
  <c r="F111" i="34"/>
  <c r="F52" i="34"/>
  <c r="F37" i="34"/>
  <c r="E38" i="108"/>
  <c r="F28" i="108"/>
  <c r="F41" i="108" s="1"/>
  <c r="G43" i="108" s="1"/>
  <c r="B7047" i="106"/>
  <c r="D7047" i="106" s="1"/>
  <c r="H112" i="29"/>
  <c r="B7018" i="106" s="1"/>
  <c r="D7018" i="106" s="1"/>
  <c r="B1126" i="106"/>
  <c r="D1126" i="106" s="1"/>
  <c r="D7" i="7"/>
  <c r="B1763" i="106" s="1"/>
  <c r="D1763" i="106" s="1"/>
  <c r="D13" i="7"/>
  <c r="B3726" i="106" s="1"/>
  <c r="D3726" i="106" s="1"/>
  <c r="H29" i="118"/>
  <c r="N22" i="3"/>
  <c r="B283" i="106" s="1"/>
  <c r="D283" i="106" s="1"/>
  <c r="C14" i="4"/>
  <c r="B2558" i="106" s="1"/>
  <c r="D2558" i="106" s="1"/>
  <c r="B5096" i="106"/>
  <c r="D5096" i="106" s="1"/>
  <c r="E35" i="108"/>
  <c r="G29" i="108"/>
  <c r="D68" i="36"/>
  <c r="D31" i="36"/>
  <c r="H365" i="29"/>
  <c r="B7242" i="106" s="1"/>
  <c r="D7242" i="106" s="1"/>
  <c r="K41" i="3"/>
  <c r="C352" i="29"/>
  <c r="K184" i="29"/>
  <c r="F13" i="4" s="1"/>
  <c r="B2596" i="106" s="1"/>
  <c r="D2596" i="106" s="1"/>
  <c r="H6" i="4"/>
  <c r="B2656" i="106" s="1"/>
  <c r="D2656" i="106" s="1"/>
  <c r="G5" i="4"/>
  <c r="B3409" i="106" s="1"/>
  <c r="D3409" i="106" s="1"/>
  <c r="K274" i="5"/>
  <c r="F172" i="5"/>
  <c r="B5644" i="106" s="1"/>
  <c r="D5644" i="106" s="1"/>
  <c r="G352" i="29"/>
  <c r="F34" i="34"/>
  <c r="H76" i="4"/>
  <c r="B3298" i="106" s="1"/>
  <c r="D3298" i="106" s="1"/>
  <c r="F77" i="4"/>
  <c r="B3255" i="106" s="1"/>
  <c r="D3255" i="106" s="1"/>
  <c r="B1274" i="106"/>
  <c r="D1274" i="106" s="1"/>
  <c r="D12" i="7"/>
  <c r="B1769" i="106" s="1"/>
  <c r="D1769" i="106" s="1"/>
  <c r="H109" i="5"/>
  <c r="B6025" i="106" s="1"/>
  <c r="D6025" i="106" s="1"/>
  <c r="F131" i="34"/>
  <c r="F127" i="34"/>
  <c r="B4373" i="106"/>
  <c r="D4373" i="106" s="1"/>
  <c r="F66" i="34"/>
  <c r="J352" i="29"/>
  <c r="J367" i="29" s="1"/>
  <c r="B7245" i="106" s="1"/>
  <c r="D7245" i="106" s="1"/>
  <c r="L15" i="11"/>
  <c r="B3459" i="106" s="1"/>
  <c r="D3459" i="106" s="1"/>
  <c r="C109" i="5"/>
  <c r="B5121" i="106" s="1"/>
  <c r="D5121" i="106" s="1"/>
  <c r="L13" i="11"/>
  <c r="B2060" i="106" s="1"/>
  <c r="D2060" i="106" s="1"/>
  <c r="L312" i="29"/>
  <c r="G210" i="29"/>
  <c r="E109" i="5"/>
  <c r="E4" i="4" s="1"/>
  <c r="B2630" i="106" s="1"/>
  <c r="D2630"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B7235" i="106"/>
  <c r="D7235" i="106" s="1"/>
  <c r="C342" i="29"/>
  <c r="B7216" i="106" s="1"/>
  <c r="D7216" i="106" s="1"/>
  <c r="F42" i="34"/>
  <c r="J77" i="4"/>
  <c r="B6262" i="106" s="1"/>
  <c r="D6262" i="106" s="1"/>
  <c r="B6238" i="106"/>
  <c r="D6238" i="106" s="1"/>
  <c r="H4" i="4"/>
  <c r="B2655" i="106" s="1"/>
  <c r="D2655" i="106" s="1"/>
  <c r="K173" i="5"/>
  <c r="K6" i="4" s="1"/>
  <c r="B3570" i="106" s="1"/>
  <c r="D3570" i="106" s="1"/>
  <c r="J274" i="5"/>
  <c r="B7054" i="106" s="1"/>
  <c r="D7054" i="106" s="1"/>
  <c r="L367" i="29"/>
  <c r="F46" i="34"/>
  <c r="B3669" i="106"/>
  <c r="D3669" i="106" s="1"/>
  <c r="K350" i="29"/>
  <c r="B3621" i="106"/>
  <c r="D3621" i="106" s="1"/>
  <c r="C367" i="29"/>
  <c r="B6191" i="106"/>
  <c r="D6191" i="106" s="1"/>
  <c r="J41" i="3"/>
  <c r="B6216" i="106" s="1"/>
  <c r="D6216" i="106" s="1"/>
  <c r="D6103" i="106"/>
  <c r="C129" i="29"/>
  <c r="B1223" i="106"/>
  <c r="D1223" i="106" s="1"/>
  <c r="K24" i="12"/>
  <c r="K76" i="4"/>
  <c r="B3586" i="106" s="1"/>
  <c r="D3586" i="106" s="1"/>
  <c r="I24" i="12"/>
  <c r="E174" i="29"/>
  <c r="B1309" i="106" s="1"/>
  <c r="D130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B1879" i="106" l="1"/>
  <c r="D1879" i="106" s="1"/>
  <c r="H22" i="37"/>
  <c r="D7250" i="106"/>
  <c r="D7256" i="106"/>
  <c r="D7251" i="106"/>
  <c r="D51" i="36"/>
  <c r="D7254" i="106"/>
  <c r="D7252" i="106"/>
  <c r="B3568" i="106"/>
  <c r="D3568" i="106" s="1"/>
  <c r="D52" i="36"/>
  <c r="D7255" i="106"/>
  <c r="K77" i="4"/>
  <c r="B3587" i="106" s="1"/>
  <c r="D3587" i="106" s="1"/>
  <c r="L114" i="29"/>
  <c r="B3628" i="106"/>
  <c r="D3628" i="106" s="1"/>
  <c r="L16" i="11"/>
  <c r="B2061" i="106" s="1"/>
  <c r="D2061" i="106" s="1"/>
  <c r="B1365" i="106"/>
  <c r="D1365" i="106" s="1"/>
  <c r="F65" i="34"/>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F275" i="5" s="1"/>
  <c r="B5720" i="106" s="1"/>
  <c r="D5720" i="106" s="1"/>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B5719" i="106" l="1"/>
  <c r="D5719" i="106" s="1"/>
  <c r="G41" i="108"/>
  <c r="G44" i="108" s="1"/>
  <c r="G45" i="108" s="1"/>
  <c r="J17" i="4"/>
  <c r="J8" i="4"/>
  <c r="J10" i="4" s="1"/>
  <c r="B6225" i="106" s="1"/>
  <c r="D6225" i="106" s="1"/>
  <c r="F8" i="4"/>
  <c r="F10" i="4" s="1"/>
  <c r="B4125" i="106" s="1"/>
  <c r="D4125"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D8" i="4"/>
  <c r="B2567" i="106"/>
  <c r="D2567" i="106" s="1"/>
  <c r="B6223" i="106" l="1"/>
  <c r="D6223"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<sst xmlns="http://schemas.openxmlformats.org/spreadsheetml/2006/main" count="5164" uniqueCount="2158">
  <si>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</si>
  <si>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</si>
  <si>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</si>
  <si>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</si>
  <si>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</si>
  <si>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</si>
  <si>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</si>
  <si>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</si>
  <si>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</si>
  <si>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</si>
  <si>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</si>
  <si>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</si>
  <si>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</si>
  <si>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</si>
  <si>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</si>
  <si>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</si>
  <si>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</si>
  <si>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</si>
  <si>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</si>
  <si>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</si>
  <si>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</si>
  <si>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</si>
  <si>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</si>
  <si>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</si>
  <si>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</si>
  <si>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</si>
  <si>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</si>
  <si>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</si>
  <si>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</si>
  <si>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</si>
  <si>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</si>
  <si>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</si>
  <si>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</si>
  <si>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</si>
  <si>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</si>
  <si>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</si>
  <si>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</si>
  <si>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</si>
  <si>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</si>
  <si>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</si>
  <si>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</si>
  <si>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</si>
  <si>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</si>
  <si>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</si>
  <si>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</si>
  <si>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</si>
  <si>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</si>
  <si>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</si>
  <si>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</si>
  <si>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</si>
  <si>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</si>
  <si>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</si>
  <si>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</si>
  <si>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</si>
  <si>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</si>
  <si>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</si>
  <si>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</si>
  <si>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</si>
  <si>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</si>
  <si>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</si>
  <si>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</si>
  <si>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</si>
  <si>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</si>
  <si>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</si>
  <si>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</si>
  <si>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</si>
  <si>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</si>
  <si>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</si>
  <si>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</si>
  <si>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</si>
  <si>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</si>
  <si>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</si>
  <si>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</si>
  <si>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</si>
  <si>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</si>
  <si>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</si>
  <si>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</si>
  <si>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</si>
  <si>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</si>
  <si>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</si>
  <si>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</si>
  <si>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</si>
  <si>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</si>
  <si>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</si>
  <si>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</si>
  <si>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</si>
  <si>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</si>
  <si>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</si>
  <si>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</si>
  <si>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</si>
  <si>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</si>
  <si>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</si>
  <si>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</si>
  <si>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</si>
  <si>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</si>
  <si>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</si>
  <si>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</si>
  <si>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</si>
  <si>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</si>
  <si>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</si>
  <si>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</si>
  <si>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</si>
  <si>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</si>
  <si>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</si>
  <si>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</si>
  <si>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</si>
  <si>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</si>
  <si>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</si>
  <si>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</si>
  <si>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</si>
  <si>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</si>
  <si>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</si>
  <si>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</si>
  <si>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</si>
  <si>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</si>
  <si>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</si>
  <si>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</si>
  <si>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</si>
  <si>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</si>
  <si>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</si>
  <si>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</si>
  <si>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</si>
  <si>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</si>
  <si>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</si>
  <si>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</si>
  <si>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</si>
  <si>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</si>
  <si>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</si>
  <si>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</si>
  <si>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</si>
  <si>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</si>
  <si>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</si>
  <si>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</si>
  <si>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</si>
  <si>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</si>
  <si>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</si>
  <si>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</si>
  <si>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</si>
  <si>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</si>
  <si>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</si>
  <si>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</si>
  <si>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</si>
  <si>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</si>
  <si>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</si>
  <si>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</si>
  <si>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</si>
  <si>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</si>
  <si>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</si>
  <si>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</si>
  <si>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</si>
  <si>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</si>
  <si>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</si>
  <si>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</si>
  <si>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</si>
  <si>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</si>
  <si>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</si>
  <si>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</si>
  <si>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</si>
  <si>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</si>
  <si>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</si>
  <si>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</si>
  <si>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</si>
  <si>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</si>
  <si>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</si>
  <si>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</si>
  <si>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</si>
  <si>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</si>
  <si>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</si>
  <si>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</si>
  <si>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</si>
  <si>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</si>
  <si>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</si>
  <si>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</si>
  <si>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</si>
  <si>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</si>
  <si>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</si>
  <si>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</si>
  <si>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</si>
  <si>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</si>
  <si>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</si>
  <si>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</si>
  <si>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</si>
  <si>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</si>
  <si>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</si>
  <si>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</si>
  <si>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</si>
  <si>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</si>
  <si>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</si>
  <si>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</si>
  <si>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</si>
  <si>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</si>
  <si>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</si>
  <si>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</si>
  <si>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</si>
  <si>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</si>
  <si>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</si>
  <si>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</si>
  <si>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</si>
  <si>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</si>
  <si>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</si>
  <si>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</si>
  <si>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</si>
  <si>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</si>
  <si>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</si>
  <si>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</si>
  <si>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</si>
  <si>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</si>
  <si>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</si>
  <si>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</si>
  <si>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</si>
  <si>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</si>
  <si>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</si>
  <si>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</si>
  <si>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</si>
  <si>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</si>
  <si>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</si>
  <si>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</si>
  <si>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</si>
  <si>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</si>
  <si>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</si>
  <si>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</si>
  <si>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</si>
  <si>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</si>
  <si>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</si>
  <si>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</si>
  <si>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</si>
  <si>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</si>
  <si>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</si>
  <si>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</si>
  <si>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</si>
  <si>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</si>
  <si>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</si>
  <si>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</si>
  <si>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</si>
  <si>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</si>
  <si>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</si>
  <si>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</si>
  <si>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</si>
  <si>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</si>
  <si>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</si>
  <si>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</si>
  <si>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</si>
  <si>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</si>
  <si>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</si>
  <si>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</si>
  <si>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</si>
  <si>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</si>
  <si>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</si>
  <si>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</si>
  <si>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</si>
  <si>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</si>
  <si>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</si>
  <si>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</si>
  <si>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</si>
  <si>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</si>
  <si>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</si>
  <si>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</si>
  <si>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</si>
  <si>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</si>
  <si>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</si>
  <si>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</si>
  <si>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</si>
  <si>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</si>
  <si>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</si>
  <si>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</si>
  <si>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</si>
  <si>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</si>
  <si>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</si>
  <si>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</si>
  <si>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</si>
  <si>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</si>
  <si>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</si>
  <si>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</si>
  <si>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</si>
  <si>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</si>
  <si>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</si>
  <si>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</si>
  <si>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</si>
  <si>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</si>
  <si>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</si>
  <si>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</si>
  <si>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</si>
  <si>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</si>
  <si>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</si>
  <si>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</si>
  <si>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</si>
  <si>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</si>
  <si>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</si>
  <si>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</si>
  <si>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</si>
  <si>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</si>
  <si>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</si>
  <si>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</si>
  <si>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</si>
  <si>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</si>
  <si>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</si>
  <si>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</si>
  <si>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</si>
  <si>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</si>
  <si>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</si>
  <si>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</si>
  <si>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</si>
  <si>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</si>
  <si>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</si>
  <si>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</si>
  <si>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</si>
  <si>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</si>
  <si>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</si>
  <si>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</si>
  <si>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</si>
  <si>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</si>
  <si>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</si>
  <si>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</si>
  <si>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</si>
  <si>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</si>
  <si>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</si>
  <si>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</si>
  <si>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</si>
  <si>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</si>
  <si>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</si>
  <si>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</si>
  <si>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</si>
  <si>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</si>
  <si>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</si>
  <si>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</si>
  <si>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</si>
  <si>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</si>
  <si>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</si>
  <si>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</si>
  <si>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</si>
  <si>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</si>
  <si>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</si>
  <si>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</si>
  <si>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</si>
  <si>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</si>
  <si>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</si>
  <si>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</si>
  <si>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</si>
  <si>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</si>
  <si>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</si>
  <si>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</si>
  <si>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</si>
  <si>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</si>
  <si>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</si>
  <si>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</si>
  <si>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</si>
  <si>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</si>
  <si>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</si>
  <si>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</si>
  <si>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</si>
  <si>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</si>
  <si>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</si>
  <si>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</si>
  <si>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</si>
  <si>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</si>
  <si>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</si>
  <si>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</si>
  <si>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</si>
  <si>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</si>
  <si>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</si>
  <si>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</si>
  <si>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</si>
  <si>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</si>
  <si>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</si>
  <si>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</si>
  <si>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</si>
  <si>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</si>
  <si>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</si>
  <si>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</si>
  <si>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</si>
  <si>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</si>
  <si>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</si>
  <si>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</si>
  <si>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</si>
  <si>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</si>
  <si>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</si>
  <si>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</si>
  <si>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</si>
  <si>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</si>
  <si>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</si>
  <si>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</si>
  <si>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</si>
  <si>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</si>
  <si>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</si>
  <si>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</si>
  <si>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</si>
  <si>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</si>
  <si>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</si>
  <si>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</si>
  <si>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</si>
  <si>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</si>
  <si>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</si>
  <si>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</si>
  <si>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</si>
  <si>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</si>
  <si>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</si>
  <si>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</si>
  <si>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</si>
  <si>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</si>
  <si>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</si>
  <si>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</si>
  <si>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</si>
  <si>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</si>
  <si>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</si>
  <si>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</si>
  <si>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</si>
  <si>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</si>
  <si>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</si>
  <si>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</si>
  <si>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</si>
  <si>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</si>
  <si>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</si>
  <si>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</si>
  <si>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</si>
  <si>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</si>
  <si>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</si>
  <si>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</si>
  <si>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</si>
  <si>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</si>
  <si>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</si>
  <si>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</si>
  <si>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</si>
  <si>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</si>
  <si>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</si>
  <si>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</si>
  <si>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</si>
  <si>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</si>
  <si>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</si>
  <si>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</si>
  <si>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</si>
  <si>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</si>
  <si>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</si>
  <si>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</si>
  <si>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</si>
  <si>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</si>
  <si>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</si>
  <si>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</si>
  <si>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</si>
  <si>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</si>
  <si>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</si>
  <si>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</si>
  <si>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</si>
  <si>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</si>
  <si>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</si>
  <si>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</si>
  <si>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</si>
  <si>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</si>
  <si>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</si>
  <si>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</si>
  <si>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</si>
  <si>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</si>
  <si>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</si>
  <si>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</si>
  <si>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</si>
  <si>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</si>
  <si>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</si>
  <si>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</si>
  <si>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</si>
  <si>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</si>
  <si>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</si>
  <si>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</si>
  <si>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</si>
  <si>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</si>
  <si>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</si>
  <si>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</si>
  <si>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</si>
  <si>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</si>
  <si>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</si>
  <si>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</si>
  <si>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</si>
  <si>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</si>
  <si>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</si>
  <si>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</si>
  <si>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</si>
  <si>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</si>
  <si>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</si>
  <si>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</si>
  <si>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</si>
  <si>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</si>
  <si>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</si>
  <si>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</si>
  <si>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</si>
  <si>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</si>
  <si>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</si>
  <si>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</si>
  <si>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</si>
  <si>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</si>
  <si>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</si>
  <si>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</si>
  <si>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</si>
  <si>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</si>
  <si>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</si>
  <si>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</si>
  <si>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</si>
  <si>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</si>
  <si>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</si>
  <si>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</si>
  <si>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</si>
  <si>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</si>
  <si>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</si>
  <si>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</si>
  <si>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</si>
  <si>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</si>
  <si>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</si>
  <si>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</si>
  <si>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</si>
  <si>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</si>
  <si>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</si>
  <si>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</si>
  <si>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</si>
  <si>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</si>
  <si>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</si>
  <si>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</si>
  <si>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</si>
  <si>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</si>
  <si>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</si>
  <si>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</si>
  <si>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</si>
  <si>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</si>
  <si>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</si>
  <si>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</si>
  <si>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</si>
  <si>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</si>
  <si>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</si>
  <si>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</si>
  <si>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</si>
  <si>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</si>
  <si>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</si>
  <si>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</si>
  <si>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</si>
  <si>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</si>
  <si>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</si>
  <si>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</si>
  <si>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</si>
  <si>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</si>
  <si>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</si>
  <si>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</si>
  <si>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</si>
  <si>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</si>
  <si>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</si>
  <si>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</si>
  <si>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</si>
  <si>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</si>
  <si>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</si>
  <si>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</si>
  <si>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</si>
  <si>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</si>
  <si>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</si>
  <si>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</si>
  <si>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</si>
  <si>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</si>
  <si>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</si>
  <si>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</si>
  <si>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</si>
  <si>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</si>
  <si>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</si>
  <si>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</si>
  <si>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</si>
  <si>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</si>
  <si>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</si>
  <si>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</si>
  <si>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</si>
  <si>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</si>
  <si>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</si>
  <si>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</si>
  <si>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</si>
  <si>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</si>
  <si>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</si>
  <si>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</si>
  <si>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</si>
  <si>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</si>
  <si>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</si>
  <si>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</si>
  <si>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</si>
  <si>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</si>
  <si>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</si>
  <si>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</si>
  <si>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</si>
  <si>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</si>
  <si>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</si>
  <si>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</si>
  <si>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</si>
  <si>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</si>
  <si>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</si>
  <si>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</si>
  <si>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</si>
  <si>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</si>
  <si>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</si>
  <si>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</si>
  <si>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</si>
  <si>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</si>
  <si>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</si>
  <si>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</si>
  <si>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</si>
  <si>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</si>
  <si>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</si>
  <si>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</si>
  <si>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</si>
  <si>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</si>
  <si>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</si>
  <si>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</si>
  <si>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</si>
  <si>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</si>
  <si>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</si>
  <si>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</si>
  <si>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</si>
  <si>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</si>
  <si>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</si>
  <si>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</si>
  <si>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</si>
  <si>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</si>
  <si>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</si>
  <si>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</si>
  <si>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</si>
  <si>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</si>
  <si>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</si>
  <si>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</si>
  <si>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</si>
  <si>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</si>
  <si>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</si>
  <si>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</si>
  <si>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</si>
  <si>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</si>
  <si>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</si>
  <si>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</si>
  <si>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</si>
  <si>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</si>
  <si>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</si>
  <si>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</si>
  <si>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</si>
  <si>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</si>
  <si>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</si>
  <si>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</si>
  <si>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</si>
  <si>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</si>
  <si>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</si>
  <si>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</si>
  <si>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</si>
  <si>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</si>
  <si>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</si>
  <si>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</si>
  <si>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</si>
  <si>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</si>
  <si>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</si>
  <si>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</si>
  <si>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</si>
  <si>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</si>
  <si>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</si>
  <si>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</si>
  <si>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</si>
  <si>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</si>
  <si>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</si>
  <si>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</si>
  <si>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</si>
  <si>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</si>
  <si>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</si>
  <si>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</si>
  <si>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</si>
  <si>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</si>
  <si>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</si>
  <si>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</si>
  <si>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</si>
  <si>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</si>
  <si>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</si>
  <si>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</si>
  <si>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</si>
  <si>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</si>
  <si>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</si>
  <si>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</si>
  <si>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</si>
  <si>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</si>
  <si>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</si>
  <si>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</si>
  <si>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</si>
  <si>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</si>
  <si>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</si>
  <si>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</si>
  <si>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</si>
  <si>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</si>
  <si>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</si>
  <si>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</si>
  <si>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</si>
  <si>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</si>
  <si>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</si>
  <si>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</si>
  <si>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</si>
  <si>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</si>
  <si>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</si>
  <si>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</si>
  <si>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</si>
  <si>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</si>
  <si>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</si>
  <si>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</si>
  <si>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</si>
  <si>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</si>
  <si>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</si>
  <si>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</si>
  <si>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</si>
  <si>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</si>
  <si>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</si>
  <si>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</si>
  <si>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</si>
  <si>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</si>
  <si>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</si>
  <si>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</si>
  <si>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</si>
  <si>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</si>
  <si>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</si>
  <si>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</si>
  <si>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</si>
  <si>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</si>
  <si>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</si>
  <si>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</si>
  <si>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</si>
  <si>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</si>
  <si>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</si>
  <si>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</si>
  <si>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</si>
  <si>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</si>
  <si>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</si>
  <si>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</si>
  <si>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</si>
  <si>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</si>
  <si>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</si>
  <si>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</si>
  <si>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</si>
  <si>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</si>
  <si>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</si>
  <si>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</si>
  <si>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</si>
  <si>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</si>
  <si>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</si>
  <si>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</si>
  <si>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</si>
  <si>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</si>
  <si>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</si>
  <si>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</si>
  <si>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</si>
  <si>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</si>
  <si>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</si>
  <si>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</si>
  <si>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</si>
  <si>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</si>
  <si>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</si>
  <si>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</si>
  <si>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</si>
  <si>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</si>
  <si>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</si>
  <si>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</si>
  <si>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</si>
  <si>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</si>
  <si>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</si>
  <si>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</si>
  <si>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</si>
  <si>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</si>
  <si>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</si>
  <si>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</si>
  <si>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</si>
  <si>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</si>
  <si>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</si>
  <si>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</si>
  <si>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</si>
  <si>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</si>
  <si>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</si>
  <si>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</si>
  <si>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</si>
  <si>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</si>
  <si>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</si>
  <si>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</si>
  <si>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</si>
  <si>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</si>
  <si>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</si>
  <si>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</si>
  <si>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</si>
  <si>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</si>
  <si>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</si>
  <si>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</si>
  <si>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</si>
  <si>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</si>
  <si>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</si>
  <si>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</si>
  <si>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</si>
  <si>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</si>
  <si>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</si>
  <si>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</si>
  <si>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</si>
  <si>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</si>
  <si>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</si>
  <si>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</si>
  <si>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</si>
  <si>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</si>
  <si>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</si>
  <si>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</si>
  <si>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</si>
  <si>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</si>
  <si>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</si>
  <si>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</si>
  <si>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</si>
  <si>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</si>
  <si>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</si>
  <si>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</si>
  <si>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</si>
  <si>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</si>
  <si>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</si>
  <si>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</si>
  <si>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</si>
  <si>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</si>
  <si>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</si>
  <si>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</si>
  <si>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</si>
  <si>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</si>
  <si>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</si>
  <si>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</si>
  <si>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</si>
  <si>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</si>
  <si>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</si>
  <si>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</si>
  <si>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</si>
  <si>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</si>
  <si>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</si>
  <si>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</si>
  <si>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</si>
  <si>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</si>
  <si>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</si>
  <si>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</si>
  <si>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</si>
  <si>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</si>
  <si>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</si>
  <si>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</si>
  <si>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</si>
  <si>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</si>
  <si>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</si>
  <si>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</si>
  <si>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</si>
  <si>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</si>
  <si>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</si>
  <si>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</si>
  <si>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</si>
  <si>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</si>
  <si>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</si>
  <si>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</si>
  <si>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</si>
  <si>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</si>
  <si>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</si>
  <si>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</si>
  <si>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</si>
  <si>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</si>
  <si>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</si>
  <si>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</si>
  <si>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</si>
  <si>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</si>
  <si>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</si>
  <si>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</si>
  <si>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</si>
  <si>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</si>
  <si>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</si>
  <si>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</si>
  <si>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</si>
  <si>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</si>
  <si>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</si>
  <si>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</si>
  <si>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</si>
  <si>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</si>
  <si>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</si>
  <si>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</si>
  <si>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</si>
  <si>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</si>
  <si>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</si>
  <si>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</si>
  <si>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</si>
  <si>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</si>
  <si>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</si>
  <si>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</si>
  <si>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</si>
  <si>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</si>
  <si>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</si>
  <si>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</si>
  <si>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</si>
  <si>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</si>
  <si>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</si>
  <si>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</si>
  <si>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</si>
  <si>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</si>
  <si>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</si>
  <si>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</si>
  <si>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</si>
  <si>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</si>
  <si>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</si>
  <si>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</si>
  <si>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</si>
  <si>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</si>
  <si>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</si>
  <si>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</si>
  <si>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</si>
  <si>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</si>
  <si>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</si>
  <si>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</si>
  <si>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</si>
  <si>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</si>
  <si>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</si>
  <si>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</si>
  <si>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</si>
  <si>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</si>
  <si>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</si>
  <si>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</si>
  <si>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</si>
  <si>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</si>
  <si>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</si>
  <si>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</si>
  <si>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</si>
  <si>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</si>
  <si>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</si>
  <si>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</si>
  <si>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</si>
  <si>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</si>
  <si>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</si>
  <si>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</si>
  <si>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</si>
  <si>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</si>
  <si>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</si>
  <si>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</si>
  <si>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</si>
  <si>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</si>
  <si>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</si>
  <si>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</si>
  <si>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</si>
  <si>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</si>
  <si>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</si>
  <si>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</si>
  <si>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</si>
  <si>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</si>
  <si>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</si>
  <si>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</si>
  <si>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</si>
  <si>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</si>
  <si>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</si>
  <si>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</si>
  <si>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</si>
  <si>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</si>
  <si>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</si>
  <si>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</si>
  <si>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</si>
  <si>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</si>
  <si>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</si>
  <si>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</si>
  <si>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</si>
  <si>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</si>
  <si>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</si>
  <si>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</si>
  <si>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</si>
  <si>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</si>
  <si>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</si>
  <si>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</si>
  <si>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</si>
  <si>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</si>
  <si>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</si>
  <si>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</si>
  <si>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</si>
  <si>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</si>
  <si>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</si>
  <si>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</si>
  <si>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</si>
  <si>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</si>
  <si>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</si>
  <si>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</si>
  <si>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</si>
  <si>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</si>
  <si>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</si>
  <si>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</si>
  <si>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</si>
  <si>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</si>
  <si>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</si>
  <si>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</si>
  <si>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</si>
  <si>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</si>
  <si>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</si>
  <si>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</si>
  <si>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</si>
  <si>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</si>
  <si>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</si>
  <si>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</si>
  <si>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</si>
  <si>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</si>
  <si>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</si>
  <si>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</si>
  <si>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</si>
  <si>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</si>
  <si>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</si>
  <si>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</si>
  <si>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</si>
  <si>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</si>
  <si>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</si>
  <si>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</si>
  <si>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</si>
  <si>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</si>
  <si>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</si>
  <si>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</si>
  <si>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</si>
  <si>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</si>
  <si>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</si>
  <si>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</si>
  <si>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</si>
  <si>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</si>
  <si>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</si>
  <si>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</si>
  <si>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</si>
  <si>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</si>
  <si>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</si>
  <si>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</si>
  <si>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</si>
  <si>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</si>
  <si>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</si>
  <si>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</si>
  <si>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</si>
  <si>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</si>
  <si>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</si>
  <si>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</si>
  <si>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</si>
  <si>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</si>
  <si>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</si>
  <si>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</si>
  <si>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</si>
  <si>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</si>
  <si>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</si>
  <si>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</si>
  <si>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</si>
  <si>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</si>
  <si>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</si>
  <si>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</si>
  <si>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</si>
  <si>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</si>
  <si>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</si>
  <si>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</si>
  <si>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</si>
  <si>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</si>
  <si>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</si>
  <si>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</si>
  <si>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</si>
  <si>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</si>
  <si>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</si>
  <si>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</si>
  <si>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</si>
  <si>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</si>
  <si>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</si>
  <si>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</si>
  <si>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</si>
  <si>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</si>
  <si>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</si>
  <si>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</si>
  <si>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</si>
  <si>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</si>
  <si>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</si>
  <si>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</si>
  <si>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</si>
  <si>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</si>
  <si>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</si>
  <si>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</si>
  <si>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</si>
  <si>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</si>
  <si>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</si>
  <si>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</si>
  <si>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</si>
  <si>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</si>
  <si>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</si>
  <si>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</si>
  <si>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</si>
  <si>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</si>
  <si>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</si>
  <si>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</si>
  <si>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</si>
  <si>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</si>
  <si>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</si>
  <si>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</si>
  <si>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</si>
  <si>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</si>
  <si>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</si>
  <si>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</si>
  <si>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</si>
  <si>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</si>
  <si>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</si>
  <si>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</si>
  <si>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</si>
  <si>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</si>
  <si>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</si>
  <si>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</si>
  <si>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</si>
  <si>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</si>
  <si>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</si>
  <si>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</si>
  <si>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</si>
  <si>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</si>
  <si>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</si>
  <si>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</si>
  <si>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</si>
  <si>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</si>
  <si>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</si>
  <si>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</si>
  <si>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</si>
  <si>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</si>
  <si>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</si>
  <si>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</si>
  <si>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</si>
  <si>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</si>
  <si>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</si>
  <si>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</si>
  <si>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</si>
  <si>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</si>
  <si>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</si>
  <si>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</si>
  <si>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</si>
  <si>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</si>
  <si>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</si>
  <si>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</si>
  <si>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</si>
  <si>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</si>
  <si>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</si>
  <si>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</si>
  <si>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</si>
  <si>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</si>
  <si>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</si>
  <si>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</si>
  <si>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</si>
  <si>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</si>
  <si>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</si>
  <si>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</si>
  <si>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</si>
  <si>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</si>
  <si>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</si>
  <si>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</si>
  <si>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</si>
  <si>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</si>
  <si>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</si>
  <si>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</si>
  <si>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</si>
  <si>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</si>
  <si>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</si>
  <si>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</si>
  <si>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</si>
  <si>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</si>
  <si>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</si>
  <si>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</si>
  <si>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</si>
  <si>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</si>
  <si>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</si>
  <si>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</si>
  <si>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</si>
  <si>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</si>
  <si>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</si>
  <si>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</si>
  <si>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</si>
  <si>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</si>
  <si>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</si>
  <si>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</si>
  <si>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</si>
  <si>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</si>
  <si>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</si>
  <si>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</si>
  <si>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</si>
  <si>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</si>
  <si>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</si>
  <si>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</si>
  <si>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</si>
  <si>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</si>
  <si>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</si>
  <si>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</si>
  <si>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</si>
  <si>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</si>
  <si>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</si>
  <si>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</si>
  <si>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</si>
  <si>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</si>
  <si>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</si>
  <si>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</si>
  <si>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</si>
  <si>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</si>
  <si>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</si>
  <si>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</si>
  <si>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</si>
  <si>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</si>
  <si>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</si>
  <si>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</si>
  <si>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</si>
  <si>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</si>
  <si>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</si>
  <si>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</si>
  <si>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</si>
  <si>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</si>
  <si>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</si>
  <si>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</si>
  <si>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</si>
  <si>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</si>
  <si>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</si>
  <si>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</si>
  <si>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</si>
  <si>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</si>
  <si>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</si>
  <si>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</si>
  <si>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</si>
  <si>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</si>
  <si>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</si>
  <si>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</si>
  <si>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</si>
  <si>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</si>
  <si>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</si>
  <si>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</si>
  <si>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</si>
  <si>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</si>
  <si>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</si>
  <si>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</si>
  <si>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</si>
  <si>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</si>
  <si>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</si>
  <si>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</si>
  <si>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</si>
  <si>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</si>
  <si>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</si>
  <si>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</si>
  <si>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</si>
  <si>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</si>
  <si>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</si>
  <si>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</si>
  <si>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</si>
  <si>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</si>
  <si>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</si>
  <si>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</si>
  <si>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</si>
  <si>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</si>
  <si>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</si>
  <si>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</si>
  <si>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</si>
  <si>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</si>
  <si>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</si>
  <si>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</si>
  <si>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</si>
  <si>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</si>
  <si>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</si>
  <si>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</si>
  <si>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</si>
  <si>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</si>
  <si>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</si>
  <si>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</si>
  <si>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</si>
  <si>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</si>
  <si>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</si>
  <si>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</si>
  <si>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</si>
  <si>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</si>
  <si>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</si>
  <si>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</si>
  <si>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</si>
  <si>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</si>
  <si>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</si>
  <si>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</si>
  <si>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</si>
  <si>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</si>
  <si>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</si>
  <si>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</si>
  <si>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</si>
  <si>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</si>
  <si>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</si>
  <si>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</si>
  <si>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</si>
  <si>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</si>
  <si>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</si>
  <si>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</si>
  <si>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</si>
  <si>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</si>
  <si>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</si>
  <si>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</si>
  <si>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</si>
  <si>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</si>
  <si>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</si>
  <si>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</si>
  <si>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</si>
  <si>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</si>
  <si>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</si>
  <si>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</si>
  <si>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</si>
  <si>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</si>
  <si>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</si>
  <si>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</si>
  <si>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</si>
  <si>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</si>
  <si>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</si>
  <si>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</si>
  <si>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</si>
  <si>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</si>
  <si>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</si>
  <si>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</si>
  <si>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</si>
  <si>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</si>
  <si>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</si>
  <si>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</si>
  <si>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</si>
  <si>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</si>
  <si>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</si>
  <si>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</si>
  <si>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</si>
  <si>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</si>
  <si>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</si>
  <si>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</si>
  <si>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</si>
  <si>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</si>
  <si>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</si>
  <si>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</si>
  <si>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</si>
  <si>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</si>
  <si>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</si>
  <si>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</si>
  <si>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</si>
  <si>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</si>
  <si>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</si>
  <si>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</si>
  <si>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</si>
  <si>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</si>
  <si>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</si>
  <si>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</si>
  <si>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</si>
  <si>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</si>
  <si>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</si>
  <si>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</si>
  <si>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</si>
  <si>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</si>
  <si>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</si>
  <si>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</si>
  <si>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</si>
  <si>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</si>
  <si>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</si>
  <si>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</si>
  <si>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</si>
  <si>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</si>
  <si>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</si>
  <si>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</si>
  <si>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</si>
  <si>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</si>
  <si>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</si>
  <si>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</si>
  <si>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</si>
  <si>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</si>
  <si>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</si>
  <si>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</si>
  <si>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</si>
  <si>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</si>
  <si>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</si>
  <si>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</si>
  <si>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</si>
  <si>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</si>
  <si>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</si>
  <si>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</si>
  <si>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</si>
  <si>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</si>
  <si>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</si>
  <si>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</si>
  <si>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</si>
  <si>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</si>
  <si>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</si>
  <si>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</si>
  <si>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</si>
  <si>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</si>
  <si>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</si>
  <si>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</si>
  <si>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</si>
  <si>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</si>
  <si>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</si>
  <si>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</si>
  <si>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</si>
  <si>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</si>
  <si>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</si>
  <si>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</si>
  <si>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</si>
  <si>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</si>
  <si>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</si>
  <si>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</si>
  <si>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</si>
  <si>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</si>
  <si>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</si>
  <si>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</si>
  <si>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</si>
  <si>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</si>
  <si>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</si>
  <si>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</si>
  <si>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</si>
  <si>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</si>
  <si>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</si>
  <si>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</si>
  <si>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</si>
  <si>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</si>
  <si>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</si>
  <si>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</si>
  <si>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</si>
  <si>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</si>
  <si>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</si>
  <si>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</si>
  <si>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</si>
  <si>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</si>
  <si>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</si>
  <si>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</si>
  <si>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</si>
  <si>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</si>
  <si>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</si>
  <si>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</si>
  <si>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</si>
  <si>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</si>
  <si>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</si>
  <si>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</si>
  <si>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</si>
  <si>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</si>
  <si>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</si>
  <si>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</si>
  <si>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</si>
  <si>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</si>
  <si>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</si>
  <si>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</si>
  <si>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</si>
  <si>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</si>
  <si>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</si>
  <si>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</si>
  <si>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</si>
  <si>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</si>
  <si>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</si>
  <si>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</si>
  <si>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</si>
  <si>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</si>
  <si>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</si>
  <si>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</si>
  <si>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</si>
  <si>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</si>
  <si>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</si>
  <si>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</si>
  <si>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</si>
  <si>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</si>
  <si>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</si>
  <si>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</si>
  <si>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</si>
  <si>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</si>
  <si>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</si>
  <si>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</si>
  <si>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</si>
  <si>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</si>
  <si>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</si>
  <si>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</si>
  <si>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</si>
  <si>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</si>
  <si>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</si>
  <si>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</si>
  <si>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</si>
  <si>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</si>
  <si>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</si>
  <si>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</si>
  <si>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</si>
  <si>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</si>
  <si>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</si>
  <si>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</si>
  <si>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</si>
  <si>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</si>
  <si>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</si>
  <si>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</si>
  <si>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</si>
  <si>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</si>
  <si>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</si>
  <si>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</si>
  <si>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</si>
  <si>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</si>
  <si>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</si>
  <si>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</si>
  <si>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</si>
  <si>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</si>
  <si>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</si>
  <si>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</si>
  <si>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</si>
  <si>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</si>
  <si>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</si>
  <si>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</si>
  <si>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</si>
  <si>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</si>
  <si>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</si>
  <si>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</si>
  <si>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</si>
  <si>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</si>
  <si>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</si>
  <si>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</si>
  <si>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</si>
  <si>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</si>
  <si>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</si>
  <si>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</si>
  <si>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</si>
  <si>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</si>
  <si>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</si>
  <si>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</si>
  <si>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</si>
  <si>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</si>
  <si>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</si>
  <si>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</si>
  <si>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</si>
  <si>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</si>
  <si>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</si>
  <si>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</si>
  <si>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</si>
  <si>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</si>
  <si>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</si>
  <si>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</si>
  <si>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</si>
  <si>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</si>
  <si>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</si>
  <si>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</si>
  <si>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</si>
  <si>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</si>
  <si>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</si>
  <si>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</si>
  <si>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</si>
  <si>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</si>
  <si>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</si>
  <si>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</si>
  <si>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</si>
  <si>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</si>
  <si>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</si>
  <si>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</si>
  <si>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</si>
  <si>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</si>
  <si>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</si>
  <si>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</si>
  <si>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</si>
  <si>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</si>
  <si>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</si>
  <si>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</si>
  <si>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</si>
  <si>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</si>
  <si>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</si>
  <si>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</si>
  <si>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</si>
  <si>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</si>
  <si>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</si>
  <si>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</si>
  <si>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</si>
  <si>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</si>
  <si>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</si>
  <si>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</si>
  <si>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</si>
  <si>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</si>
  <si>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</si>
  <si>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</si>
  <si>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</si>
  <si>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</si>
  <si>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</si>
  <si>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</si>
  <si>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</si>
  <si>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</si>
  <si>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</si>
  <si>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</si>
  <si>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</si>
  <si>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</si>
  <si>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</si>
  <si>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</si>
  <si>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</si>
  <si>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</si>
  <si>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</si>
  <si>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</si>
  <si>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</si>
  <si>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</si>
  <si>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</si>
  <si>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</si>
  <si>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</si>
  <si>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</si>
  <si>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</si>
  <si>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</si>
  <si>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</si>
  <si>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</si>
  <si>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</si>
  <si>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</si>
  <si>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</si>
  <si>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</si>
  <si>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</si>
  <si>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</si>
  <si>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</si>
  <si>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</si>
  <si>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</si>
  <si>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</si>
  <si>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</si>
  <si>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</si>
  <si>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</si>
  <si>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</si>
  <si>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</si>
  <si>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</si>
  <si>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</si>
  <si>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</si>
  <si>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</si>
  <si>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</si>
  <si>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</si>
  <si>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</si>
  <si>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</si>
  <si>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</si>
  <si>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</si>
  <si>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</si>
  <si>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</si>
  <si>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</si>
  <si>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</si>
  <si>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</si>
  <si>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</si>
  <si>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</si>
  <si>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</si>
  <si>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</si>
  <si>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</si>
  <si>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</si>
  <si>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</si>
  <si>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</si>
  <si>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</si>
  <si>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</si>
  <si>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</si>
  <si>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</si>
  <si>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</si>
  <si>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</si>
  <si>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</si>
  <si>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</si>
  <si>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</si>
  <si>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</si>
  <si>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</si>
  <si>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</si>
  <si>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</si>
  <si>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</si>
  <si>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</si>
  <si>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</si>
  <si>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</si>
  <si>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</si>
  <si>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</si>
  <si>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</si>
  <si>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</si>
  <si>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</si>
  <si>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</si>
  <si>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</si>
  <si>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</si>
  <si>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</si>
  <si>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</si>
  <si>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</si>
  <si>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</si>
  <si>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</si>
  <si>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</si>
  <si>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</si>
  <si>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</si>
  <si>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</si>
  <si>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</si>
  <si>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</si>
  <si>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</si>
  <si>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</si>
  <si>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</si>
  <si>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</si>
  <si>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</si>
  <si>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</si>
  <si>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</si>
  <si>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</si>
  <si>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</si>
  <si>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</si>
  <si>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</si>
  <si>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</si>
  <si>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</si>
  <si>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</si>
  <si>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</si>
  <si>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</si>
  <si>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</si>
  <si>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</si>
  <si>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</si>
  <si>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</si>
  <si>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</si>
  <si>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</si>
  <si>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</si>
  <si>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</si>
  <si>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</si>
  <si>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</si>
  <si>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</si>
  <si>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</si>
  <si>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</si>
  <si>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</si>
  <si>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</si>
  <si>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</si>
  <si>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</si>
  <si>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</si>
  <si>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</si>
  <si>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</si>
  <si>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</si>
  <si>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</si>
  <si>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</si>
  <si>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</si>
  <si>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</si>
  <si>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</si>
  <si>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</si>
  <si>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</si>
  <si>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</si>
  <si>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</si>
  <si>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</si>
  <si>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</si>
  <si>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</si>
  <si>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</si>
  <si>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</si>
  <si>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</si>
  <si>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</si>
  <si>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</si>
  <si>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</si>
  <si>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</si>
  <si>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</si>
  <si>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</si>
  <si>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</si>
  <si>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</si>
  <si>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</si>
  <si>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</si>
  <si>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</si>
  <si>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</si>
  <si>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</si>
  <si>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</si>
  <si>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</si>
  <si>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</si>
  <si>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</si>
  <si>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</si>
  <si>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</si>
  <si>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</si>
  <si>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</si>
  <si>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</si>
  <si>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</si>
  <si>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</si>
  <si>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</si>
  <si>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</si>
  <si>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</si>
  <si>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</si>
  <si>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</si>
  <si>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</si>
  <si>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</si>
  <si>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</si>
  <si>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</si>
  <si>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</si>
  <si>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</si>
  <si>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</si>
  <si>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</si>
  <si>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</si>
  <si>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</si>
  <si>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</si>
  <si>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</si>
  <si>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</si>
  <si>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</si>
  <si>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</si>
  <si>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</si>
  <si>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</si>
  <si>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</si>
  <si>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</si>
  <si>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</si>
  <si>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</si>
  <si>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</si>
  <si>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</si>
  <si>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</si>
  <si>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</si>
  <si>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</si>
  <si>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</si>
  <si>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</si>
  <si>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</si>
  <si>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</si>
  <si>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</si>
  <si>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</si>
  <si>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</si>
  <si>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</si>
  <si>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</si>
  <si>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</si>
  <si>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</si>
  <si>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</si>
  <si>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</si>
  <si>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</si>
  <si>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</si>
  <si>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</si>
  <si>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</si>
  <si>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</si>
  <si>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</si>
  <si>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</si>
  <si>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</si>
  <si>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</si>
  <si>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</si>
  <si>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</si>
  <si>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</si>
  <si>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</si>
  <si>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</si>
  <si>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</si>
  <si>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</si>
  <si>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</si>
  <si>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</si>
  <si>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</si>
  <si>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</si>
  <si>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</si>
  <si>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</si>
  <si>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</si>
  <si>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</si>
  <si>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</si>
  <si>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</si>
  <si>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</si>
  <si>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</si>
  <si>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</si>
  <si>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</si>
  <si>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</si>
  <si>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</si>
  <si>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</si>
  <si>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</si>
  <si>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</si>
  <si>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</si>
  <si>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</si>
  <si>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</si>
  <si>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</si>
  <si>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</si>
  <si>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</si>
  <si>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</si>
  <si>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</si>
  <si>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</si>
  <si>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</si>
  <si>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</si>
  <si>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</si>
  <si>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</si>
  <si>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</si>
  <si>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</si>
  <si>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</si>
  <si>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</si>
  <si>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</si>
  <si>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</si>
  <si>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</si>
  <si>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</si>
  <si>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</si>
  <si>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</si>
  <si>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</si>
  <si>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</si>
  <si>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</si>
  <si>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</si>
  <si>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</si>
  <si>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</si>
  <si>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</si>
  <si>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</si>
  <si>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</si>
  <si>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</si>
  <si>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</si>
  <si>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</si>
  <si>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</si>
  <si>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</si>
  <si>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</si>
  <si>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</si>
  <si>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</si>
  <si>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</si>
  <si>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</si>
  <si>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</si>
  <si>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</si>
  <si>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</si>
  <si>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</si>
  <si>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</si>
  <si>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</si>
  <si>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</si>
  <si>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</si>
  <si>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</si>
  <si>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</si>
  <si>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</si>
  <si>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</si>
  <si>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</si>
  <si>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</si>
  <si>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</si>
  <si>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</si>
  <si>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</si>
  <si>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</si>
  <si>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</si>
  <si>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</si>
  <si>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</si>
  <si>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</si>
  <si>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</si>
  <si>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</si>
  <si>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</si>
  <si>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</si>
  <si>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</si>
  <si>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</si>
  <si>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</si>
  <si>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</si>
  <si>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</si>
  <si>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</si>
  <si>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</si>
  <si>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</si>
  <si>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</si>
  <si>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</si>
  <si>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</si>
  <si>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</si>
  <si>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</si>
  <si>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</si>
  <si>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</si>
  <si>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</si>
  <si>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</si>
  <si>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</si>
  <si>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</si>
  <si>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</si>
  <si>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</si>
  <si>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</si>
  <si>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</si>
  <si>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</si>
  <si>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</si>
  <si>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</si>
  <si>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</si>
  <si>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</si>
  <si>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</si>
  <si>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</si>
  <si>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</si>
  <si>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</si>
  <si>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</si>
  <si>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</si>
  <si>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</si>
  <si>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</si>
  <si>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</si>
  <si>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</si>
  <si>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</si>
  <si>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</si>
  <si>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</si>
  <si>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</si>
  <si>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</si>
  <si>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</si>
  <si>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</si>
  <si>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</si>
  <si>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</si>
  <si>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</si>
  <si>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</si>
  <si>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</si>
  <si>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</si>
  <si>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</si>
  <si>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</si>
  <si>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</si>
  <si>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</si>
  <si>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</si>
  <si>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</si>
  <si>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</si>
  <si>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</si>
  <si>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</si>
  <si>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</si>
  <si>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</si>
  <si>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</si>
  <si>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</si>
  <si>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</si>
  <si>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</si>
  <si>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</si>
  <si>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</si>
  <si>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</si>
  <si>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</si>
  <si>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</si>
  <si>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</si>
  <si>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</si>
  <si>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</si>
  <si>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</si>
  <si>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</si>
  <si>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</si>
  <si>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</si>
  <si>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</si>
  <si>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</si>
  <si>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</si>
  <si>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</si>
  <si>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</si>
  <si>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</si>
  <si>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</si>
  <si>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</si>
  <si>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</si>
  <si>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</si>
  <si>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</si>
  <si>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</si>
  <si>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</si>
  <si>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</si>
  <si>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</si>
  <si>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</si>
  <si>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</si>
  <si>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</si>
  <si>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</si>
  <si>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</si>
  <si>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</si>
  <si>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</si>
  <si>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</si>
  <si>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</si>
  <si>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</si>
  <si>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</si>
  <si>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</si>
  <si>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</si>
  <si>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</si>
  <si>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</si>
  <si>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</si>
  <si>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</si>
  <si>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</si>
  <si>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</si>
  <si>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</si>
  <si>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</si>
  <si>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</si>
  <si>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</si>
  <si>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</si>
  <si>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</si>
  <si>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</si>
  <si>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</si>
  <si>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</si>
  <si>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</si>
  <si>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</si>
  <si>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</si>
  <si>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</si>
  <si>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</si>
  <si>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</si>
  <si>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</si>
  <si>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</si>
  <si>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</si>
  <si>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</si>
  <si>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</si>
  <si>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</si>
  <si>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</si>
  <si>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</si>
  <si>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</si>
  <si>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</si>
  <si>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</si>
  <si>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</si>
  <si>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</si>
  <si>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</si>
  <si>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</si>
  <si>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</si>
  <si>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</si>
  <si>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</si>
  <si>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</si>
  <si>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</si>
  <si>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</si>
  <si>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</si>
  <si>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</si>
  <si>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</si>
  <si>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</si>
  <si>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</si>
  <si>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</si>
  <si>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</si>
  <si>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</si>
  <si>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</si>
  <si>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</si>
  <si>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</si>
  <si>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</si>
  <si>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</si>
  <si>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</si>
  <si>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</si>
  <si>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</si>
  <si>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</si>
  <si>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</si>
  <si>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</si>
  <si>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</si>
  <si>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</si>
  <si>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</si>
  <si>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</si>
  <si>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</si>
  <si>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</si>
  <si>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</si>
  <si>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</si>
  <si>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</si>
  <si>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</si>
  <si>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</si>
  <si>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</si>
  <si>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</si>
  <si>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</si>
  <si>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</si>
  <si>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</si>
  <si>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</si>
  <si>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</si>
  <si>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</si>
  <si>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</si>
  <si>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</si>
  <si>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</si>
  <si>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</si>
  <si>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</si>
  <si>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</si>
  <si>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</si>
  <si>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</si>
  <si>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</si>
  <si>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</si>
  <si>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</si>
  <si>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</si>
  <si>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</si>
  <si>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</si>
  <si>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</si>
  <si>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</si>
  <si>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</si>
  <si>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</si>
  <si>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</si>
  <si>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</si>
  <si>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</si>
  <si>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</si>
  <si>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</si>
  <si>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</si>
  <si>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</si>
  <si>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</si>
  <si>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</si>
  <si>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</si>
  <si>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</si>
  <si>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</si>
  <si>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</si>
  <si>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</si>
  <si>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</si>
  <si>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</si>
  <si>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</si>
  <si>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</si>
  <si>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20-096-1120-04</t>
  </si>
  <si>
    <t>Wayne</t>
  </si>
  <si>
    <t>Fairfield PSD 112</t>
  </si>
  <si>
    <t>806 North First Street</t>
  </si>
  <si>
    <t>Fairfield</t>
  </si>
  <si>
    <t>618-842-6501</t>
  </si>
  <si>
    <t>618-842-2892</t>
  </si>
  <si>
    <t>Dr. Scott England</t>
  </si>
  <si>
    <t>2010A - General Obligation Refunding Bonds</t>
  </si>
  <si>
    <t>2010B - Taxable General Obligation Bonds</t>
  </si>
  <si>
    <t>2016 - Taxable General Obligation Refunding Bonds</t>
  </si>
  <si>
    <t>Jasper SD 17 / New Hope SD 6 / FCHS SD 225 / Geff SD 14</t>
  </si>
  <si>
    <t>Wabash Ohio Valley Special Education District</t>
  </si>
  <si>
    <t>Internal controls are designed to allow management or employees, in the normal course of performing their assigned duties to prevent, detect, or correct material misstatements and safeguard assets. A good concept of an internal control system is adequate segregation of duties.</t>
  </si>
  <si>
    <t xml:space="preserve">One individual is responsible for performing most of the accounting and financial duties, including key functions of recording, reconciling, and reporting financial transactions. This condition reduces certain aspects of a good internal control system that relies on the adequate segregation of duties. </t>
  </si>
  <si>
    <t>All District accounting and financial records are maintained by one individual.</t>
  </si>
  <si>
    <t>Accounting functions would idealy be segregated among the different individuals within the organization to allow for a more controlled system of checks and balances, rather than the responsibility of a single individual, as is currently District procedure.</t>
  </si>
  <si>
    <t>The District is financially unable to hire additional staff because of limited funding opportunities.</t>
  </si>
  <si>
    <t>Within a small governmental entity, segregation of duties is often difficult to accomplish. Management should focus on specific areas that could improve the segregation of duties, including, but not limited to, hiring additional personnel.</t>
  </si>
  <si>
    <t>The District currently relies on budgetary controls and oversight by the Board of Education to help mitigate the affects of the limited number of accounting personnel. The District will review the internal control system on an annual basis and when it is cost efficient and funding is available, the District will make every attempt to hire additional personnel.</t>
  </si>
  <si>
    <t>The District is responsible for the preparation of the annual financial statements and disclosures.</t>
  </si>
  <si>
    <t>The District relies on the audit firm to prepare these financial statements and disclosures.</t>
  </si>
  <si>
    <t xml:space="preserve">The audit firm prepares the financial statements and disclosures and then goes over them with the District's management and the Board of Education. The District does not maintain an accountant on staff to prepare the financial statements and disclosures internally. </t>
  </si>
  <si>
    <t xml:space="preserve">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 </t>
  </si>
  <si>
    <t>The District does not maintain staff with the technical training to prepare their own financial statements and disclosures.</t>
  </si>
  <si>
    <t xml:space="preserve">Due to the cost/benefit, we do not recommend any changes at this time. We will continue to work with the District to ensure that both management and the Board of Education have a thorough understanding of these financial statements and disclosures. </t>
  </si>
  <si>
    <t xml:space="preserve">Due to cost/benefit of addressing this issue, no action is planned at this time. </t>
  </si>
  <si>
    <t>Adverse opinion due to the regulatory basis reporting and the omission of GASB 75 disclosures for Accounting and Financial Reporting for Post Employment Benefits other than Pensions.</t>
  </si>
  <si>
    <t>Leymone Hardcastle &amp; Co., Ltd.</t>
  </si>
  <si>
    <t>10-1819 Rentals - Tech Fee $3,780</t>
  </si>
  <si>
    <t>10-1993 Sale of Fixed Assets $1,990</t>
  </si>
  <si>
    <t>10-1999 Other Income Reimbursement $441</t>
  </si>
  <si>
    <t>20-1999 Other Revenue $765</t>
  </si>
  <si>
    <t>10-3999 State Library Grant $1,500</t>
  </si>
  <si>
    <t>30-5400 (600) B&amp;I Admin Fees $1,300</t>
  </si>
  <si>
    <t>f</t>
  </si>
  <si>
    <t>2018 Bluebird Buses (2)</t>
  </si>
  <si>
    <t>Capital Bus Lease</t>
  </si>
  <si>
    <t>2018 Micro Bird Bus</t>
  </si>
  <si>
    <t>ERROR on Long-Term Debt Issued - District entered into Capital Bus Lease $241,770</t>
  </si>
  <si>
    <t>ERROR on Long-Term Debt (principal) retired - lease payments paid out of Transportation Fund $41,664</t>
  </si>
  <si>
    <t>N/A</t>
  </si>
  <si>
    <t>The District passes an annual budget for expenditures and is required to operate within the budget.</t>
  </si>
  <si>
    <t>During the course of the audit, it was noted that the District overexpended the budget in the Transportation Fund by $8,666.</t>
  </si>
  <si>
    <t>The Transportation Fund had additional expenditures which were not reflected in the budget.</t>
  </si>
  <si>
    <t>The District did not operate within the budget passed by the Board of Education.  The potential effect of this finding could be unathorized or erroneous expenditures are being paid.</t>
  </si>
  <si>
    <t>The District approved the budget, however, there were additional expenditures of $8,666 in the Transportation Fund.</t>
  </si>
  <si>
    <t>We recommend the District continue its budget to actual expenditure monitoring and amend the budget as needed.</t>
  </si>
  <si>
    <t>The District will continue to monitor and will amend future budgets if and when needed.</t>
  </si>
  <si>
    <t>The 2015 Bond Levy was to be increased for the Bond Issue, however, the Levy was never increased causing this Bond issue to not be included in the levy and therefore no monies available to pay down the debt as scheduled on December 1, 2016.  The District paid what they could to principal and interest in FY 2017 and to principal in FY 18.</t>
  </si>
  <si>
    <t>The District issued Series 2016 Taxable General Obligation Refunding School Bonds February 26, 2016 as a direct purchase by the District's Education Fund of $287,900.   The debt service schedule was to be paid December 1, 2016 principal of $287,900 and interest of $5,498.09.</t>
  </si>
  <si>
    <t>The District will continue to pay down the Principal to the Education Fund as the current Debt Service levy allows.  The District plans to pay $76,500 of principal in FY 19 and $58,000 of principal in FY 20 which will then pay off the principal to the Education Fund.</t>
  </si>
  <si>
    <t>The District did not follow the Debt Service Requirements of the Series 2016 Taxable General Obligation Refunding School Bonds.</t>
  </si>
  <si>
    <t>The District is not in compliance with the Debt Service Requirements of the Series 2016 Taxable General Obligation Refunding School Bonds.  The potential effect of this finding could be the District be denied further Bond Issues in the future.</t>
  </si>
  <si>
    <t>During the course of the audit it was noted that the District has not paid the principal amount to the Education Fund as scheduled in FY 17.  In FY 17, only $76,900 of principal and $5,498.09 of interest was paid to the Education Fund.  In FY 18, $76,500 of principal was paid to the Education Fund.  The principal outstanding due to the Education Fund at June 30, 2018 is $134,500.</t>
  </si>
  <si>
    <t>We recommend the District comply with Debt Service requirements.</t>
  </si>
  <si>
    <t>2017-001</t>
  </si>
  <si>
    <t>One individual is responsible for performing most of the accounting</t>
  </si>
  <si>
    <t>and financial duties, including key functions of recording, reconciling</t>
  </si>
  <si>
    <t>and reporting financial transactions.  This condition reduces certain</t>
  </si>
  <si>
    <t>aspects of a good internal control system that relies on the adequate</t>
  </si>
  <si>
    <t>segregation of duties.</t>
  </si>
  <si>
    <t>2017-002</t>
  </si>
  <si>
    <t>The District relies on the audit firm to prepare these financial statements</t>
  </si>
  <si>
    <t>and disclosures.</t>
  </si>
  <si>
    <t>Due to the cost/benefit, no action was anticipated.</t>
  </si>
  <si>
    <t>Unresolved - see finding 2018-002.</t>
  </si>
  <si>
    <t>Unresolved - see finding 2018-001.</t>
  </si>
  <si>
    <t>40-1999 Other Local Revenues - Sale of chrombooks $2,849</t>
  </si>
  <si>
    <t>Sodexo Inc.</t>
  </si>
  <si>
    <t>10-2560-300</t>
  </si>
  <si>
    <t>ED-Food Services-Purchased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</si>
</sst>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5" fillId="0" borderId="0" xfId="0" applyFont="1" applyFill="1" applyProtection="1">
      <protection locked="0"/>
    </xf>
    <xf numFmtId="0" fontId="52" fillId="0" borderId="0" xfId="3" applyFont="1" applyAlignment="1" applyProtection="1">
      <alignment horizontal="center" vertical="center"/>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809625</xdr:colOff>
          <xdr:row>5</xdr:row>
          <xdr:rowOff>28575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4</xdr:col>
          <xdr:colOff>276225</xdr:colOff>
          <xdr:row>5</xdr:row>
          <xdr:rowOff>28575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247650</xdr:colOff>
          <xdr:row>5</xdr:row>
          <xdr:rowOff>28575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14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960A1C6-CA21-4A87-A5EB-1552298A186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7D2715B-3115-4E87-8847-6AEECF2AD5D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B752D576-4473-4F65-B35F-CF0A0856D46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C18BA8F7-DE62-4569-9832-EC2D5A56375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6" zoomScale="95" zoomScaleNormal="95" workbookViewId="0">
      <selection activeCell="F28" sqref="F2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t="s">
        <v>2086</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2087</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2088</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2089</v>
      </c>
      <c r="B19" s="1981"/>
      <c r="C19" s="1981"/>
      <c r="D19" s="1981"/>
      <c r="E19" s="1981"/>
      <c r="F19" s="1981"/>
      <c r="G19" s="1981"/>
      <c r="H19" s="1961"/>
      <c r="I19" s="30"/>
      <c r="J19" s="99"/>
      <c r="K19" s="40"/>
      <c r="L19" s="38"/>
      <c r="M19" s="112" t="s">
        <v>333</v>
      </c>
      <c r="P19" s="27"/>
      <c r="Q19" s="27"/>
      <c r="R19" s="27"/>
      <c r="S19" s="31"/>
      <c r="T19" s="2035" t="s">
        <v>2081</v>
      </c>
      <c r="U19" s="1960"/>
      <c r="V19" s="1960"/>
      <c r="W19" s="1961"/>
      <c r="X19" s="2050" t="s">
        <v>2082</v>
      </c>
      <c r="Y19" s="2051"/>
      <c r="Z19" s="2048">
        <v>62881</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2090</v>
      </c>
      <c r="B21" s="1960"/>
      <c r="C21" s="1960"/>
      <c r="D21" s="1960"/>
      <c r="E21" s="1960"/>
      <c r="F21" s="1960"/>
      <c r="G21" s="1960"/>
      <c r="H21" s="1961"/>
      <c r="I21" s="2015" t="s">
        <v>699</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2085</v>
      </c>
      <c r="U23" s="2058"/>
      <c r="V23" s="2058"/>
      <c r="W23" s="2058"/>
      <c r="X23" s="2062"/>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62837</v>
      </c>
      <c r="B25" s="1960"/>
      <c r="C25" s="1960"/>
      <c r="D25" s="1960"/>
      <c r="E25" s="1960"/>
      <c r="F25" s="1960"/>
      <c r="G25" s="1960"/>
      <c r="H25" s="1961"/>
      <c r="I25" s="113"/>
      <c r="J25" s="1984"/>
      <c r="K25" s="1984"/>
      <c r="L25" s="1984"/>
      <c r="M25" s="1984"/>
      <c r="N25" s="1984"/>
      <c r="O25" s="1984"/>
      <c r="P25" s="1984"/>
      <c r="Q25" s="1984"/>
      <c r="R25" s="1984"/>
      <c r="S25" s="1985"/>
      <c r="T25" s="2055"/>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2093</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2091</v>
      </c>
      <c r="B42" s="1979"/>
      <c r="C42" s="1980"/>
      <c r="D42" s="1978" t="s">
        <v>2092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8" sqref="E1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69">
        <f>'Revenues 9-14'!C5</f>
        <v>534911</v>
      </c>
      <c r="C4" s="1546"/>
      <c r="D4" s="1772">
        <f>B4-C4</f>
        <v>534911</v>
      </c>
      <c r="E4" s="1546">
        <v>534278</v>
      </c>
      <c r="F4" s="1772">
        <f>E4-C4</f>
        <v>534278</v>
      </c>
    </row>
    <row r="5" spans="1:6" ht="13.7" customHeight="1" x14ac:dyDescent="0.2">
      <c r="A5" s="716" t="s">
        <v>925</v>
      </c>
      <c r="B5" s="1770">
        <f>'Revenues 9-14'!D5</f>
        <v>145356</v>
      </c>
      <c r="C5" s="585"/>
      <c r="D5" s="1773">
        <f t="shared" ref="D5:D18" si="0">B5-C5</f>
        <v>145356</v>
      </c>
      <c r="E5" s="585">
        <v>145184</v>
      </c>
      <c r="F5" s="1773">
        <f>E5-C5</f>
        <v>145184</v>
      </c>
    </row>
    <row r="6" spans="1:6" ht="13.7" customHeight="1" x14ac:dyDescent="0.2">
      <c r="A6" s="716" t="s">
        <v>431</v>
      </c>
      <c r="B6" s="1770">
        <f>'Revenues 9-14'!E5</f>
        <v>294527</v>
      </c>
      <c r="C6" s="585"/>
      <c r="D6" s="1773">
        <f t="shared" si="0"/>
        <v>294527</v>
      </c>
      <c r="E6" s="585">
        <v>293400</v>
      </c>
      <c r="F6" s="1773">
        <f t="shared" ref="F6:F18" si="1">E6-C6</f>
        <v>293400</v>
      </c>
    </row>
    <row r="7" spans="1:6" ht="13.7" customHeight="1" x14ac:dyDescent="0.2">
      <c r="A7" s="716" t="s">
        <v>157</v>
      </c>
      <c r="B7" s="1770">
        <f>'Revenues 9-14'!F5</f>
        <v>69771</v>
      </c>
      <c r="C7" s="585"/>
      <c r="D7" s="1773">
        <f t="shared" si="0"/>
        <v>69771</v>
      </c>
      <c r="E7" s="585">
        <v>69688</v>
      </c>
      <c r="F7" s="1773">
        <f t="shared" si="1"/>
        <v>69688</v>
      </c>
    </row>
    <row r="8" spans="1:6" ht="13.7" customHeight="1" x14ac:dyDescent="0.2">
      <c r="A8" s="716" t="s">
        <v>1241</v>
      </c>
      <c r="B8" s="1770">
        <f>'Revenues 9-14'!G5</f>
        <v>120460</v>
      </c>
      <c r="C8" s="585"/>
      <c r="D8" s="1773">
        <f t="shared" si="0"/>
        <v>120460</v>
      </c>
      <c r="E8" s="585">
        <v>134998</v>
      </c>
      <c r="F8" s="1773">
        <f t="shared" si="1"/>
        <v>134998</v>
      </c>
    </row>
    <row r="9" spans="1:6" ht="13.7" customHeight="1" x14ac:dyDescent="0.2">
      <c r="A9" s="716" t="s">
        <v>428</v>
      </c>
      <c r="B9" s="1770">
        <f>'Revenues 9-14'!H5</f>
        <v>0</v>
      </c>
      <c r="C9" s="585"/>
      <c r="D9" s="1773">
        <f t="shared" si="0"/>
        <v>0</v>
      </c>
      <c r="E9" s="585">
        <v>0</v>
      </c>
      <c r="F9" s="1773">
        <f t="shared" si="1"/>
        <v>0</v>
      </c>
    </row>
    <row r="10" spans="1:6" ht="13.7" customHeight="1" x14ac:dyDescent="0.2">
      <c r="A10" s="716" t="s">
        <v>427</v>
      </c>
      <c r="B10" s="1770">
        <f>'Revenues 9-14'!I5</f>
        <v>29071</v>
      </c>
      <c r="C10" s="585"/>
      <c r="D10" s="1773">
        <f t="shared" si="0"/>
        <v>29071</v>
      </c>
      <c r="E10" s="585">
        <v>29037</v>
      </c>
      <c r="F10" s="1773">
        <f t="shared" si="1"/>
        <v>29037</v>
      </c>
    </row>
    <row r="11" spans="1:6" x14ac:dyDescent="0.2">
      <c r="A11" s="716" t="s">
        <v>429</v>
      </c>
      <c r="B11" s="1770">
        <f>'Revenues 9-14'!J5</f>
        <v>302907</v>
      </c>
      <c r="C11" s="585"/>
      <c r="D11" s="1773">
        <f t="shared" si="0"/>
        <v>302907</v>
      </c>
      <c r="E11" s="585">
        <v>280002</v>
      </c>
      <c r="F11" s="1773">
        <f t="shared" si="1"/>
        <v>280002</v>
      </c>
    </row>
    <row r="12" spans="1:6" ht="13.7" customHeight="1" x14ac:dyDescent="0.2">
      <c r="A12" s="716" t="s">
        <v>159</v>
      </c>
      <c r="B12" s="1770">
        <f>'Revenues 9-14'!K5</f>
        <v>29071</v>
      </c>
      <c r="C12" s="585"/>
      <c r="D12" s="1773">
        <f t="shared" si="0"/>
        <v>29071</v>
      </c>
      <c r="E12" s="585">
        <v>29037</v>
      </c>
      <c r="F12" s="1773">
        <f t="shared" si="1"/>
        <v>29037</v>
      </c>
    </row>
    <row r="13" spans="1:6" ht="13.7" customHeight="1" x14ac:dyDescent="0.2">
      <c r="A13" s="716" t="s">
        <v>993</v>
      </c>
      <c r="B13" s="1770">
        <f>SUM('Revenues 9-14'!C6:D6)</f>
        <v>29071</v>
      </c>
      <c r="C13" s="585"/>
      <c r="D13" s="1773">
        <f t="shared" si="0"/>
        <v>29071</v>
      </c>
      <c r="E13" s="585">
        <v>29037</v>
      </c>
      <c r="F13" s="1773">
        <f t="shared" si="1"/>
        <v>29037</v>
      </c>
    </row>
    <row r="14" spans="1:6" ht="13.7" customHeight="1" x14ac:dyDescent="0.2">
      <c r="A14" s="716" t="s">
        <v>430</v>
      </c>
      <c r="B14" s="1770">
        <f>SUM('Revenues 9-14'!C7:D7,'Revenues 9-14'!F7:H7)</f>
        <v>11629</v>
      </c>
      <c r="C14" s="585"/>
      <c r="D14" s="1773">
        <f t="shared" si="0"/>
        <v>11629</v>
      </c>
      <c r="E14" s="585">
        <v>11615</v>
      </c>
      <c r="F14" s="1773">
        <f t="shared" si="1"/>
        <v>11615</v>
      </c>
    </row>
    <row r="15" spans="1:6" ht="13.7" customHeight="1" x14ac:dyDescent="0.2">
      <c r="A15" s="716" t="s">
        <v>1220</v>
      </c>
      <c r="B15" s="1770">
        <f>'Revenues 9-14'!E9</f>
        <v>0</v>
      </c>
      <c r="C15" s="585"/>
      <c r="D15" s="1773">
        <f t="shared" si="0"/>
        <v>0</v>
      </c>
      <c r="E15" s="585">
        <v>0</v>
      </c>
      <c r="F15" s="1773">
        <f t="shared" si="1"/>
        <v>0</v>
      </c>
    </row>
    <row r="16" spans="1:6" ht="13.7" customHeight="1" x14ac:dyDescent="0.2">
      <c r="A16" s="716" t="s">
        <v>1221</v>
      </c>
      <c r="B16" s="1770">
        <f>'Revenues 9-14'!G8</f>
        <v>130501</v>
      </c>
      <c r="C16" s="585"/>
      <c r="D16" s="1773">
        <f t="shared" si="0"/>
        <v>130501</v>
      </c>
      <c r="E16" s="585">
        <v>139998</v>
      </c>
      <c r="F16" s="1773">
        <f t="shared" si="1"/>
        <v>139998</v>
      </c>
    </row>
    <row r="17" spans="1:6" ht="13.7" customHeight="1" x14ac:dyDescent="0.2">
      <c r="A17" s="716" t="s">
        <v>1222</v>
      </c>
      <c r="B17" s="1770">
        <f>'Revenues 9-14'!C10</f>
        <v>0</v>
      </c>
      <c r="C17" s="585"/>
      <c r="D17" s="1773">
        <f t="shared" si="0"/>
        <v>0</v>
      </c>
      <c r="E17" s="585">
        <v>0</v>
      </c>
      <c r="F17" s="1773">
        <f t="shared" si="1"/>
        <v>0</v>
      </c>
    </row>
    <row r="18" spans="1:6" ht="13.7" customHeight="1" x14ac:dyDescent="0.2">
      <c r="A18" s="716" t="s">
        <v>786</v>
      </c>
      <c r="B18" s="1770">
        <f>SUM('Revenues 9-14'!C11:K11)</f>
        <v>0</v>
      </c>
      <c r="C18" s="585"/>
      <c r="D18" s="1773">
        <f t="shared" si="0"/>
        <v>0</v>
      </c>
      <c r="E18" s="585">
        <v>0</v>
      </c>
      <c r="F18" s="1773">
        <f t="shared" si="1"/>
        <v>0</v>
      </c>
    </row>
    <row r="19" spans="1:6" ht="13.7" customHeight="1" thickBot="1" x14ac:dyDescent="0.25">
      <c r="A19" s="1774" t="s">
        <v>1223</v>
      </c>
      <c r="B19" s="1771">
        <f>SUM(B4:B18)</f>
        <v>1697275</v>
      </c>
      <c r="C19" s="1771">
        <f>SUM(C4:C18)</f>
        <v>0</v>
      </c>
      <c r="D19" s="1771">
        <f>SUM(D4:D18)</f>
        <v>1697275</v>
      </c>
      <c r="E19" s="1771">
        <f>SUM(E4:E18)</f>
        <v>1696274</v>
      </c>
      <c r="F19" s="1771">
        <f>SUM(F4:F18)</f>
        <v>1696274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99" right="0.46" top="1.46" bottom="0.52" header="0.64" footer="0.3"/>
  <pageSetup scale="85" firstPageNumber="23" orientation="landscape" useFirstPageNumber="1" r:id="rId1"/>
  <headerFooter alignWithMargins="0">
    <oddHeader>&amp;C Fairfield Public School District 112</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3" colorId="8" zoomScale="87" zoomScaleNormal="87" workbookViewId="0">
      <selection activeCell="H31" sqref="H31:H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6" t="s">
        <v>2038</v>
      </c>
      <c r="D2" s="724" t="s">
        <v>2045</v>
      </c>
      <c r="E2" s="724" t="s">
        <v>2046</v>
      </c>
      <c r="F2" s="1906"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5">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4" t="s">
        <v>652</v>
      </c>
      <c r="B15" s="2215"/>
      <c r="C15" s="1775">
        <f>SUM(C6:C14)</f>
        <v>0</v>
      </c>
      <c r="D15" s="1775">
        <f>SUM(D6:D14)</f>
        <v>0</v>
      </c>
      <c r="E15" s="1775">
        <f>SUM(E6:E14)</f>
        <v>0</v>
      </c>
      <c r="F15" s="1775">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5">
        <f>SUM(C17+D17)-E17</f>
        <v>0</v>
      </c>
    </row>
    <row r="18" spans="1:11" ht="12.75" customHeight="1" thickTop="1" thickBot="1" x14ac:dyDescent="0.25">
      <c r="A18" s="2209" t="s">
        <v>6</v>
      </c>
      <c r="B18" s="2210"/>
      <c r="C18" s="727"/>
      <c r="D18" s="585"/>
      <c r="E18" s="727"/>
      <c r="F18" s="1775">
        <f>SUM(C18+D18)-E18</f>
        <v>0</v>
      </c>
    </row>
    <row r="19" spans="1:11" ht="12.75" customHeight="1" thickTop="1" thickBot="1" x14ac:dyDescent="0.25">
      <c r="A19" s="2209" t="s">
        <v>406</v>
      </c>
      <c r="B19" s="2210"/>
      <c r="C19" s="727"/>
      <c r="D19" s="585"/>
      <c r="E19" s="727"/>
      <c r="F19" s="1775">
        <f>SUM(C19+D19)-E19</f>
        <v>0</v>
      </c>
    </row>
    <row r="20" spans="1:11" ht="12.75" customHeight="1" thickTop="1" thickBot="1" x14ac:dyDescent="0.25">
      <c r="A20" s="2209" t="s">
        <v>468</v>
      </c>
      <c r="B20" s="2210"/>
      <c r="C20" s="727"/>
      <c r="D20" s="585"/>
      <c r="E20" s="727"/>
      <c r="F20" s="1775">
        <f>SUM(C20+D20)-E20</f>
        <v>0</v>
      </c>
    </row>
    <row r="21" spans="1:11" ht="14.25" thickTop="1" thickBot="1" x14ac:dyDescent="0.25">
      <c r="A21" s="2214" t="s">
        <v>653</v>
      </c>
      <c r="B21" s="2215"/>
      <c r="C21" s="1775">
        <f>SUM(C17:C20)</f>
        <v>0</v>
      </c>
      <c r="D21" s="1775">
        <f>SUM(D17:D20)</f>
        <v>0</v>
      </c>
      <c r="E21" s="1775">
        <f>SUM(E17:E20)</f>
        <v>0</v>
      </c>
      <c r="F21" s="1775">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5">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5">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5">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7" t="s">
        <v>604</v>
      </c>
      <c r="D30" s="1907" t="s">
        <v>1772</v>
      </c>
      <c r="E30" s="1907" t="s">
        <v>2040</v>
      </c>
      <c r="F30" s="1907" t="s">
        <v>2041</v>
      </c>
      <c r="G30" s="1907" t="s">
        <v>2044</v>
      </c>
      <c r="H30" s="1907" t="s">
        <v>2042</v>
      </c>
      <c r="I30" s="1907" t="s">
        <v>2043</v>
      </c>
      <c r="J30" s="1908" t="s">
        <v>2</v>
      </c>
      <c r="K30" s="732"/>
    </row>
    <row r="31" spans="1:11" ht="12" customHeight="1" x14ac:dyDescent="0.2">
      <c r="A31" s="733" t="s">
        <v>2094</v>
      </c>
      <c r="B31" s="734">
        <v>40520</v>
      </c>
      <c r="C31" s="735">
        <v>640000</v>
      </c>
      <c r="D31" s="736">
        <v>3</v>
      </c>
      <c r="E31" s="735">
        <v>80000</v>
      </c>
      <c r="F31" s="735"/>
      <c r="G31" s="735"/>
      <c r="H31" s="735">
        <v>80000</v>
      </c>
      <c r="I31" s="1776">
        <f>((E31+F31)-H31)+G31</f>
        <v>0</v>
      </c>
      <c r="J31" s="735">
        <v>0</v>
      </c>
      <c r="K31" s="737"/>
    </row>
    <row r="32" spans="1:11" ht="12" customHeight="1" x14ac:dyDescent="0.2">
      <c r="A32" s="733" t="s">
        <v>2095</v>
      </c>
      <c r="B32" s="734">
        <v>40520</v>
      </c>
      <c r="C32" s="735">
        <v>2700000</v>
      </c>
      <c r="D32" s="736">
        <v>6</v>
      </c>
      <c r="E32" s="735">
        <v>2475000</v>
      </c>
      <c r="F32" s="735"/>
      <c r="G32" s="735"/>
      <c r="H32" s="735">
        <v>55000</v>
      </c>
      <c r="I32" s="1776">
        <f>((E32+F32)-H32)+G32</f>
        <v>2420000</v>
      </c>
      <c r="J32" s="735">
        <v>2380002</v>
      </c>
      <c r="K32" s="737"/>
    </row>
    <row r="33" spans="1:11" ht="12" customHeight="1" x14ac:dyDescent="0.2">
      <c r="A33" s="733" t="s">
        <v>2096</v>
      </c>
      <c r="B33" s="734">
        <v>42426</v>
      </c>
      <c r="C33" s="735">
        <v>287900</v>
      </c>
      <c r="D33" s="736">
        <v>3</v>
      </c>
      <c r="E33" s="735">
        <v>211000</v>
      </c>
      <c r="F33" s="735"/>
      <c r="G33" s="735"/>
      <c r="H33" s="735">
        <v>76500</v>
      </c>
      <c r="I33" s="1776">
        <f t="shared" ref="I33:I48" si="1">((E33+F33)-H33)+G33</f>
        <v>134500</v>
      </c>
      <c r="J33" s="735">
        <v>134500</v>
      </c>
      <c r="K33" s="737"/>
    </row>
    <row r="34" spans="1:11" ht="12" customHeight="1" x14ac:dyDescent="0.2">
      <c r="A34" s="733" t="s">
        <v>2122</v>
      </c>
      <c r="B34" s="734">
        <v>42870</v>
      </c>
      <c r="C34" s="735">
        <v>171914</v>
      </c>
      <c r="D34" s="736">
        <v>7</v>
      </c>
      <c r="E34" s="735"/>
      <c r="F34" s="735">
        <v>171914</v>
      </c>
      <c r="G34" s="735"/>
      <c r="H34" s="735">
        <v>28891</v>
      </c>
      <c r="I34" s="1776">
        <f t="shared" si="1"/>
        <v>143023</v>
      </c>
      <c r="J34" s="735">
        <v>143023</v>
      </c>
      <c r="K34" s="738"/>
    </row>
    <row r="35" spans="1:11" ht="12" customHeight="1" x14ac:dyDescent="0.2">
      <c r="A35" s="733" t="s">
        <v>2124</v>
      </c>
      <c r="B35" s="734">
        <v>42870</v>
      </c>
      <c r="C35" s="739">
        <v>69856</v>
      </c>
      <c r="D35" s="736">
        <v>7</v>
      </c>
      <c r="E35" s="739"/>
      <c r="F35" s="739">
        <v>69856</v>
      </c>
      <c r="G35" s="739"/>
      <c r="H35" s="739">
        <v>12773</v>
      </c>
      <c r="I35" s="1776">
        <f t="shared" si="1"/>
        <v>57083</v>
      </c>
      <c r="J35" s="739">
        <v>57083</v>
      </c>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3869670</v>
      </c>
      <c r="D49" s="746"/>
      <c r="E49" s="1776">
        <f t="shared" ref="E49:J49" si="2">SUM(E31:E48)</f>
        <v>2766000</v>
      </c>
      <c r="F49" s="1776">
        <f t="shared" si="2"/>
        <v>241770</v>
      </c>
      <c r="G49" s="1776">
        <f t="shared" si="2"/>
        <v>0</v>
      </c>
      <c r="H49" s="1776">
        <f t="shared" si="2"/>
        <v>253164</v>
      </c>
      <c r="I49" s="1776">
        <f t="shared" si="2"/>
        <v>2754606</v>
      </c>
      <c r="J49" s="1776">
        <f t="shared" si="2"/>
        <v>2714608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2123</v>
      </c>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5" bottom="0.4" header="0.24" footer="0.24"/>
  <pageSetup scale="70" firstPageNumber="24" fitToHeight="0" orientation="landscape" useFirstPageNumber="1" r:id="rId1"/>
  <headerFooter alignWithMargins="0">
    <oddHeader>&amp;C Fairfield Public School District 112</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activeCell="H23" sqref="H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11798</v>
      </c>
      <c r="I5" s="773"/>
      <c r="J5" s="774"/>
      <c r="K5" s="774"/>
    </row>
    <row r="6" spans="1:11" x14ac:dyDescent="0.2">
      <c r="A6" s="775" t="s">
        <v>744</v>
      </c>
      <c r="B6" s="776"/>
      <c r="C6" s="776"/>
      <c r="D6" s="776"/>
      <c r="E6" s="777"/>
      <c r="F6" s="778" t="s">
        <v>904</v>
      </c>
      <c r="G6" s="765"/>
      <c r="H6" s="765">
        <v>50</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v>131618</v>
      </c>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7"/>
      <c r="G12" s="1778">
        <f>SUM(G5:G11)</f>
        <v>0</v>
      </c>
      <c r="H12" s="1778">
        <f>SUM(H5:H11)</f>
        <v>143466</v>
      </c>
      <c r="I12" s="1778">
        <f>SUM(I5:I11)</f>
        <v>0</v>
      </c>
      <c r="J12" s="1778">
        <f>SUM(J5:J11)</f>
        <v>0</v>
      </c>
      <c r="K12" s="1778">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79"/>
      <c r="G21" s="793"/>
      <c r="H21" s="797"/>
      <c r="I21" s="797"/>
      <c r="J21" s="1780">
        <f>SUM(J18:J20)</f>
        <v>0</v>
      </c>
      <c r="K21" s="794"/>
    </row>
    <row r="22" spans="1:11" ht="13.5" thickTop="1" x14ac:dyDescent="0.2">
      <c r="A22" s="2236" t="s">
        <v>1922</v>
      </c>
      <c r="B22" s="2236"/>
      <c r="C22" s="2236"/>
      <c r="D22" s="2236"/>
      <c r="E22" s="2237"/>
      <c r="F22" s="790" t="s">
        <v>917</v>
      </c>
      <c r="G22" s="783"/>
      <c r="H22" s="765">
        <v>143466</v>
      </c>
      <c r="I22" s="765"/>
      <c r="J22" s="798"/>
      <c r="K22" s="766"/>
    </row>
    <row r="23" spans="1:11" ht="13.5" thickBot="1" x14ac:dyDescent="0.25">
      <c r="A23" s="2266" t="s">
        <v>962</v>
      </c>
      <c r="B23" s="2265"/>
      <c r="C23" s="2265"/>
      <c r="D23" s="2265"/>
      <c r="E23" s="2265"/>
      <c r="F23" s="1781"/>
      <c r="G23" s="1778">
        <f>SUM(G14:G16,G21,G22)</f>
        <v>0</v>
      </c>
      <c r="H23" s="1778">
        <f>SUM(H14:H16,H21,H22)</f>
        <v>143466</v>
      </c>
      <c r="I23" s="1778">
        <f>SUM(I14:I16,I21,I22)</f>
        <v>0</v>
      </c>
      <c r="J23" s="1778">
        <f>SUM(J14:J16,J21,J22)</f>
        <v>0</v>
      </c>
      <c r="K23" s="1778">
        <f>SUM(K14:K16,K21,K22)</f>
        <v>0</v>
      </c>
    </row>
    <row r="24" spans="1:11" ht="14.25" thickTop="1" thickBot="1" x14ac:dyDescent="0.25">
      <c r="A24" s="2266" t="s">
        <v>2026</v>
      </c>
      <c r="B24" s="2265"/>
      <c r="C24" s="2265"/>
      <c r="D24" s="2265"/>
      <c r="E24" s="2265"/>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2036</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98" right="0.2" top="0.91" bottom="0.35" header="0.21" footer="0.19"/>
  <pageSetup scale="70" firstPageNumber="25" orientation="landscape" useFirstPageNumber="1" r:id="rId1"/>
  <headerFooter alignWithMargins="0">
    <oddHeader xml:space="preserve">&amp;C&amp;"Arial,Bold" Fairfield Public School District 112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22" sqref="E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157600</v>
      </c>
      <c r="D5" s="842"/>
      <c r="E5" s="842"/>
      <c r="F5" s="1780">
        <f>(C5+D5)-E5</f>
        <v>157600</v>
      </c>
      <c r="G5" s="838"/>
      <c r="H5" s="843"/>
      <c r="I5" s="843"/>
      <c r="J5" s="843"/>
      <c r="K5" s="794"/>
      <c r="L5" s="1789">
        <f>F5-K5</f>
        <v>157600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11871844</v>
      </c>
      <c r="D8" s="845"/>
      <c r="E8" s="845"/>
      <c r="F8" s="1780">
        <f>(C8+D8)-E8</f>
        <v>11871844</v>
      </c>
      <c r="G8" s="844">
        <v>50</v>
      </c>
      <c r="H8" s="766">
        <v>2759702</v>
      </c>
      <c r="I8" s="766">
        <v>221071</v>
      </c>
      <c r="J8" s="766"/>
      <c r="K8" s="1789">
        <f>(H8+I8)-J8</f>
        <v>2980773</v>
      </c>
      <c r="L8" s="1789">
        <f>F8-K8</f>
        <v>8891071</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105345</v>
      </c>
      <c r="D10" s="847"/>
      <c r="E10" s="847"/>
      <c r="F10" s="1784">
        <f>(C10+D10)-E10</f>
        <v>105345</v>
      </c>
      <c r="G10" s="844">
        <v>20</v>
      </c>
      <c r="H10" s="848">
        <v>96596</v>
      </c>
      <c r="I10" s="848">
        <v>3355</v>
      </c>
      <c r="J10" s="848"/>
      <c r="K10" s="1789">
        <f>(H10+I10)-J10</f>
        <v>99951</v>
      </c>
      <c r="L10" s="1789">
        <f>F10-K10</f>
        <v>5394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855465</v>
      </c>
      <c r="D12" s="845">
        <v>81867</v>
      </c>
      <c r="E12" s="845">
        <v>30430</v>
      </c>
      <c r="F12" s="1780">
        <f>(C12+D12)-E12</f>
        <v>906902</v>
      </c>
      <c r="G12" s="844">
        <v>10</v>
      </c>
      <c r="H12" s="766">
        <v>458458</v>
      </c>
      <c r="I12" s="766">
        <v>84918</v>
      </c>
      <c r="J12" s="766">
        <v>30430</v>
      </c>
      <c r="K12" s="1789">
        <f>(H12+I12)-J12</f>
        <v>512946</v>
      </c>
      <c r="L12" s="1789">
        <f>F12-K12</f>
        <v>393956</v>
      </c>
    </row>
    <row r="13" spans="1:14" ht="14.25" thickTop="1" thickBot="1" x14ac:dyDescent="0.25">
      <c r="A13" s="849" t="s">
        <v>1184</v>
      </c>
      <c r="B13" s="841">
        <v>252</v>
      </c>
      <c r="C13" s="845">
        <v>682105</v>
      </c>
      <c r="D13" s="845">
        <v>241770</v>
      </c>
      <c r="E13" s="845">
        <v>136621</v>
      </c>
      <c r="F13" s="1780">
        <f>(C13+D13)-E13</f>
        <v>787254</v>
      </c>
      <c r="G13" s="844">
        <v>5</v>
      </c>
      <c r="H13" s="766">
        <v>648470</v>
      </c>
      <c r="I13" s="766">
        <v>58565</v>
      </c>
      <c r="J13" s="766">
        <v>136621</v>
      </c>
      <c r="K13" s="1789">
        <f>(H13+I13)-J13</f>
        <v>570414</v>
      </c>
      <c r="L13" s="1789">
        <f>F13-K13</f>
        <v>216840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13672359</v>
      </c>
      <c r="D16" s="1780">
        <f>SUM(D3,D5:D6,D8:D10,D12:D15)</f>
        <v>323637</v>
      </c>
      <c r="E16" s="1780">
        <f>SUM(E3,E5:E6,E8:E10,E12:E15)</f>
        <v>167051</v>
      </c>
      <c r="F16" s="1780">
        <f>SUM(F3,F5:F6,F8:F10,F12:F15)</f>
        <v>13828945</v>
      </c>
      <c r="G16" s="844"/>
      <c r="H16" s="1780">
        <f>SUM(H3,H6,H8:H10,H12:H14,)</f>
        <v>3963226</v>
      </c>
      <c r="I16" s="1780">
        <f>SUM(I3,I6,I8:I10,I12:I14,)</f>
        <v>367909</v>
      </c>
      <c r="J16" s="1780">
        <f>SUM(J3,J6,J8:J10,J12:J14,)</f>
        <v>167051</v>
      </c>
      <c r="K16" s="1780">
        <f>(H16+I16)-J16</f>
        <v>4164084</v>
      </c>
      <c r="L16" s="1780">
        <f>F16-K16</f>
        <v>9664861</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367909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7" right="0.2" top="1.1000000000000001" bottom="0.52" header="0.19" footer="0.19"/>
  <pageSetup scale="75" firstPageNumber="26" orientation="landscape" useFirstPageNumber="1" r:id="rId1"/>
  <headerFooter alignWithMargins="0">
    <oddHeader>&amp;C  Fairfield Public School District 112</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I189" sqref="I18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5203744</v>
      </c>
      <c r="G8" s="866"/>
    </row>
    <row r="9" spans="1:7" x14ac:dyDescent="0.2">
      <c r="A9" s="870" t="s">
        <v>480</v>
      </c>
      <c r="B9" s="871" t="s">
        <v>1989</v>
      </c>
      <c r="C9" s="872"/>
      <c r="D9" s="870" t="s">
        <v>522</v>
      </c>
      <c r="E9" s="869"/>
      <c r="F9" s="1932">
        <f>'Expenditures 15-22'!K151</f>
        <v>246769</v>
      </c>
      <c r="G9" s="873"/>
    </row>
    <row r="10" spans="1:7" x14ac:dyDescent="0.2">
      <c r="A10" s="870" t="s">
        <v>520</v>
      </c>
      <c r="B10" s="871" t="s">
        <v>1990</v>
      </c>
      <c r="C10" s="872"/>
      <c r="D10" s="870" t="s">
        <v>522</v>
      </c>
      <c r="E10" s="869"/>
      <c r="F10" s="1932">
        <f>'Expenditures 15-22'!K174</f>
        <v>340313</v>
      </c>
      <c r="G10" s="873"/>
    </row>
    <row r="11" spans="1:7" x14ac:dyDescent="0.2">
      <c r="A11" s="870" t="s">
        <v>481</v>
      </c>
      <c r="B11" s="871" t="s">
        <v>1991</v>
      </c>
      <c r="C11" s="872"/>
      <c r="D11" s="870" t="s">
        <v>522</v>
      </c>
      <c r="E11" s="869"/>
      <c r="F11" s="1932">
        <f>'Expenditures 15-22'!K210</f>
        <v>275408</v>
      </c>
      <c r="G11" s="873"/>
    </row>
    <row r="12" spans="1:7" x14ac:dyDescent="0.2">
      <c r="A12" s="870" t="s">
        <v>482</v>
      </c>
      <c r="B12" s="871" t="s">
        <v>1992</v>
      </c>
      <c r="C12" s="872"/>
      <c r="D12" s="870" t="s">
        <v>522</v>
      </c>
      <c r="E12" s="869"/>
      <c r="F12" s="1932">
        <f>'Expenditures 15-22'!K295</f>
        <v>230604</v>
      </c>
      <c r="G12" s="873"/>
    </row>
    <row r="13" spans="1:7" x14ac:dyDescent="0.2">
      <c r="A13" s="870" t="s">
        <v>108</v>
      </c>
      <c r="B13" s="871" t="s">
        <v>1993</v>
      </c>
      <c r="C13" s="872"/>
      <c r="D13" s="870" t="s">
        <v>522</v>
      </c>
      <c r="E13" s="869"/>
      <c r="F13" s="1932">
        <f>'Expenditures 15-22'!K342</f>
        <v>238981</v>
      </c>
      <c r="G13" s="874"/>
    </row>
    <row r="14" spans="1:7" ht="12" customHeight="1" thickBot="1" x14ac:dyDescent="0.25">
      <c r="A14" s="1790"/>
      <c r="B14" s="1791"/>
      <c r="C14" s="1792"/>
      <c r="D14" s="1793" t="s">
        <v>522</v>
      </c>
      <c r="E14" s="1794" t="s">
        <v>1015</v>
      </c>
      <c r="F14" s="1795">
        <f>SUM(F8:F13)</f>
        <v>6535819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1300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25065</v>
      </c>
      <c r="G52" s="866"/>
    </row>
    <row r="53" spans="1:7" x14ac:dyDescent="0.2">
      <c r="A53" s="870" t="s">
        <v>479</v>
      </c>
      <c r="B53" s="870" t="s">
        <v>1551</v>
      </c>
      <c r="C53" s="890">
        <f>'Expenditures 15-22'!B102</f>
        <v>4000</v>
      </c>
      <c r="D53" s="889" t="str">
        <f>'Expenditures 15-22'!A102</f>
        <v>Total Payments to Other Govt Units</v>
      </c>
      <c r="E53" s="869"/>
      <c r="F53" s="1936">
        <f>'Expenditures 15-22'!K102</f>
        <v>65152</v>
      </c>
      <c r="G53" s="866"/>
    </row>
    <row r="54" spans="1:7" x14ac:dyDescent="0.2">
      <c r="A54" s="870" t="s">
        <v>479</v>
      </c>
      <c r="B54" s="870" t="s">
        <v>1552</v>
      </c>
      <c r="C54" s="890" t="s">
        <v>1039</v>
      </c>
      <c r="D54" s="886" t="s">
        <v>1157</v>
      </c>
      <c r="E54" s="869"/>
      <c r="F54" s="1936">
        <f>'Expenditures 15-22'!G114</f>
        <v>49148</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6">
        <f>'Expenditures 15-22'!K139</f>
        <v>0</v>
      </c>
      <c r="G57" s="866"/>
    </row>
    <row r="58" spans="1:7" x14ac:dyDescent="0.2">
      <c r="A58" s="870" t="s">
        <v>480</v>
      </c>
      <c r="B58" s="870" t="s">
        <v>1995</v>
      </c>
      <c r="C58" s="887" t="s">
        <v>1039</v>
      </c>
      <c r="D58" s="886" t="s">
        <v>1157</v>
      </c>
      <c r="E58" s="869"/>
      <c r="F58" s="1938">
        <f>'Expenditures 15-22'!G151</f>
        <v>6104</v>
      </c>
      <c r="G58" s="866"/>
    </row>
    <row r="59" spans="1:7" x14ac:dyDescent="0.2">
      <c r="A59" s="894" t="s">
        <v>480</v>
      </c>
      <c r="B59" s="857" t="s">
        <v>1996</v>
      </c>
      <c r="C59" s="895" t="s">
        <v>1039</v>
      </c>
      <c r="D59" s="857" t="s">
        <v>309</v>
      </c>
      <c r="F59" s="1939">
        <f>'Expenditures 15-22'!I151</f>
        <v>0</v>
      </c>
      <c r="G59" s="866"/>
    </row>
    <row r="60" spans="1:7" x14ac:dyDescent="0.2">
      <c r="A60" s="894" t="s">
        <v>520</v>
      </c>
      <c r="B60" s="857" t="s">
        <v>1997</v>
      </c>
      <c r="C60" s="895">
        <v>4000</v>
      </c>
      <c r="D60" s="857" t="s">
        <v>330</v>
      </c>
      <c r="F60" s="1937">
        <f>'Expenditures 15-22'!K160</f>
        <v>0</v>
      </c>
      <c r="G60" s="866"/>
    </row>
    <row r="61" spans="1:7" x14ac:dyDescent="0.2">
      <c r="A61" s="896" t="s">
        <v>520</v>
      </c>
      <c r="B61" s="896" t="s">
        <v>1998</v>
      </c>
      <c r="C61" s="897" t="str">
        <f>'Expenditures 15-22'!B170</f>
        <v>5300</v>
      </c>
      <c r="D61" s="898" t="s">
        <v>329</v>
      </c>
      <c r="E61" s="880"/>
      <c r="F61" s="1936">
        <f>'Expenditures 15-22'!K170</f>
        <v>211500</v>
      </c>
      <c r="G61" s="866"/>
    </row>
    <row r="62" spans="1:7" x14ac:dyDescent="0.2">
      <c r="A62" s="870" t="s">
        <v>481</v>
      </c>
      <c r="B62" s="870" t="s">
        <v>1999</v>
      </c>
      <c r="C62" s="887">
        <f>'Expenditures 15-22'!B185</f>
        <v>3000</v>
      </c>
      <c r="D62" s="877" t="s">
        <v>469</v>
      </c>
      <c r="E62" s="869"/>
      <c r="F62" s="1936">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2001</v>
      </c>
      <c r="C64" s="897" t="str">
        <f>'Expenditures 15-22'!B206</f>
        <v>5300</v>
      </c>
      <c r="D64" s="893" t="s">
        <v>329</v>
      </c>
      <c r="E64" s="869"/>
      <c r="F64" s="1936">
        <f>'Expenditures 15-22'!K206</f>
        <v>41663</v>
      </c>
      <c r="G64" s="866"/>
    </row>
    <row r="65" spans="1:8" x14ac:dyDescent="0.2">
      <c r="A65" s="870" t="s">
        <v>481</v>
      </c>
      <c r="B65" s="870" t="s">
        <v>2002</v>
      </c>
      <c r="C65" s="887" t="s">
        <v>1039</v>
      </c>
      <c r="D65" s="886" t="s">
        <v>1157</v>
      </c>
      <c r="E65" s="869"/>
      <c r="F65" s="1936">
        <f>'Expenditures 15-22'!G210</f>
        <v>1444</v>
      </c>
      <c r="G65" s="866"/>
    </row>
    <row r="66" spans="1:8" x14ac:dyDescent="0.2">
      <c r="A66" s="870" t="s">
        <v>481</v>
      </c>
      <c r="B66" s="870" t="s">
        <v>2003</v>
      </c>
      <c r="C66" s="887" t="s">
        <v>1039</v>
      </c>
      <c r="D66" s="886" t="s">
        <v>309</v>
      </c>
      <c r="E66" s="869"/>
      <c r="F66" s="1936">
        <f>'Expenditures 15-22'!I210</f>
        <v>0</v>
      </c>
      <c r="G66" s="866"/>
    </row>
    <row r="67" spans="1:8" x14ac:dyDescent="0.2">
      <c r="A67" s="870" t="s">
        <v>482</v>
      </c>
      <c r="B67" s="870" t="s">
        <v>2004</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2006</v>
      </c>
      <c r="C70" s="887">
        <f>'Expenditures 15-22'!B221</f>
        <v>1300</v>
      </c>
      <c r="D70" s="888" t="str">
        <f>'Expenditures 15-22'!A221</f>
        <v>Adult/Continuing Education Programs</v>
      </c>
      <c r="E70" s="869"/>
      <c r="F70" s="1936">
        <f>'Expenditures 15-22'!K221</f>
        <v>0</v>
      </c>
      <c r="G70" s="866"/>
    </row>
    <row r="71" spans="1:8" x14ac:dyDescent="0.2">
      <c r="A71" s="870" t="s">
        <v>482</v>
      </c>
      <c r="B71" s="870" t="s">
        <v>2007</v>
      </c>
      <c r="C71" s="887">
        <f>'Expenditures 15-22'!B224</f>
        <v>1600</v>
      </c>
      <c r="D71" s="888" t="str">
        <f>'Expenditures 15-22'!A224</f>
        <v>Summer School Programs</v>
      </c>
      <c r="E71" s="869"/>
      <c r="F71" s="1936">
        <f>'Expenditures 15-22'!K224</f>
        <v>0</v>
      </c>
      <c r="G71" s="866"/>
    </row>
    <row r="72" spans="1:8" x14ac:dyDescent="0.2">
      <c r="A72" s="870" t="s">
        <v>482</v>
      </c>
      <c r="B72" s="870" t="s">
        <v>2008</v>
      </c>
      <c r="C72" s="887">
        <f>'Expenditures 15-22'!B280</f>
        <v>3000</v>
      </c>
      <c r="D72" s="877" t="s">
        <v>469</v>
      </c>
      <c r="E72" s="869"/>
      <c r="F72" s="1936">
        <f>'Expenditures 15-22'!K280</f>
        <v>218</v>
      </c>
      <c r="G72" s="866"/>
    </row>
    <row r="73" spans="1:8" x14ac:dyDescent="0.2">
      <c r="A73" s="870" t="s">
        <v>482</v>
      </c>
      <c r="B73" s="870" t="s">
        <v>2009</v>
      </c>
      <c r="C73" s="887" t="str">
        <f>'Expenditures 15-22'!B285</f>
        <v>4000</v>
      </c>
      <c r="D73" s="888" t="str">
        <f>'Expenditures 15-22'!A285</f>
        <v>Total Payments to Other Govt Units</v>
      </c>
      <c r="E73" s="869"/>
      <c r="F73" s="1936">
        <f>'Expenditures 15-22'!K285</f>
        <v>0</v>
      </c>
      <c r="G73" s="866"/>
    </row>
    <row r="74" spans="1:8" x14ac:dyDescent="0.2">
      <c r="A74" s="870" t="s">
        <v>456</v>
      </c>
      <c r="B74" s="870" t="s">
        <v>2010</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401594</v>
      </c>
      <c r="G76" s="866"/>
    </row>
    <row r="77" spans="1:8" s="894" customFormat="1" ht="12" customHeight="1" thickTop="1" thickBot="1" x14ac:dyDescent="0.25">
      <c r="A77" s="1799"/>
      <c r="B77" s="1796"/>
      <c r="C77" s="1792"/>
      <c r="D77" s="1797" t="s">
        <v>2012</v>
      </c>
      <c r="E77" s="1794"/>
      <c r="F77" s="1800">
        <f>(F14-F76)</f>
        <v>6134225</v>
      </c>
      <c r="G77" s="870"/>
    </row>
    <row r="78" spans="1:8" s="894" customFormat="1" ht="12" customHeight="1" thickTop="1" x14ac:dyDescent="0.2">
      <c r="A78" s="1801"/>
      <c r="B78" s="1796"/>
      <c r="C78" s="1792"/>
      <c r="D78" s="1797" t="s">
        <v>2059</v>
      </c>
      <c r="E78" s="1794"/>
      <c r="F78" s="899">
        <v>604.76</v>
      </c>
      <c r="G78" s="900"/>
      <c r="H78" s="870"/>
    </row>
    <row r="79" spans="1:8" s="894" customFormat="1" ht="12" customHeight="1" thickBot="1" x14ac:dyDescent="0.25">
      <c r="A79" s="1802"/>
      <c r="B79" s="1796"/>
      <c r="C79" s="1792"/>
      <c r="D79" s="1797" t="s">
        <v>2013</v>
      </c>
      <c r="E79" s="1794" t="s">
        <v>1015</v>
      </c>
      <c r="F79" s="1803">
        <f>IF(F78&gt;0,F77/F78," Complete Line 78")</f>
        <v>10143.238640121701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960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66295</v>
      </c>
      <c r="G94" s="913"/>
    </row>
    <row r="95" spans="1:7" x14ac:dyDescent="0.2">
      <c r="A95" s="909" t="s">
        <v>142</v>
      </c>
      <c r="B95" s="909" t="s">
        <v>177</v>
      </c>
      <c r="C95" s="911">
        <v>1700</v>
      </c>
      <c r="D95" s="919" t="str">
        <f>'Revenues 9-14'!A82</f>
        <v>Total District/School Activity Income</v>
      </c>
      <c r="E95" s="907"/>
      <c r="F95" s="1809">
        <f>SUM('Revenues 9-14'!C82,'Revenues 9-14'!D82)</f>
        <v>11059</v>
      </c>
      <c r="G95" s="913"/>
    </row>
    <row r="96" spans="1:7" x14ac:dyDescent="0.2">
      <c r="A96" s="909" t="s">
        <v>479</v>
      </c>
      <c r="B96" s="909" t="s">
        <v>178</v>
      </c>
      <c r="C96" s="911">
        <f>'Revenues 9-14'!B84</f>
        <v>1811</v>
      </c>
      <c r="D96" s="912" t="str">
        <f>'Revenues 9-14'!A84</f>
        <v>Rentals - Regular Textbooks</v>
      </c>
      <c r="E96" s="907"/>
      <c r="F96" s="1809">
        <f>'Revenues 9-14'!C84</f>
        <v>9600</v>
      </c>
      <c r="G96" s="913"/>
    </row>
    <row r="97" spans="1:7" x14ac:dyDescent="0.2">
      <c r="A97" s="909" t="s">
        <v>479</v>
      </c>
      <c r="B97" s="909" t="s">
        <v>179</v>
      </c>
      <c r="C97" s="911">
        <f>'Revenues 9-14'!B87</f>
        <v>1819</v>
      </c>
      <c r="D97" s="912" t="str">
        <f>'Revenues 9-14'!A87</f>
        <v>Rentals - Other (Describe &amp; Itemize)</v>
      </c>
      <c r="E97" s="907"/>
      <c r="F97" s="1809">
        <f>'Revenues 9-14'!C87</f>
        <v>3780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3620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938</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1990</v>
      </c>
      <c r="G104" s="913"/>
    </row>
    <row r="105" spans="1:7" x14ac:dyDescent="0.2">
      <c r="A105" s="909" t="s">
        <v>524</v>
      </c>
      <c r="B105" s="909" t="s">
        <v>842</v>
      </c>
      <c r="C105" s="914">
        <v>3100</v>
      </c>
      <c r="D105" s="920" t="str">
        <f>'Revenues 9-14'!A131</f>
        <v>Total Special Education</v>
      </c>
      <c r="E105" s="907"/>
      <c r="F105" s="1809">
        <f>SUM('Revenues 9-14'!C131:D131,'Revenues 9-14'!F131)</f>
        <v>131618</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4003</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138751</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1121</v>
      </c>
      <c r="G128" s="931"/>
    </row>
    <row r="129" spans="1:7" x14ac:dyDescent="0.2">
      <c r="A129" s="928" t="s">
        <v>685</v>
      </c>
      <c r="B129" s="928" t="s">
        <v>803</v>
      </c>
      <c r="C129" s="933">
        <v>4200</v>
      </c>
      <c r="D129" s="930" t="str">
        <f>'Revenues 9-14'!A201</f>
        <v>Total Food Service</v>
      </c>
      <c r="E129" s="907"/>
      <c r="F129" s="1809">
        <f>SUM('Revenues 9-14'!C201,'Revenues 9-14'!G201)</f>
        <v>230523</v>
      </c>
      <c r="G129" s="931"/>
    </row>
    <row r="130" spans="1:7" x14ac:dyDescent="0.2">
      <c r="A130" s="928" t="s">
        <v>689</v>
      </c>
      <c r="B130" s="928" t="s">
        <v>804</v>
      </c>
      <c r="C130" s="933">
        <v>4300</v>
      </c>
      <c r="D130" s="934" t="str">
        <f>'Revenues 9-14'!A211</f>
        <v>Total Title I</v>
      </c>
      <c r="E130" s="907"/>
      <c r="F130" s="1809">
        <f>SUM('Revenues 9-14'!C211,'Revenues 9-14'!D211,'Revenues 9-14'!F211,'Revenues 9-14'!G211)</f>
        <v>192722</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383</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45705</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45705</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13369</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4103</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102231</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1" t="s">
        <v>5</v>
      </c>
      <c r="B175" s="1942" t="s">
        <v>2058</v>
      </c>
      <c r="C175" s="1943">
        <v>3100</v>
      </c>
      <c r="D175" s="1944" t="s">
        <v>2061</v>
      </c>
      <c r="E175" s="907"/>
      <c r="F175" s="1928">
        <v>240263</v>
      </c>
      <c r="G175" s="928"/>
    </row>
    <row r="176" spans="1:7" x14ac:dyDescent="0.2">
      <c r="A176" s="1941" t="s">
        <v>685</v>
      </c>
      <c r="B176" s="1942" t="s">
        <v>2058</v>
      </c>
      <c r="C176" s="1943">
        <v>3300</v>
      </c>
      <c r="D176" s="1944" t="s">
        <v>2062</v>
      </c>
      <c r="E176" s="907"/>
      <c r="F176" s="1928">
        <v>0</v>
      </c>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1204534</v>
      </c>
    </row>
    <row r="179" spans="1:7" ht="12" customHeight="1" x14ac:dyDescent="0.2">
      <c r="A179" s="1790"/>
      <c r="B179" s="1804"/>
      <c r="C179" s="1805"/>
      <c r="D179" s="1806" t="s">
        <v>2015</v>
      </c>
      <c r="E179" s="1807"/>
      <c r="F179" s="1809">
        <f>'PCTC-OEPP 27-28'!F77-F178</f>
        <v>4929691</v>
      </c>
    </row>
    <row r="180" spans="1:7" ht="12" customHeight="1" x14ac:dyDescent="0.2">
      <c r="A180" s="1790"/>
      <c r="B180" s="1804"/>
      <c r="C180" s="1805"/>
      <c r="D180" s="1806" t="s">
        <v>1924</v>
      </c>
      <c r="E180" s="1807"/>
      <c r="F180" s="1809">
        <f>'Cap Outlay Deprec 26'!I18</f>
        <v>367909</v>
      </c>
    </row>
    <row r="181" spans="1:7" ht="12" customHeight="1" x14ac:dyDescent="0.2">
      <c r="A181" s="1790"/>
      <c r="B181" s="1804"/>
      <c r="C181" s="1805"/>
      <c r="D181" s="1806" t="s">
        <v>2016</v>
      </c>
      <c r="E181" s="1807"/>
      <c r="F181" s="1809">
        <f>F179+F180</f>
        <v>5297600</v>
      </c>
    </row>
    <row r="182" spans="1:7" ht="12" customHeight="1" x14ac:dyDescent="0.2">
      <c r="A182" s="1790"/>
      <c r="B182" s="1810"/>
      <c r="C182" s="1805"/>
      <c r="D182" s="1806" t="str">
        <f>D78</f>
        <v>9 Month ADA from District Average Daily Attendance/Prior General State Aid Inquiry 2017-2018</v>
      </c>
      <c r="E182" s="1807"/>
      <c r="F182" s="1811">
        <f>'PCTC-OEPP 27-28'!F78</f>
        <v>604.76</v>
      </c>
      <c r="G182" s="931"/>
    </row>
    <row r="183" spans="1:7" ht="12" customHeight="1" thickBot="1" x14ac:dyDescent="0.25">
      <c r="A183" s="1790"/>
      <c r="B183" s="1810"/>
      <c r="C183" s="1805"/>
      <c r="D183" s="1806" t="s">
        <v>2017</v>
      </c>
      <c r="E183" s="1807" t="s">
        <v>1626</v>
      </c>
      <c r="F183" s="1812">
        <f>F181/F182</f>
        <v>8759.8386136649242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50"/>
      <c r="D188" s="931"/>
      <c r="E188" s="950"/>
      <c r="F188" s="931"/>
      <c r="G188" s="931"/>
    </row>
    <row r="189" spans="1:7" x14ac:dyDescent="0.2">
      <c r="A189" s="1949" t="s">
        <v>2064</v>
      </c>
      <c r="B189" s="1950"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6" right="0.2" top="0.73" bottom="0.48" header="0.31" footer="0.37"/>
  <pageSetup scale="70" firstPageNumber="27" orientation="portrait" useFirstPageNumber="1" r:id="rId2"/>
  <headerFooter alignWithMargins="0">
    <oddHeader>&amp;C  Fairfield Public School District 112</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7" activePane="bottomLeft" state="frozen"/>
      <selection pane="bottomLeft" activeCell="A18" sqref="A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2157</v>
      </c>
      <c r="B17" s="1957" t="s">
        <v>2156</v>
      </c>
      <c r="C17" s="1956" t="s">
        <v>2155</v>
      </c>
      <c r="D17" s="1864">
        <v>278694.65000000002</v>
      </c>
      <c r="E17" s="1562">
        <f t="shared" ref="E17:E45" si="1">IF(D17&lt;=25000,D17,IF(D17&gt;25000,25000,0))</f>
        <v>25000</v>
      </c>
      <c r="F17" s="1813">
        <f t="shared" si="0"/>
        <v>25000</v>
      </c>
      <c r="G17" s="1814">
        <f>IF(F17=0,0,D17-F17)</f>
        <v>253694.65000000002</v>
      </c>
      <c r="H17" s="1669"/>
    </row>
    <row r="18" spans="1:8" x14ac:dyDescent="0.25">
      <c r="A18" s="1675"/>
      <c r="B18" s="1865"/>
      <c r="C18" s="1677"/>
      <c r="D18" s="1864"/>
      <c r="E18" s="1562">
        <f t="shared" ref="E18:E39" si="2">IF(D18&lt;=25000,D18,IF(D18&gt;25000,25000,0))</f>
        <v>0</v>
      </c>
      <c r="F18" s="1813">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39" si="4">IF(F18=0,0,D18-F18)</f>
        <v>0</v>
      </c>
    </row>
    <row r="19" spans="1:8" x14ac:dyDescent="0.25">
      <c r="A19" s="1675"/>
      <c r="B19" s="1866"/>
      <c r="C19" s="1677"/>
      <c r="D19" s="1864"/>
      <c r="E19" s="1562">
        <f t="shared" si="2"/>
        <v>0</v>
      </c>
      <c r="F19" s="1813">
        <f t="shared" si="3"/>
        <v>0</v>
      </c>
      <c r="G19" s="1814">
        <f t="shared" si="4"/>
        <v>0</v>
      </c>
    </row>
    <row r="20" spans="1:8" x14ac:dyDescent="0.25">
      <c r="A20" s="1675"/>
      <c r="B20" s="1865"/>
      <c r="C20" s="1677"/>
      <c r="D20" s="1864"/>
      <c r="E20" s="1562">
        <f t="shared" si="2"/>
        <v>0</v>
      </c>
      <c r="F20" s="1813">
        <f t="shared" si="3"/>
        <v>0</v>
      </c>
      <c r="G20" s="1814">
        <f t="shared" si="4"/>
        <v>0</v>
      </c>
    </row>
    <row r="21" spans="1:8" x14ac:dyDescent="0.25">
      <c r="A21" s="1675"/>
      <c r="B21" s="1865"/>
      <c r="C21" s="1677"/>
      <c r="D21" s="1864"/>
      <c r="E21" s="1562">
        <f t="shared" si="2"/>
        <v>0</v>
      </c>
      <c r="F21" s="1813">
        <f t="shared" si="3"/>
        <v>0</v>
      </c>
      <c r="G21" s="1814">
        <f t="shared" si="4"/>
        <v>0</v>
      </c>
    </row>
    <row r="22" spans="1:8" x14ac:dyDescent="0.25">
      <c r="A22" s="1675"/>
      <c r="B22" s="1865"/>
      <c r="C22" s="1677"/>
      <c r="D22" s="1864"/>
      <c r="E22" s="1562">
        <f t="shared" si="2"/>
        <v>0</v>
      </c>
      <c r="F22" s="1813">
        <f t="shared" si="3"/>
        <v>0</v>
      </c>
      <c r="G22" s="1814">
        <f t="shared" si="4"/>
        <v>0</v>
      </c>
    </row>
    <row r="23" spans="1:8" x14ac:dyDescent="0.25">
      <c r="A23" s="1675"/>
      <c r="B23" s="1865"/>
      <c r="C23" s="1677"/>
      <c r="D23" s="1864"/>
      <c r="E23" s="1562">
        <f t="shared" si="2"/>
        <v>0</v>
      </c>
      <c r="F23" s="1813">
        <f t="shared" si="3"/>
        <v>0</v>
      </c>
      <c r="G23" s="1814">
        <f t="shared" si="4"/>
        <v>0</v>
      </c>
    </row>
    <row r="24" spans="1:8" x14ac:dyDescent="0.25">
      <c r="A24" s="1675"/>
      <c r="B24" s="1866"/>
      <c r="C24" s="1677"/>
      <c r="D24" s="1864"/>
      <c r="E24" s="1562">
        <f t="shared" si="2"/>
        <v>0</v>
      </c>
      <c r="F24" s="1813">
        <f t="shared" si="3"/>
        <v>0</v>
      </c>
      <c r="G24" s="1814">
        <f t="shared" si="4"/>
        <v>0</v>
      </c>
    </row>
    <row r="25" spans="1:8" x14ac:dyDescent="0.25">
      <c r="A25" s="1675"/>
      <c r="B25" s="1865"/>
      <c r="C25" s="1677"/>
      <c r="D25" s="1864"/>
      <c r="E25" s="1562">
        <f t="shared" si="2"/>
        <v>0</v>
      </c>
      <c r="F25" s="1813">
        <f t="shared" si="3"/>
        <v>0</v>
      </c>
      <c r="G25" s="1814">
        <f t="shared" si="4"/>
        <v>0</v>
      </c>
    </row>
    <row r="26" spans="1:8" x14ac:dyDescent="0.25">
      <c r="A26" s="1675"/>
      <c r="B26" s="1866"/>
      <c r="C26" s="1676"/>
      <c r="D26" s="1864"/>
      <c r="E26" s="1562">
        <f t="shared" si="2"/>
        <v>0</v>
      </c>
      <c r="F26" s="1813">
        <f t="shared" si="3"/>
        <v>0</v>
      </c>
      <c r="G26" s="1814">
        <f t="shared" si="4"/>
        <v>0</v>
      </c>
    </row>
    <row r="27" spans="1:8" x14ac:dyDescent="0.25">
      <c r="A27" s="1675"/>
      <c r="B27" s="1866"/>
      <c r="C27" s="1676"/>
      <c r="D27" s="1864"/>
      <c r="E27" s="1562">
        <f t="shared" si="2"/>
        <v>0</v>
      </c>
      <c r="F27" s="1813">
        <f t="shared" si="3"/>
        <v>0</v>
      </c>
      <c r="G27" s="1814">
        <f t="shared" si="4"/>
        <v>0</v>
      </c>
    </row>
    <row r="28" spans="1:8" x14ac:dyDescent="0.25">
      <c r="A28" s="1675"/>
      <c r="B28" s="1866"/>
      <c r="C28" s="1676"/>
      <c r="D28" s="1864"/>
      <c r="E28" s="1562">
        <f t="shared" si="2"/>
        <v>0</v>
      </c>
      <c r="F28" s="1813">
        <f t="shared" si="3"/>
        <v>0</v>
      </c>
      <c r="G28" s="1814">
        <f t="shared" si="4"/>
        <v>0</v>
      </c>
    </row>
    <row r="29" spans="1:8" x14ac:dyDescent="0.25">
      <c r="A29" s="1675"/>
      <c r="B29" s="1866"/>
      <c r="C29" s="1676"/>
      <c r="D29" s="1864"/>
      <c r="E29" s="1562">
        <f t="shared" si="2"/>
        <v>0</v>
      </c>
      <c r="F29" s="1813">
        <f t="shared" si="3"/>
        <v>0</v>
      </c>
      <c r="G29" s="1814">
        <f t="shared" si="4"/>
        <v>0</v>
      </c>
    </row>
    <row r="30" spans="1:8" x14ac:dyDescent="0.25">
      <c r="A30" s="1675"/>
      <c r="B30" s="1866"/>
      <c r="C30" s="1676"/>
      <c r="D30" s="1864"/>
      <c r="E30" s="1562">
        <f t="shared" si="2"/>
        <v>0</v>
      </c>
      <c r="F30" s="1813">
        <f t="shared" si="3"/>
        <v>0</v>
      </c>
      <c r="G30" s="1814">
        <f t="shared" si="4"/>
        <v>0</v>
      </c>
    </row>
    <row r="31" spans="1:8" x14ac:dyDescent="0.25">
      <c r="A31" s="1675"/>
      <c r="B31" s="1866"/>
      <c r="C31" s="1676"/>
      <c r="D31" s="1864"/>
      <c r="E31" s="1562">
        <f t="shared" si="2"/>
        <v>0</v>
      </c>
      <c r="F31" s="1813">
        <f t="shared" si="3"/>
        <v>0</v>
      </c>
      <c r="G31" s="1814">
        <f t="shared" si="4"/>
        <v>0</v>
      </c>
    </row>
    <row r="32" spans="1:8" x14ac:dyDescent="0.25">
      <c r="A32" s="1675"/>
      <c r="B32" s="1866"/>
      <c r="C32" s="1676"/>
      <c r="D32" s="1864"/>
      <c r="E32" s="1562">
        <f t="shared" si="2"/>
        <v>0</v>
      </c>
      <c r="F32" s="1813">
        <f t="shared" si="3"/>
        <v>0</v>
      </c>
      <c r="G32" s="1814">
        <f t="shared" si="4"/>
        <v>0</v>
      </c>
    </row>
    <row r="33" spans="1:7" x14ac:dyDescent="0.25">
      <c r="A33" s="1675"/>
      <c r="B33" s="1866"/>
      <c r="C33" s="1676"/>
      <c r="D33" s="1864"/>
      <c r="E33" s="1562">
        <f t="shared" si="2"/>
        <v>0</v>
      </c>
      <c r="F33" s="1813">
        <f t="shared" si="3"/>
        <v>0</v>
      </c>
      <c r="G33" s="1814">
        <f t="shared" si="4"/>
        <v>0</v>
      </c>
    </row>
    <row r="34" spans="1:7" x14ac:dyDescent="0.25">
      <c r="A34" s="1675"/>
      <c r="B34" s="1866"/>
      <c r="C34" s="1676"/>
      <c r="D34" s="1864"/>
      <c r="E34" s="1562">
        <f t="shared" si="2"/>
        <v>0</v>
      </c>
      <c r="F34" s="1813">
        <f t="shared" si="3"/>
        <v>0</v>
      </c>
      <c r="G34" s="1814">
        <f t="shared" si="4"/>
        <v>0</v>
      </c>
    </row>
    <row r="35" spans="1:7" x14ac:dyDescent="0.25">
      <c r="A35" s="1675"/>
      <c r="B35" s="1866"/>
      <c r="C35" s="1676"/>
      <c r="D35" s="1864"/>
      <c r="E35" s="1562">
        <f t="shared" si="2"/>
        <v>0</v>
      </c>
      <c r="F35" s="1813">
        <f t="shared" si="3"/>
        <v>0</v>
      </c>
      <c r="G35" s="1814">
        <f t="shared" si="4"/>
        <v>0</v>
      </c>
    </row>
    <row r="36" spans="1:7" x14ac:dyDescent="0.25">
      <c r="A36" s="1675"/>
      <c r="B36" s="1866"/>
      <c r="C36" s="1676"/>
      <c r="D36" s="1864"/>
      <c r="E36" s="1562">
        <f t="shared" si="2"/>
        <v>0</v>
      </c>
      <c r="F36" s="1813">
        <f t="shared" si="3"/>
        <v>0</v>
      </c>
      <c r="G36" s="1814">
        <f t="shared" si="4"/>
        <v>0</v>
      </c>
    </row>
    <row r="37" spans="1:7" x14ac:dyDescent="0.25">
      <c r="A37" s="1675"/>
      <c r="B37" s="1866"/>
      <c r="C37" s="1676"/>
      <c r="D37" s="1864"/>
      <c r="E37" s="1562">
        <f t="shared" si="2"/>
        <v>0</v>
      </c>
      <c r="F37" s="1813">
        <f t="shared" si="3"/>
        <v>0</v>
      </c>
      <c r="G37" s="1814">
        <f t="shared" si="4"/>
        <v>0</v>
      </c>
    </row>
    <row r="38" spans="1:7" x14ac:dyDescent="0.25">
      <c r="A38" s="1675"/>
      <c r="B38" s="1687"/>
      <c r="C38" s="1676"/>
      <c r="D38" s="1864"/>
      <c r="E38" s="1562">
        <f t="shared" si="2"/>
        <v>0</v>
      </c>
      <c r="F38" s="1813">
        <f t="shared" si="3"/>
        <v>0</v>
      </c>
      <c r="G38" s="1814">
        <f t="shared" si="4"/>
        <v>0</v>
      </c>
    </row>
    <row r="39" spans="1:7" x14ac:dyDescent="0.25">
      <c r="A39" s="1675"/>
      <c r="B39" s="1687"/>
      <c r="C39" s="1676"/>
      <c r="D39" s="1864"/>
      <c r="E39" s="1562">
        <f t="shared" si="2"/>
        <v>0</v>
      </c>
      <c r="F39" s="1813">
        <f t="shared" si="3"/>
        <v>0</v>
      </c>
      <c r="G39" s="1814">
        <f t="shared" si="4"/>
        <v>0</v>
      </c>
    </row>
    <row r="40" spans="1:7" x14ac:dyDescent="0.25">
      <c r="A40" s="1675"/>
      <c r="B40" s="1687"/>
      <c r="C40" s="1676"/>
      <c r="D40" s="1864"/>
      <c r="E40" s="1562">
        <f t="shared" ref="E40:E43" si="5">IF(D40&lt;=25000,D40,IF(D40&gt;25000,25000,0))</f>
        <v>0</v>
      </c>
      <c r="F40" s="1813">
        <f t="shared" ref="F40:F43" si="6">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4">
        <f t="shared" ref="G40:G43" si="7">IF(F40=0,0,D40-F40)</f>
        <v>0</v>
      </c>
    </row>
    <row r="41" spans="1:7" x14ac:dyDescent="0.25">
      <c r="A41" s="1675"/>
      <c r="B41" s="1687"/>
      <c r="C41" s="1676"/>
      <c r="D41" s="1864"/>
      <c r="E41" s="1562">
        <f t="shared" si="5"/>
        <v>0</v>
      </c>
      <c r="F41" s="1813">
        <f t="shared" si="6"/>
        <v>0</v>
      </c>
      <c r="G41" s="1814">
        <f t="shared" si="7"/>
        <v>0</v>
      </c>
    </row>
    <row r="42" spans="1:7" x14ac:dyDescent="0.25">
      <c r="A42" s="1675"/>
      <c r="B42" s="1687"/>
      <c r="C42" s="1676"/>
      <c r="D42" s="1864"/>
      <c r="E42" s="1562">
        <f t="shared" si="5"/>
        <v>0</v>
      </c>
      <c r="F42" s="1813">
        <f t="shared" si="6"/>
        <v>0</v>
      </c>
      <c r="G42" s="1814">
        <f t="shared" si="7"/>
        <v>0</v>
      </c>
    </row>
    <row r="43" spans="1:7" x14ac:dyDescent="0.25">
      <c r="A43" s="1675"/>
      <c r="B43" s="1687"/>
      <c r="C43" s="1676"/>
      <c r="D43" s="1864"/>
      <c r="E43" s="1562">
        <f t="shared" si="5"/>
        <v>0</v>
      </c>
      <c r="F43" s="1813">
        <f t="shared" si="6"/>
        <v>0</v>
      </c>
      <c r="G43" s="1814">
        <f t="shared" si="7"/>
        <v>0</v>
      </c>
    </row>
    <row r="44" spans="1:7" x14ac:dyDescent="0.25">
      <c r="A44" s="1675"/>
      <c r="B44" s="1687"/>
      <c r="C44" s="1676"/>
      <c r="D44" s="1864"/>
      <c r="E44" s="1562">
        <f t="shared" ref="E44" si="8">IF(D44&lt;=25000,D44,IF(D44&gt;25000,25000,0))</f>
        <v>0</v>
      </c>
      <c r="F44" s="1813">
        <f t="shared" ref="F44" si="9">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4">
        <f t="shared" ref="G44" si="10">IF(F44=0,0,D44-F44)</f>
        <v>0</v>
      </c>
    </row>
    <row r="45" spans="1:7" x14ac:dyDescent="0.25">
      <c r="A45" s="1817" t="s">
        <v>158</v>
      </c>
      <c r="B45" s="1818"/>
      <c r="C45" s="1819"/>
      <c r="D45" s="1815">
        <f>SUM(D17:D44)</f>
        <v>278694.65000000002</v>
      </c>
      <c r="E45" s="1563">
        <f t="shared" si="1"/>
        <v>25000</v>
      </c>
      <c r="F45" s="1815">
        <f>SUM(F17:F44)</f>
        <v>25000</v>
      </c>
      <c r="G45" s="1816">
        <f>SUM(G17:G44)</f>
        <v>253694.65000000002</v>
      </c>
    </row>
  </sheetData>
  <sheetProtection sheet="1" objects="1" scenarios="1" selectLockedCells="1"/>
  <mergeCells count="6">
    <mergeCell ref="A13:G13"/>
    <mergeCell ref="A4:G5"/>
    <mergeCell ref="A11:G11"/>
    <mergeCell ref="A7:G7"/>
    <mergeCell ref="A8:G8"/>
    <mergeCell ref="A9:G9"/>
  </mergeCells>
  <pageMargins left="0.96" right="0.48" top="0.5" bottom="0.17" header="0.3" footer="0.32"/>
  <pageSetup scale="70" firstPageNumber="30" fitToHeight="0" orientation="landscape" r:id="rId1"/>
  <headerFooter alignWithMargins="0">
    <oddHeader>&amp;C Fairfield Public School District 112</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B45" sqref="B4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3828</v>
      </c>
      <c r="F10" s="975"/>
      <c r="G10" s="976"/>
      <c r="H10" s="162"/>
      <c r="I10" s="162"/>
    </row>
    <row r="11" spans="1:9" s="669" customFormat="1" ht="22.5" customHeight="1" x14ac:dyDescent="0.2">
      <c r="A11" s="2305" t="s">
        <v>1945</v>
      </c>
      <c r="B11" s="2306"/>
      <c r="C11" s="2306"/>
      <c r="D11" s="2307"/>
      <c r="E11" s="978">
        <v>25401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3523833</v>
      </c>
      <c r="F19" s="1820"/>
      <c r="G19" s="1822">
        <f>'Expenditures 15-22'!K33-SUM('Expenditures 15-22'!G33,'Expenditures 15-22'!I33)+'Expenditures 15-22'!D229</f>
        <v>3523833</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228367</v>
      </c>
      <c r="F21" s="1823"/>
      <c r="G21" s="1826">
        <f>'Expenditures 15-22'!K42-SUM('Expenditures 15-22'!G42,'Expenditures 15-22'!I42)+'Expenditures 15-22'!K120-SUM('Expenditures 15-22'!G120,'Expenditures 15-22'!I120)+'Expenditures 15-22'!K180-SUM('Expenditures 15-22'!G180,'Expenditures 15-22'!I180)+'Expenditures 15-22'!D238</f>
        <v>228367</v>
      </c>
      <c r="H21" s="988"/>
      <c r="I21" s="162"/>
    </row>
    <row r="22" spans="1:9" s="669" customFormat="1" ht="12" customHeight="1" x14ac:dyDescent="0.2">
      <c r="A22" s="995" t="s">
        <v>585</v>
      </c>
      <c r="B22" s="996"/>
      <c r="C22" s="994">
        <v>2200</v>
      </c>
      <c r="D22" s="1823"/>
      <c r="E22" s="1825">
        <f>'Expenditures 15-22'!K47-SUM('Expenditures 15-22'!G47,'Expenditures 15-22'!I47)+'Expenditures 15-22'!D243</f>
        <v>97757</v>
      </c>
      <c r="F22" s="1823"/>
      <c r="G22" s="1826">
        <f>'Expenditures 15-22'!K47-SUM('Expenditures 15-22'!G47,'Expenditures 15-22'!I47)+'Expenditures 15-22'!D243</f>
        <v>97757</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418623</v>
      </c>
      <c r="F23" s="1823"/>
      <c r="G23" s="1825">
        <f>'Expenditures 15-22'!K53-SUM('Expenditures 15-22'!G53,'Expenditures 15-22'!I53)+'Expenditures 15-22'!D257+'Expenditures 15-22'!K330-SUM('Expenditures 15-22'!G330,'Expenditures 15-22'!I330)</f>
        <v>418623</v>
      </c>
      <c r="H23" s="988"/>
      <c r="I23" s="162"/>
    </row>
    <row r="24" spans="1:9" s="669" customFormat="1" ht="12" customHeight="1" x14ac:dyDescent="0.2">
      <c r="A24" s="995" t="s">
        <v>587</v>
      </c>
      <c r="B24" s="996"/>
      <c r="C24" s="994">
        <v>2400</v>
      </c>
      <c r="D24" s="1823"/>
      <c r="E24" s="1825">
        <f>'Expenditures 15-22'!K57-SUM('Expenditures 15-22'!G57,'Expenditures 15-22'!I57)+'Expenditures 15-22'!D261</f>
        <v>438147</v>
      </c>
      <c r="F24" s="1823"/>
      <c r="G24" s="1826">
        <f>'Expenditures 15-22'!K57-SUM('Expenditures 15-22'!G57,'Expenditures 15-22'!I57)+'Expenditures 15-22'!D261</f>
        <v>438147</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106167</v>
      </c>
      <c r="E27" s="1825">
        <f>E8</f>
        <v>0</v>
      </c>
      <c r="F27" s="1825">
        <f>'Expenditures 15-22'!K60-SUM('Expenditures 15-22'!G60,'Expenditures 15-22'!I60)+'Expenditures 15-22'!D264-E8</f>
        <v>106167</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592273</v>
      </c>
      <c r="F28" s="1827">
        <f>'Expenditures 15-22'!K61-SUM('Expenditures 15-22'!G61,'Expenditures 15-22'!I61)+'Expenditures 15-22'!K124-SUM('Expenditures 15-22'!G124,'Expenditures 15-22'!I124)+'Expenditures 15-22'!D266-E9</f>
        <v>592273</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284991</v>
      </c>
      <c r="F29" s="1823"/>
      <c r="G29" s="1826">
        <f>'Expenditures 15-22'!K62-SUM('Expenditures 15-22'!G62,'Expenditures 15-22'!I62)+'Expenditures 15-22'!K125-SUM('Expenditures 15-22'!G125,'Expenditures 15-22'!I125)+'Expenditures 15-22'!K182-SUM('Expenditures 15-22'!G182,'Expenditures 15-22'!I182)+'Expenditures 15-22'!D267</f>
        <v>284991</v>
      </c>
      <c r="H29" s="986"/>
    </row>
    <row r="30" spans="1:9" ht="12" customHeight="1" x14ac:dyDescent="0.2">
      <c r="A30" s="995" t="s">
        <v>102</v>
      </c>
      <c r="B30" s="998"/>
      <c r="C30" s="994">
        <v>2560</v>
      </c>
      <c r="D30" s="1823"/>
      <c r="E30" s="1825">
        <f>'Expenditures 15-22'!K63-SUM('Expenditures 15-22'!G63,'Expenditures 15-22'!I63)+'Expenditures 15-22'!D268-E10</f>
        <v>279713</v>
      </c>
      <c r="F30" s="1823"/>
      <c r="G30" s="1825">
        <f>'Expenditures 15-22'!K63-SUM('Expenditures 15-22'!G63,'Expenditures 15-22'!I63)+'Expenditures 15-22'!D268-E10</f>
        <v>279713</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25283</v>
      </c>
      <c r="F39" s="1823"/>
      <c r="G39" s="1825">
        <f>'Expenditures 15-22'!K75-SUM('Expenditures 15-22'!G75,'Expenditures 15-22'!I75)+'Expenditures 15-22'!K130-SUM('Expenditures 15-22'!G130,'Expenditures 15-22'!I130)+'Expenditures 15-22'!K185-SUM('Expenditures 15-22'!G185,'Expenditures 15-22'!I185)+'Expenditures 15-22'!D280</f>
        <v>25283</v>
      </c>
    </row>
    <row r="40" spans="1:7" ht="12" customHeight="1" x14ac:dyDescent="0.2">
      <c r="A40" s="991" t="s">
        <v>1930</v>
      </c>
      <c r="B40" s="992"/>
      <c r="C40" s="994"/>
      <c r="D40" s="1823"/>
      <c r="E40" s="1827">
        <f>-'Contracts Paid in CY 29'!G45</f>
        <v>-253694.65000000002</v>
      </c>
      <c r="F40" s="1823"/>
      <c r="G40" s="1827">
        <f>-'Contracts Paid in CY 29'!G45</f>
        <v>-253694.65000000002</v>
      </c>
    </row>
    <row r="41" spans="1:7" ht="12" customHeight="1" x14ac:dyDescent="0.2">
      <c r="A41" s="999" t="s">
        <v>158</v>
      </c>
      <c r="B41" s="1000"/>
      <c r="C41" s="1001"/>
      <c r="D41" s="1827">
        <f>SUM(D19:D39)</f>
        <v>106167</v>
      </c>
      <c r="E41" s="1827">
        <f>SUM(E19:E40)</f>
        <v>5635292.3499999996</v>
      </c>
      <c r="F41" s="1827">
        <f>SUM(F19:F39)</f>
        <v>698440</v>
      </c>
      <c r="G41" s="1827">
        <f>SUM(G19:G40)</f>
        <v>5043019.3499999996</v>
      </c>
    </row>
    <row r="42" spans="1:7" x14ac:dyDescent="0.2">
      <c r="A42" s="988"/>
      <c r="B42" s="162"/>
      <c r="C42" s="1002"/>
      <c r="D42" s="2303" t="s">
        <v>543</v>
      </c>
      <c r="E42" s="2304"/>
      <c r="F42" s="1003" t="s">
        <v>544</v>
      </c>
      <c r="G42" s="1004"/>
    </row>
    <row r="43" spans="1:7" ht="12" customHeight="1" x14ac:dyDescent="0.2">
      <c r="A43" s="988"/>
      <c r="B43" s="162"/>
      <c r="C43" s="1002"/>
      <c r="D43" s="1828" t="s">
        <v>493</v>
      </c>
      <c r="E43" s="1829">
        <f>D41</f>
        <v>106167</v>
      </c>
      <c r="F43" s="1828" t="s">
        <v>495</v>
      </c>
      <c r="G43" s="1829">
        <f>F41</f>
        <v>698440</v>
      </c>
    </row>
    <row r="44" spans="1:7" ht="12" customHeight="1" x14ac:dyDescent="0.2">
      <c r="A44" s="988"/>
      <c r="B44" s="162"/>
      <c r="C44" s="1002"/>
      <c r="D44" s="1828" t="s">
        <v>494</v>
      </c>
      <c r="E44" s="1829">
        <f>E41</f>
        <v>5635292.3499999996</v>
      </c>
      <c r="F44" s="1828" t="s">
        <v>494</v>
      </c>
      <c r="G44" s="1829">
        <f>G41</f>
        <v>5043019.3499999996</v>
      </c>
    </row>
    <row r="45" spans="1:7" ht="12" customHeight="1" x14ac:dyDescent="0.2">
      <c r="A45" s="988"/>
      <c r="B45" s="162"/>
      <c r="C45" s="162"/>
      <c r="D45" s="1830" t="s">
        <v>1063</v>
      </c>
      <c r="E45" s="1831">
        <f>(E43/E44)</f>
        <v>1.8839661441877101E-2</v>
      </c>
      <c r="F45" s="1830" t="s">
        <v>1063</v>
      </c>
      <c r="G45" s="1831">
        <f>(G43/G44)</f>
        <v>0.13849639502176411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34" header="0.17" footer="0.19"/>
  <pageSetup scale="80" firstPageNumber="30" orientation="landscape" useFirstPageNumber="1" r:id="rId1"/>
  <headerFooter alignWithMargins="0">
    <oddHeader>&amp;C&amp;"Arial,Bold" Fairfield Public School District 112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2" t="s">
        <v>1446</v>
      </c>
      <c r="B1" s="2322"/>
      <c r="C1" s="2322"/>
      <c r="D1" s="2322"/>
      <c r="E1" s="2322"/>
      <c r="F1" s="2322"/>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3" t="s">
        <v>1627</v>
      </c>
      <c r="B5" s="2324"/>
      <c r="C5" s="2325"/>
      <c r="D5" s="2325"/>
      <c r="E5" s="2325"/>
      <c r="F5" s="2325"/>
    </row>
    <row r="6" spans="1:10" ht="12" customHeight="1" x14ac:dyDescent="0.25">
      <c r="A6" s="1872"/>
      <c r="B6" s="1873"/>
      <c r="C6" s="2326" t="str">
        <f>COVER!A17</f>
        <v>Fairfield PSD 112</v>
      </c>
      <c r="D6" s="2326"/>
      <c r="E6" s="2326"/>
      <c r="F6" s="1874"/>
    </row>
    <row r="7" spans="1:10" ht="11.25" customHeight="1" thickBot="1" x14ac:dyDescent="0.3">
      <c r="A7" s="1872"/>
      <c r="B7" s="1873"/>
      <c r="C7" s="2327" t="str">
        <f>COVER!A13</f>
        <v>20-096-1120-04</v>
      </c>
      <c r="D7" s="2327"/>
      <c r="E7" s="2327"/>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t="s">
        <v>2077</v>
      </c>
      <c r="D13" s="1887" t="s">
        <v>2077</v>
      </c>
      <c r="E13" s="1890" t="s">
        <v>2077</v>
      </c>
      <c r="F13" s="1889" t="s">
        <v>2097</v>
      </c>
      <c r="H13" s="1900">
        <f t="shared" si="0"/>
        <v>5</v>
      </c>
      <c r="I13" s="1900">
        <f t="shared" si="1"/>
        <v>5</v>
      </c>
      <c r="J13" s="1900">
        <f t="shared" si="2"/>
        <v>5</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c r="D26" s="1887"/>
      <c r="E26" s="1890"/>
      <c r="F26" s="1889"/>
      <c r="H26" s="1900">
        <f t="shared" si="0"/>
        <v>0</v>
      </c>
      <c r="I26" s="1900">
        <f t="shared" si="1"/>
        <v>0</v>
      </c>
      <c r="J26" s="1900">
        <f t="shared" si="2"/>
        <v>0</v>
      </c>
    </row>
    <row r="27" spans="1:12" ht="18.75" x14ac:dyDescent="0.2">
      <c r="A27" s="1885" t="s">
        <v>1616</v>
      </c>
      <c r="B27" s="1886"/>
      <c r="C27" s="1887" t="s">
        <v>2077</v>
      </c>
      <c r="D27" s="1887" t="s">
        <v>2077</v>
      </c>
      <c r="E27" s="1890" t="s">
        <v>2077</v>
      </c>
      <c r="F27" s="1889" t="s">
        <v>2098</v>
      </c>
      <c r="H27" s="1900">
        <f t="shared" si="0"/>
        <v>5</v>
      </c>
      <c r="I27" s="1900">
        <f t="shared" si="1"/>
        <v>5</v>
      </c>
      <c r="J27" s="1900">
        <f t="shared" si="2"/>
        <v>5</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10</v>
      </c>
      <c r="I34" s="1900">
        <f>SUM(I11:I32)</f>
        <v>10</v>
      </c>
      <c r="J34" s="1900">
        <f>SUM(J11:J32)</f>
        <v>10</v>
      </c>
      <c r="K34" s="1900">
        <f>SUM(H34:J34)</f>
        <v>30</v>
      </c>
    </row>
    <row r="35" spans="1:11" ht="12" customHeight="1" x14ac:dyDescent="0.2">
      <c r="A35" s="1893" t="s">
        <v>1459</v>
      </c>
      <c r="B35" s="1894"/>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5"/>
      <c r="B39" s="1895"/>
      <c r="C39" s="1895"/>
      <c r="D39" s="1895"/>
      <c r="E39" s="1895"/>
      <c r="F39" s="1895"/>
    </row>
    <row r="40" spans="1:11" s="1892" customFormat="1" ht="12" customHeight="1" x14ac:dyDescent="0.25">
      <c r="A40" s="1896" t="s">
        <v>1458</v>
      </c>
      <c r="B40" s="1897"/>
      <c r="C40" s="2317"/>
      <c r="D40" s="2317"/>
      <c r="E40" s="2317"/>
      <c r="F40" s="2318"/>
      <c r="H40" s="1901"/>
      <c r="I40" s="1901"/>
      <c r="J40" s="1901"/>
      <c r="K40" s="1901"/>
    </row>
    <row r="41" spans="1:11" s="1892" customFormat="1" ht="12" customHeight="1" x14ac:dyDescent="0.25">
      <c r="A41" s="2319"/>
      <c r="B41" s="2320"/>
      <c r="C41" s="2320"/>
      <c r="D41" s="2320"/>
      <c r="E41" s="2320"/>
      <c r="F41" s="2321"/>
      <c r="H41" s="1901"/>
      <c r="I41" s="1901"/>
      <c r="J41" s="1901"/>
      <c r="K41" s="1901"/>
    </row>
    <row r="42" spans="1:11" s="1892" customFormat="1" ht="12" customHeight="1" x14ac:dyDescent="0.25">
      <c r="A42" s="2319"/>
      <c r="B42" s="2320"/>
      <c r="C42" s="2320"/>
      <c r="D42" s="2320"/>
      <c r="E42" s="2320"/>
      <c r="F42" s="2321"/>
      <c r="H42" s="1901"/>
      <c r="I42" s="1901"/>
      <c r="J42" s="1901"/>
      <c r="K42" s="1901"/>
    </row>
    <row r="43" spans="1:11" s="1892" customFormat="1" ht="15" x14ac:dyDescent="0.25">
      <c r="A43" s="2308"/>
      <c r="B43" s="2309"/>
      <c r="C43" s="2309"/>
      <c r="D43" s="2309"/>
      <c r="E43" s="2309"/>
      <c r="F43" s="2310"/>
      <c r="H43" s="1901"/>
      <c r="I43" s="1901"/>
      <c r="J43" s="1901"/>
      <c r="K43" s="1901"/>
    </row>
    <row r="44" spans="1:11" s="1892" customFormat="1" ht="12" hidden="1" customHeight="1" x14ac:dyDescent="0.25">
      <c r="A44" s="2308"/>
      <c r="B44" s="2309"/>
      <c r="C44" s="2309"/>
      <c r="D44" s="2309"/>
      <c r="E44" s="2309"/>
      <c r="F44" s="2310"/>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74" right="0.47" top="0.75" bottom="0.53" header="0.17" footer="0.31"/>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K25" sqref="K2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35" t="str">
        <f>COVER!A17</f>
        <v>Fairfield PSD 112</v>
      </c>
      <c r="J6" s="2336"/>
      <c r="Q6" s="1685"/>
    </row>
    <row r="7" spans="1:17" x14ac:dyDescent="0.2">
      <c r="A7" s="2337" t="s">
        <v>924</v>
      </c>
      <c r="B7" s="2338"/>
      <c r="C7" s="2338"/>
      <c r="D7" s="2338"/>
      <c r="E7" s="2339"/>
      <c r="F7" s="1018"/>
      <c r="G7" s="1010"/>
      <c r="H7" s="1017" t="s">
        <v>390</v>
      </c>
      <c r="I7" s="2340" t="str">
        <f>COVER!A13</f>
        <v>20-096-1120-04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135083</v>
      </c>
      <c r="F12" s="1040"/>
      <c r="G12" s="1832">
        <f t="shared" ref="G12:G18" si="0">SUM(E12:F12)</f>
        <v>135083</v>
      </c>
      <c r="H12" s="1041">
        <v>108034</v>
      </c>
      <c r="I12" s="1040"/>
      <c r="J12" s="1832">
        <f t="shared" ref="J12:J18" si="1">SUM(H12:I12)</f>
        <v>108034</v>
      </c>
    </row>
    <row r="13" spans="1:17" ht="15" customHeight="1" x14ac:dyDescent="0.2">
      <c r="A13" s="1036">
        <v>2</v>
      </c>
      <c r="B13" s="1037" t="s">
        <v>44</v>
      </c>
      <c r="C13" s="1038"/>
      <c r="D13" s="1039">
        <v>2330</v>
      </c>
      <c r="E13" s="1832">
        <f>'Expenditures 15-22'!K51</f>
        <v>0</v>
      </c>
      <c r="F13" s="1040"/>
      <c r="G13" s="1832">
        <f t="shared" si="0"/>
        <v>0</v>
      </c>
      <c r="H13" s="1041" t="s">
        <v>2121</v>
      </c>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4" t="s">
        <v>7</v>
      </c>
      <c r="C18" s="2345"/>
      <c r="D18" s="2346"/>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135083</v>
      </c>
      <c r="F19" s="1834">
        <f t="shared" si="2"/>
        <v>0</v>
      </c>
      <c r="G19" s="1834">
        <f t="shared" si="2"/>
        <v>135083</v>
      </c>
      <c r="H19" s="1834">
        <f t="shared" si="2"/>
        <v>108034</v>
      </c>
      <c r="I19" s="1834">
        <f t="shared" si="2"/>
        <v>0</v>
      </c>
      <c r="J19" s="1834">
        <f t="shared" si="2"/>
        <v>108034</v>
      </c>
    </row>
    <row r="20" spans="1:10" ht="13.5" thickTop="1" x14ac:dyDescent="0.2">
      <c r="A20" s="1036">
        <v>9</v>
      </c>
      <c r="B20" s="2347" t="s">
        <v>1703</v>
      </c>
      <c r="C20" s="2347"/>
      <c r="D20" s="2348"/>
      <c r="E20" s="1047"/>
      <c r="F20" s="1047"/>
      <c r="G20" s="1047"/>
      <c r="H20" s="1047"/>
      <c r="I20" s="1047"/>
      <c r="J20" s="1835">
        <f>IF(AND(G19&gt;0,J19&gt;0),(((J19-G19)/G19)),"Enter Budget Data")</f>
        <v>-0.20023985253510804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28000000000000003" footer="0.25"/>
  <pageSetup scale="85" firstPageNumber="31" orientation="landscape" useFirstPageNumber="1" r:id="rId1"/>
  <headerFooter alignWithMargins="0">
    <oddHeader xml:space="preserve">&amp;C Fairfield Public School
 District 112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0" sqref="B20"/>
    </sheetView>
  </sheetViews>
  <sheetFormatPr defaultRowHeight="12.75" x14ac:dyDescent="0.2"/>
  <cols>
    <col min="1" max="1" width="3" style="329" customWidth="1"/>
    <col min="2" max="2" width="112.710937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2115</v>
      </c>
    </row>
    <row r="6" spans="1:2" x14ac:dyDescent="0.2">
      <c r="A6" s="1069">
        <v>2</v>
      </c>
      <c r="B6" s="329" t="s">
        <v>2116</v>
      </c>
    </row>
    <row r="7" spans="1:2" x14ac:dyDescent="0.2">
      <c r="A7" s="1069">
        <v>3</v>
      </c>
      <c r="B7" s="329" t="s">
        <v>2117</v>
      </c>
    </row>
    <row r="8" spans="1:2" x14ac:dyDescent="0.2">
      <c r="A8" s="1069">
        <v>4</v>
      </c>
      <c r="B8" s="329" t="s">
        <v>2118</v>
      </c>
    </row>
    <row r="9" spans="1:2" x14ac:dyDescent="0.2">
      <c r="A9" s="1070">
        <v>5</v>
      </c>
      <c r="B9" s="329" t="s">
        <v>2119</v>
      </c>
    </row>
    <row r="10" spans="1:2" x14ac:dyDescent="0.2">
      <c r="A10" s="1070">
        <v>6</v>
      </c>
      <c r="B10" s="329" t="s">
        <v>2120</v>
      </c>
    </row>
    <row r="11" spans="1:2" x14ac:dyDescent="0.2">
      <c r="A11" s="1070">
        <v>7</v>
      </c>
      <c r="B11" s="329" t="s">
        <v>2154</v>
      </c>
    </row>
    <row r="12" spans="1:2" x14ac:dyDescent="0.2">
      <c r="A12" s="1070">
        <v>8</v>
      </c>
      <c r="B12" s="329" t="s">
        <v>2125</v>
      </c>
    </row>
    <row r="13" spans="1:2" x14ac:dyDescent="0.2">
      <c r="A13" s="1070">
        <v>9</v>
      </c>
      <c r="B13" s="329" t="s">
        <v>2126</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3" type="noConversion"/>
  <pageMargins left="0.71" right="0.2" top="1.17" bottom="0.82" header="0.61" footer="0.52"/>
  <pageSetup scale="75" firstPageNumber="32" orientation="portrait" useFirstPageNumber="1" r:id="rId1"/>
  <headerFooter alignWithMargins="0">
    <oddHeader xml:space="preserve">&amp;C Fairfield Public School District 112 </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34&amp;C Fairfield Public School
 District 112&amp;R&amp;8Page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11" sqref="D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8913" r:id="rId4">
          <objectPr defaultSize="0" r:id="rId5">
            <anchor moveWithCells="1">
              <from>
                <xdr:col>1</xdr:col>
                <xdr:colOff>0</xdr:colOff>
                <xdr:row>2</xdr:row>
                <xdr:rowOff>0</xdr:rowOff>
              </from>
              <to>
                <xdr:col>1</xdr:col>
                <xdr:colOff>809625</xdr:colOff>
                <xdr:row>5</xdr:row>
                <xdr:rowOff>28575</xdr:rowOff>
              </to>
            </anchor>
          </objectPr>
        </oleObject>
      </mc:Choice>
      <mc:Fallback>
        <oleObject progId="Packager Shell Object" dvAspect="DVASPECT_ICON" shapeId="38913" r:id="rId4"/>
      </mc:Fallback>
    </mc:AlternateContent>
    <mc:AlternateContent xmlns:mc="http://schemas.openxmlformats.org/markup-compatibility/2006">
      <mc:Choice Requires="x14">
        <oleObject progId="Packager Shell Object" dvAspect="DVASPECT_ICON" shapeId="38914" r:id="rId6">
          <objectPr defaultSize="0" r:id="rId7">
            <anchor moveWithCells="1">
              <from>
                <xdr:col>3</xdr:col>
                <xdr:colOff>0</xdr:colOff>
                <xdr:row>2</xdr:row>
                <xdr:rowOff>0</xdr:rowOff>
              </from>
              <to>
                <xdr:col>4</xdr:col>
                <xdr:colOff>276225</xdr:colOff>
                <xdr:row>5</xdr:row>
                <xdr:rowOff>28575</xdr:rowOff>
              </to>
            </anchor>
          </objectPr>
        </oleObject>
      </mc:Choice>
      <mc:Fallback>
        <oleObject progId="Packager Shell Object" dvAspect="DVASPECT_ICON" shapeId="38914" r:id="rId6"/>
      </mc:Fallback>
    </mc:AlternateContent>
    <mc:AlternateContent xmlns:mc="http://schemas.openxmlformats.org/markup-compatibility/2006">
      <mc:Choice Requires="x14">
        <oleObject progId="Packager Shell Object" dvAspect="DVASPECT_ICON" shapeId="38915" r:id="rId8">
          <objectPr defaultSize="0" r:id="rId9">
            <anchor moveWithCells="1">
              <from>
                <xdr:col>5</xdr:col>
                <xdr:colOff>0</xdr:colOff>
                <xdr:row>2</xdr:row>
                <xdr:rowOff>0</xdr:rowOff>
              </from>
              <to>
                <xdr:col>6</xdr:col>
                <xdr:colOff>247650</xdr:colOff>
                <xdr:row>5</xdr:row>
                <xdr:rowOff>28575</xdr:rowOff>
              </to>
            </anchor>
          </objectPr>
        </oleObject>
      </mc:Choice>
      <mc:Fallback>
        <oleObject progId="Packager Shell Object" dvAspect="DVASPECT_ICON" shapeId="3891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5214981</v>
      </c>
      <c r="C8" s="1836">
        <f>'Acct Summary 7-8'!D8</f>
        <v>263110</v>
      </c>
      <c r="D8" s="1836">
        <f>'Acct Summary 7-8'!F8</f>
        <v>222353</v>
      </c>
      <c r="E8" s="1836">
        <f>'Acct Summary 7-8'!I8</f>
        <v>29901</v>
      </c>
      <c r="F8" s="1836">
        <f>SUM(B8:E8)</f>
        <v>5730345</v>
      </c>
    </row>
    <row r="9" spans="1:8" s="1080" customFormat="1" ht="14.25" customHeight="1" thickBot="1" x14ac:dyDescent="0.25">
      <c r="A9" s="1079" t="s">
        <v>1436</v>
      </c>
      <c r="B9" s="1837">
        <f>'Acct Summary 7-8'!C17</f>
        <v>5203744</v>
      </c>
      <c r="C9" s="1837">
        <f>'Acct Summary 7-8'!D17</f>
        <v>246769</v>
      </c>
      <c r="D9" s="1837">
        <f>'Acct Summary 7-8'!F17</f>
        <v>275408</v>
      </c>
      <c r="E9" s="1836"/>
      <c r="F9" s="1836">
        <f>SUM(B9:E9)</f>
        <v>5725921</v>
      </c>
    </row>
    <row r="10" spans="1:8" s="1080" customFormat="1" ht="14.25" thickTop="1" thickBot="1" x14ac:dyDescent="0.25">
      <c r="A10" s="1081" t="s">
        <v>1437</v>
      </c>
      <c r="B10" s="1838">
        <f>(B8-B9)</f>
        <v>11237</v>
      </c>
      <c r="C10" s="1838">
        <f>(C8-C9)</f>
        <v>16341</v>
      </c>
      <c r="D10" s="1838">
        <f>(D8-D9)</f>
        <v>-53055</v>
      </c>
      <c r="E10" s="1837">
        <f>(E8-E9)</f>
        <v>29901</v>
      </c>
      <c r="F10" s="1839">
        <f>SUM(F8-F9)</f>
        <v>4424</v>
      </c>
    </row>
    <row r="11" spans="1:8" s="1080" customFormat="1" ht="14.25" thickTop="1" thickBot="1" x14ac:dyDescent="0.25">
      <c r="A11" s="1082" t="s">
        <v>1785</v>
      </c>
      <c r="B11" s="1840">
        <f>'Acct Summary 7-8'!C81</f>
        <v>3683109</v>
      </c>
      <c r="C11" s="1840">
        <f>'Acct Summary 7-8'!D81</f>
        <v>608015</v>
      </c>
      <c r="D11" s="1840">
        <f>'Acct Summary 7-8'!F81</f>
        <v>157755</v>
      </c>
      <c r="E11" s="1840">
        <f>'Acct Summary 7-8'!I81</f>
        <v>238537</v>
      </c>
      <c r="F11" s="1841">
        <f>SUM(B11:E11)</f>
        <v>4687416</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5" footer="0.5"/>
  <pageSetup scale="91" firstPageNumber="19" fitToHeight="0" orientation="landscape" useFirstPageNumber="1" r:id="rId1"/>
  <headerFooter alignWithMargins="0">
    <oddHeader>&amp;C Fairfield Public School
 District 112</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68" sqref="D6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29'!D45&gt;0,"OK","PLEASE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Header>&amp;C Fairfield Public School
 District 112</oddHeader>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20-096-1120-04</v>
      </c>
    </row>
    <row r="3" spans="1:2" x14ac:dyDescent="0.2">
      <c r="A3" t="s">
        <v>1013</v>
      </c>
      <c r="B3" s="138" t="str">
        <f>COVER!A15</f>
        <v>Wayne</v>
      </c>
    </row>
    <row r="4" spans="1:2" x14ac:dyDescent="0.2">
      <c r="A4" t="s">
        <v>1064</v>
      </c>
      <c r="B4" s="138" t="str">
        <f>COVER!A17</f>
        <v>Fairfield PSD 112</v>
      </c>
    </row>
    <row r="5" spans="1:2" x14ac:dyDescent="0.2">
      <c r="A5" t="s">
        <v>728</v>
      </c>
      <c r="B5" s="138" t="str">
        <f>COVER!A38</f>
        <v>Dr. Scott England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f>IF(COVER!J31="x","Yes",IF(COVER!L31="x","No",0))</f>
        <v>0</v>
      </c>
    </row>
    <row r="15" spans="1:2" x14ac:dyDescent="0.2">
      <c r="A15" t="s">
        <v>598</v>
      </c>
      <c r="B15" s="138" t="str">
        <f>COVER!T23</f>
        <v>060-001832</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f>COVER!T25</f>
        <v>0</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134500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3683109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3648701</v>
      </c>
      <c r="D92" s="2" t="str">
        <f t="shared" si="0"/>
        <v>Error?</v>
      </c>
    </row>
    <row r="93" spans="1:4" x14ac:dyDescent="0.2">
      <c r="A93" s="5">
        <v>32</v>
      </c>
      <c r="B93" s="138">
        <f>'Assets-Liab 5-6'!C41</f>
        <v>3683109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608015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595030</v>
      </c>
      <c r="D123" s="2" t="str">
        <f t="shared" si="0"/>
        <v>Error?</v>
      </c>
    </row>
    <row r="124" spans="1:4" x14ac:dyDescent="0.2">
      <c r="A124" s="5">
        <v>63</v>
      </c>
      <c r="B124" s="138">
        <f>'Assets-Liab 5-6'!D41</f>
        <v>608015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39998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39998</v>
      </c>
      <c r="D140" s="2" t="str">
        <f t="shared" si="1"/>
        <v>Error?</v>
      </c>
    </row>
    <row r="141" spans="1:4" x14ac:dyDescent="0.2">
      <c r="A141" s="5">
        <v>80</v>
      </c>
      <c r="B141" s="138">
        <f>'Assets-Liab 5-6'!E41</f>
        <v>39998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157755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157755</v>
      </c>
      <c r="D170" s="2" t="str">
        <f t="shared" si="1"/>
        <v>Error?</v>
      </c>
    </row>
    <row r="171" spans="1:4" x14ac:dyDescent="0.2">
      <c r="A171" s="5">
        <v>110</v>
      </c>
      <c r="B171" s="138">
        <f>'Assets-Liab 5-6'!F41</f>
        <v>157755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48863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4306</v>
      </c>
      <c r="D189" s="2" t="str">
        <f t="shared" si="1"/>
        <v>Error?</v>
      </c>
    </row>
    <row r="190" spans="1:4" x14ac:dyDescent="0.2">
      <c r="A190" s="5">
        <v>129</v>
      </c>
      <c r="B190" s="138">
        <f>'Assets-Liab 5-6'!G41</f>
        <v>48863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157600</v>
      </c>
      <c r="D273" s="2" t="str">
        <f t="shared" si="3"/>
        <v>Error?</v>
      </c>
    </row>
    <row r="274" spans="1:4" x14ac:dyDescent="0.2">
      <c r="A274" s="5">
        <v>213</v>
      </c>
      <c r="B274" s="138">
        <f>'Assets-Liab 5-6'!M17</f>
        <v>11871844</v>
      </c>
      <c r="D274" s="2" t="str">
        <f t="shared" si="3"/>
        <v>Error?</v>
      </c>
    </row>
    <row r="275" spans="1:4" x14ac:dyDescent="0.2">
      <c r="A275" s="5">
        <v>214</v>
      </c>
      <c r="B275" s="138">
        <f>'Assets-Liab 5-6'!M18</f>
        <v>105345</v>
      </c>
      <c r="D275" s="2" t="str">
        <f t="shared" si="3"/>
        <v>Error?</v>
      </c>
    </row>
    <row r="276" spans="1:4" x14ac:dyDescent="0.2">
      <c r="A276" s="5">
        <v>215</v>
      </c>
      <c r="B276" s="138">
        <f>'Assets-Liab 5-6'!M19</f>
        <v>1694156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13828945</v>
      </c>
      <c r="C279" s="2" t="s">
        <v>594</v>
      </c>
      <c r="D279" s="2" t="str">
        <f t="shared" si="3"/>
        <v>Error?</v>
      </c>
    </row>
    <row r="280" spans="1:4" x14ac:dyDescent="0.2">
      <c r="A280" s="5">
        <v>219</v>
      </c>
      <c r="B280" s="138">
        <f>'Assets-Liab 5-6'!M40</f>
        <v>13828945</v>
      </c>
      <c r="D280" s="2" t="str">
        <f t="shared" si="3"/>
        <v>Error?</v>
      </c>
    </row>
    <row r="281" spans="1:4" x14ac:dyDescent="0.2">
      <c r="A281" s="5">
        <v>220</v>
      </c>
      <c r="B281" s="138">
        <f>'Assets-Liab 5-6'!M41</f>
        <v>13828945</v>
      </c>
      <c r="C281" s="2" t="s">
        <v>594</v>
      </c>
      <c r="D281" s="2" t="str">
        <f t="shared" si="3"/>
        <v>Error?</v>
      </c>
    </row>
    <row r="282" spans="1:4" x14ac:dyDescent="0.2">
      <c r="A282" s="5">
        <v>221</v>
      </c>
      <c r="B282" s="138">
        <f>'Assets-Liab 5-6'!N21</f>
        <v>39998</v>
      </c>
      <c r="D282" s="2" t="str">
        <f t="shared" si="3"/>
        <v>Error?</v>
      </c>
    </row>
    <row r="283" spans="1:4" x14ac:dyDescent="0.2">
      <c r="A283" s="5">
        <v>222</v>
      </c>
      <c r="B283" s="138">
        <f>'Assets-Liab 5-6'!N22</f>
        <v>2714608</v>
      </c>
      <c r="D283" s="2" t="str">
        <f t="shared" si="3"/>
        <v>Error?</v>
      </c>
    </row>
    <row r="284" spans="1:4" x14ac:dyDescent="0.2">
      <c r="A284" s="5">
        <v>223</v>
      </c>
      <c r="B284" s="138">
        <f>'Assets-Liab 5-6'!N23</f>
        <v>2754606</v>
      </c>
      <c r="C284" s="2" t="s">
        <v>594</v>
      </c>
      <c r="D284" s="2" t="str">
        <f t="shared" si="3"/>
        <v>Error?</v>
      </c>
    </row>
    <row r="285" spans="1:4" x14ac:dyDescent="0.2">
      <c r="A285" s="5">
        <v>224</v>
      </c>
      <c r="B285" s="138">
        <f>'Assets-Liab 5-6'!N36</f>
        <v>2754606</v>
      </c>
      <c r="D285" s="2" t="str">
        <f t="shared" si="3"/>
        <v>Error?</v>
      </c>
    </row>
    <row r="286" spans="1:4" x14ac:dyDescent="0.2">
      <c r="A286" s="10">
        <v>225</v>
      </c>
      <c r="D286" s="2" t="str">
        <f t="shared" si="3"/>
        <v>OK</v>
      </c>
    </row>
    <row r="287" spans="1:4" x14ac:dyDescent="0.2">
      <c r="A287" s="5">
        <v>226</v>
      </c>
      <c r="B287" s="138">
        <f>'Assets-Liab 5-6'!N37</f>
        <v>2754606</v>
      </c>
      <c r="C287" s="2" t="s">
        <v>594</v>
      </c>
      <c r="D287" s="2" t="str">
        <f t="shared" si="3"/>
        <v>Error?</v>
      </c>
    </row>
    <row r="288" spans="1:4" x14ac:dyDescent="0.2">
      <c r="A288" s="5">
        <v>227</v>
      </c>
      <c r="B288" s="138">
        <f>'Assets-Liab 5-6'!N41</f>
        <v>2754606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1986242</v>
      </c>
      <c r="D705" s="2" t="str">
        <f t="shared" si="10"/>
        <v>Error?</v>
      </c>
    </row>
    <row r="706" spans="1:4" x14ac:dyDescent="0.2">
      <c r="A706" s="5">
        <v>645</v>
      </c>
      <c r="B706" s="138">
        <f>'Expenditures 15-22'!C16</f>
        <v>4500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35147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2644701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23086</v>
      </c>
      <c r="D722" s="2" t="str">
        <f t="shared" si="10"/>
        <v>Error?</v>
      </c>
    </row>
    <row r="723" spans="1:4" x14ac:dyDescent="0.2">
      <c r="A723" s="5">
        <v>662</v>
      </c>
      <c r="B723" s="138">
        <f>'Expenditures 15-22'!C38</f>
        <v>45978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102409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171473</v>
      </c>
      <c r="C727" s="2" t="s">
        <v>594</v>
      </c>
      <c r="D727" s="2" t="str">
        <f t="shared" si="10"/>
        <v>Error?</v>
      </c>
    </row>
    <row r="728" spans="1:4" x14ac:dyDescent="0.2">
      <c r="A728" s="5">
        <v>667</v>
      </c>
      <c r="B728" s="138">
        <f>'Expenditures 15-22'!C44</f>
        <v>23200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23200</v>
      </c>
      <c r="C731" s="2" t="s">
        <v>594</v>
      </c>
      <c r="D731" s="2" t="str">
        <f t="shared" si="10"/>
        <v>Error?</v>
      </c>
    </row>
    <row r="732" spans="1:4" x14ac:dyDescent="0.2">
      <c r="A732" s="5">
        <v>671</v>
      </c>
      <c r="B732" s="138">
        <f>'Expenditures 15-22'!C49</f>
        <v>13412</v>
      </c>
      <c r="D732" s="2" t="str">
        <f t="shared" si="10"/>
        <v>Error?</v>
      </c>
    </row>
    <row r="733" spans="1:4" x14ac:dyDescent="0.2">
      <c r="A733" s="5">
        <v>672</v>
      </c>
      <c r="B733" s="138">
        <f>'Expenditures 15-22'!C50</f>
        <v>102736</v>
      </c>
      <c r="D733" s="2" t="str">
        <f t="shared" si="10"/>
        <v>Error?</v>
      </c>
    </row>
    <row r="734" spans="1:4" x14ac:dyDescent="0.2">
      <c r="A734" s="5">
        <v>673</v>
      </c>
      <c r="B734" s="138">
        <f>'Expenditures 15-22'!C53</f>
        <v>116148</v>
      </c>
      <c r="C734" s="2" t="s">
        <v>594</v>
      </c>
      <c r="D734" s="2" t="str">
        <f t="shared" si="10"/>
        <v>Error?</v>
      </c>
    </row>
    <row r="735" spans="1:4" x14ac:dyDescent="0.2">
      <c r="A735" s="5">
        <v>674</v>
      </c>
      <c r="B735" s="138">
        <f>'Expenditures 15-22'!C55</f>
        <v>295745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295745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62518</v>
      </c>
      <c r="D739" s="2" t="str">
        <f t="shared" si="10"/>
        <v>Error?</v>
      </c>
    </row>
    <row r="740" spans="1:4" x14ac:dyDescent="0.2">
      <c r="A740" s="5">
        <v>679</v>
      </c>
      <c r="B740" s="138">
        <f>'Expenditures 15-22'!C61</f>
        <v>243583</v>
      </c>
      <c r="D740" s="2" t="str">
        <f t="shared" si="10"/>
        <v>Error?</v>
      </c>
    </row>
    <row r="741" spans="1:4" x14ac:dyDescent="0.2">
      <c r="A741" s="5">
        <v>680</v>
      </c>
      <c r="B741" s="138">
        <f>'Expenditures 15-22'!C62</f>
        <v>16934</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323035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929601</v>
      </c>
      <c r="C755" s="2" t="s">
        <v>594</v>
      </c>
      <c r="D755" s="2" t="str">
        <f t="shared" si="10"/>
        <v>Error?</v>
      </c>
    </row>
    <row r="756" spans="1:4" x14ac:dyDescent="0.2">
      <c r="A756" s="5">
        <v>695</v>
      </c>
      <c r="B756" s="138">
        <f>'Expenditures 15-22'!C75</f>
        <v>19621</v>
      </c>
      <c r="D756" s="2" t="str">
        <f t="shared" si="10"/>
        <v>Error?</v>
      </c>
    </row>
    <row r="757" spans="1:4" x14ac:dyDescent="0.2">
      <c r="A757" s="5">
        <v>696</v>
      </c>
      <c r="B757" s="138">
        <f>'Expenditures 15-22'!C114</f>
        <v>3593923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395283</v>
      </c>
      <c r="D763" s="2" t="str">
        <f t="shared" si="10"/>
        <v>Error?</v>
      </c>
    </row>
    <row r="764" spans="1:4" x14ac:dyDescent="0.2">
      <c r="A764" s="5">
        <v>703</v>
      </c>
      <c r="B764" s="138">
        <f>'Expenditures 15-22'!D16</f>
        <v>595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518512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6488</v>
      </c>
      <c r="D780" s="2" t="str">
        <f t="shared" si="11"/>
        <v>Error?</v>
      </c>
    </row>
    <row r="781" spans="1:4" x14ac:dyDescent="0.2">
      <c r="A781" s="5">
        <v>720</v>
      </c>
      <c r="B781" s="138">
        <f>'Expenditures 15-22'!D38</f>
        <v>13226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19872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39586</v>
      </c>
      <c r="C785" s="2" t="s">
        <v>594</v>
      </c>
      <c r="D785" s="2" t="str">
        <f t="shared" si="11"/>
        <v>Error?</v>
      </c>
    </row>
    <row r="786" spans="1:4" x14ac:dyDescent="0.2">
      <c r="A786" s="5">
        <v>725</v>
      </c>
      <c r="B786" s="138">
        <f>'Expenditures 15-22'!D44</f>
        <v>4088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4088</v>
      </c>
      <c r="C789" s="2" t="s">
        <v>594</v>
      </c>
      <c r="D789" s="2" t="str">
        <f t="shared" si="11"/>
        <v>Error?</v>
      </c>
    </row>
    <row r="790" spans="1:4" x14ac:dyDescent="0.2">
      <c r="A790" s="5">
        <v>729</v>
      </c>
      <c r="B790" s="138">
        <f>'Expenditures 15-22'!D49</f>
        <v>1563</v>
      </c>
      <c r="D790" s="2" t="str">
        <f t="shared" si="11"/>
        <v>Error?</v>
      </c>
    </row>
    <row r="791" spans="1:4" x14ac:dyDescent="0.2">
      <c r="A791" s="5">
        <v>730</v>
      </c>
      <c r="B791" s="138">
        <f>'Expenditures 15-22'!D50</f>
        <v>26249</v>
      </c>
      <c r="D791" s="2" t="str">
        <f t="shared" si="11"/>
        <v>Error?</v>
      </c>
    </row>
    <row r="792" spans="1:4" x14ac:dyDescent="0.2">
      <c r="A792" s="5">
        <v>731</v>
      </c>
      <c r="B792" s="138">
        <f>'Expenditures 15-22'!D53</f>
        <v>27812</v>
      </c>
      <c r="C792" s="2" t="s">
        <v>594</v>
      </c>
      <c r="D792" s="2" t="str">
        <f t="shared" si="11"/>
        <v>Error?</v>
      </c>
    </row>
    <row r="793" spans="1:4" x14ac:dyDescent="0.2">
      <c r="A793" s="5">
        <v>732</v>
      </c>
      <c r="B793" s="138">
        <f>'Expenditures 15-22'!D55</f>
        <v>55743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55743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90</v>
      </c>
      <c r="D797" s="2" t="str">
        <f t="shared" si="11"/>
        <v>Error?</v>
      </c>
    </row>
    <row r="798" spans="1:4" x14ac:dyDescent="0.2">
      <c r="A798" s="5">
        <v>737</v>
      </c>
      <c r="B798" s="138">
        <f>'Expenditures 15-22'!D61</f>
        <v>38604</v>
      </c>
      <c r="D798" s="2" t="str">
        <f t="shared" si="11"/>
        <v>Error?</v>
      </c>
    </row>
    <row r="799" spans="1:4" x14ac:dyDescent="0.2">
      <c r="A799" s="5">
        <v>738</v>
      </c>
      <c r="B799" s="138">
        <f>'Expenditures 15-22'!D62</f>
        <v>9643</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48337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175566</v>
      </c>
      <c r="C813" s="2" t="s">
        <v>594</v>
      </c>
      <c r="D813" s="2" t="str">
        <f t="shared" si="11"/>
        <v>Error?</v>
      </c>
    </row>
    <row r="814" spans="1:4" x14ac:dyDescent="0.2">
      <c r="A814" s="5">
        <v>753</v>
      </c>
      <c r="B814" s="138">
        <f>'Expenditures 15-22'!D75</f>
        <v>5444</v>
      </c>
      <c r="D814" s="2" t="str">
        <f t="shared" si="11"/>
        <v>Error?</v>
      </c>
    </row>
    <row r="815" spans="1:4" x14ac:dyDescent="0.2">
      <c r="A815" s="5">
        <v>754</v>
      </c>
      <c r="B815" s="138">
        <f>'Expenditures 15-22'!D114</f>
        <v>699522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13145</v>
      </c>
      <c r="D821" s="2" t="str">
        <f t="shared" si="11"/>
        <v>Error?</v>
      </c>
    </row>
    <row r="822" spans="1:4" x14ac:dyDescent="0.2">
      <c r="A822" s="5">
        <v>761</v>
      </c>
      <c r="B822" s="138">
        <f>'Expenditures 15-22'!E16</f>
        <v>1570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14276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65010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v>
      </c>
      <c r="D839" s="2" t="str">
        <f t="shared" si="12"/>
        <v>Error?</v>
      </c>
    </row>
    <row r="840" spans="1:4" x14ac:dyDescent="0.2">
      <c r="A840" s="5">
        <v>779</v>
      </c>
      <c r="B840" s="138">
        <f>'Expenditures 15-22'!E39</f>
        <v>9943</v>
      </c>
      <c r="D840" s="2" t="str">
        <f t="shared" si="12"/>
        <v>Error?</v>
      </c>
    </row>
    <row r="841" spans="1:4" x14ac:dyDescent="0.2">
      <c r="A841" s="5">
        <v>780</v>
      </c>
      <c r="B841" s="138">
        <f>'Expenditures 15-22'!E40</f>
        <v>1658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11651</v>
      </c>
      <c r="C843" s="2" t="s">
        <v>594</v>
      </c>
      <c r="D843" s="2" t="str">
        <f t="shared" si="12"/>
        <v>Error?</v>
      </c>
    </row>
    <row r="844" spans="1:4" x14ac:dyDescent="0.2">
      <c r="A844" s="5">
        <v>783</v>
      </c>
      <c r="B844" s="138">
        <f>'Expenditures 15-22'!E44</f>
        <v>45884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10431</v>
      </c>
      <c r="D846" s="2" t="str">
        <f t="shared" si="12"/>
        <v>Error?</v>
      </c>
    </row>
    <row r="847" spans="1:4" x14ac:dyDescent="0.2">
      <c r="A847" s="5">
        <v>786</v>
      </c>
      <c r="B847" s="138">
        <f>'Expenditures 15-22'!E47</f>
        <v>56315</v>
      </c>
      <c r="C847" s="2" t="s">
        <v>594</v>
      </c>
      <c r="D847" s="2" t="str">
        <f t="shared" si="12"/>
        <v>Error?</v>
      </c>
    </row>
    <row r="848" spans="1:4" x14ac:dyDescent="0.2">
      <c r="A848" s="5">
        <v>787</v>
      </c>
      <c r="B848" s="138">
        <f>'Expenditures 15-22'!E49</f>
        <v>22225</v>
      </c>
      <c r="D848" s="2" t="str">
        <f t="shared" si="12"/>
        <v>Error?</v>
      </c>
    </row>
    <row r="849" spans="1:4" x14ac:dyDescent="0.2">
      <c r="A849" s="5">
        <v>788</v>
      </c>
      <c r="B849" s="138">
        <f>'Expenditures 15-22'!E50</f>
        <v>6098</v>
      </c>
      <c r="D849" s="2" t="str">
        <f t="shared" si="12"/>
        <v>Error?</v>
      </c>
    </row>
    <row r="850" spans="1:4" x14ac:dyDescent="0.2">
      <c r="A850" s="5">
        <v>789</v>
      </c>
      <c r="B850" s="138">
        <f>'Expenditures 15-22'!E53</f>
        <v>28323</v>
      </c>
      <c r="C850" s="2" t="s">
        <v>594</v>
      </c>
      <c r="D850" s="2" t="str">
        <f t="shared" si="12"/>
        <v>Error?</v>
      </c>
    </row>
    <row r="851" spans="1:4" x14ac:dyDescent="0.2">
      <c r="A851" s="5">
        <v>790</v>
      </c>
      <c r="B851" s="138">
        <f>'Expenditures 15-22'!E55</f>
        <v>62190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62190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29278</v>
      </c>
      <c r="D855" s="2" t="str">
        <f t="shared" si="12"/>
        <v>Error?</v>
      </c>
    </row>
    <row r="856" spans="1:4" x14ac:dyDescent="0.2">
      <c r="A856" s="5">
        <v>795</v>
      </c>
      <c r="B856" s="138">
        <f>'Expenditures 15-22'!E61</f>
        <v>23375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279713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332366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490845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555855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52238</v>
      </c>
      <c r="D879" s="2" t="str">
        <f t="shared" si="12"/>
        <v>Error?</v>
      </c>
    </row>
    <row r="880" spans="1:4" x14ac:dyDescent="0.2">
      <c r="A880" s="5">
        <v>819</v>
      </c>
      <c r="B880" s="138">
        <f>'Expenditures 15-22'!F16</f>
        <v>1909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6803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126978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2493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718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3211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13826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13826</v>
      </c>
      <c r="C905" s="2" t="s">
        <v>594</v>
      </c>
      <c r="D905" s="2" t="str">
        <f t="shared" si="13"/>
        <v>Error?</v>
      </c>
    </row>
    <row r="906" spans="1:4" x14ac:dyDescent="0.2">
      <c r="A906" s="5">
        <v>845</v>
      </c>
      <c r="B906" s="138">
        <f>'Expenditures 15-22'!F49</f>
        <v>3183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3183</v>
      </c>
      <c r="C908" s="2" t="s">
        <v>594</v>
      </c>
      <c r="D908" s="2" t="str">
        <f t="shared" si="13"/>
        <v>Error?</v>
      </c>
    </row>
    <row r="909" spans="1:4" x14ac:dyDescent="0.2">
      <c r="A909" s="5">
        <v>848</v>
      </c>
      <c r="B909" s="138">
        <f>'Expenditures 15-22'!F55</f>
        <v>4395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4395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1936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3828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5764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30379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157357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16466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23900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10757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10757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14491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14491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25248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49148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885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49868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65152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147939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2464259</v>
      </c>
      <c r="C1093" s="2" t="s">
        <v>594</v>
      </c>
      <c r="D1093" s="2" t="str">
        <f t="shared" si="16"/>
        <v>Error?</v>
      </c>
    </row>
    <row r="1094" spans="1:4" x14ac:dyDescent="0.2">
      <c r="A1094" s="5">
        <v>1033</v>
      </c>
      <c r="B1094" s="138">
        <f>'Expenditures 15-22'!K16</f>
        <v>8574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59403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3428969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29574</v>
      </c>
      <c r="C1110" s="2" t="s">
        <v>594</v>
      </c>
      <c r="D1110" s="2" t="str">
        <f t="shared" si="16"/>
        <v>Error?</v>
      </c>
    </row>
    <row r="1111" spans="1:4" x14ac:dyDescent="0.2">
      <c r="A1111" s="5">
        <v>1050</v>
      </c>
      <c r="B1111" s="138">
        <f>'Expenditures 15-22'!K38</f>
        <v>61747</v>
      </c>
      <c r="C1111" s="2" t="s">
        <v>594</v>
      </c>
      <c r="D1111" s="2" t="str">
        <f t="shared" si="16"/>
        <v>Error?</v>
      </c>
    </row>
    <row r="1112" spans="1:4" x14ac:dyDescent="0.2">
      <c r="A1112" s="5">
        <v>1051</v>
      </c>
      <c r="B1112" s="138">
        <f>'Expenditures 15-22'!K39</f>
        <v>9943</v>
      </c>
      <c r="C1112" s="2" t="s">
        <v>594</v>
      </c>
      <c r="D1112" s="2" t="str">
        <f t="shared" si="16"/>
        <v>Error?</v>
      </c>
    </row>
    <row r="1113" spans="1:4" x14ac:dyDescent="0.2">
      <c r="A1113" s="5">
        <v>1052</v>
      </c>
      <c r="B1113" s="138">
        <f>'Expenditures 15-22'!K40</f>
        <v>124657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225921</v>
      </c>
      <c r="C1115" s="2" t="s">
        <v>594</v>
      </c>
      <c r="D1115" s="2" t="str">
        <f t="shared" si="16"/>
        <v>Error?</v>
      </c>
    </row>
    <row r="1116" spans="1:4" x14ac:dyDescent="0.2">
      <c r="A1116" s="5">
        <v>1055</v>
      </c>
      <c r="B1116" s="138">
        <f>'Expenditures 15-22'!K44</f>
        <v>73172</v>
      </c>
      <c r="C1116" s="2" t="s">
        <v>594</v>
      </c>
      <c r="D1116" s="2" t="str">
        <f t="shared" si="16"/>
        <v>Error?</v>
      </c>
    </row>
    <row r="1117" spans="1:4" x14ac:dyDescent="0.2">
      <c r="A1117" s="5">
        <v>1056</v>
      </c>
      <c r="B1117" s="138">
        <f>'Expenditures 15-22'!K45</f>
        <v>24583</v>
      </c>
      <c r="C1117" s="2" t="s">
        <v>594</v>
      </c>
      <c r="D1117" s="2" t="str">
        <f t="shared" si="16"/>
        <v>Error?</v>
      </c>
    </row>
    <row r="1118" spans="1:4" x14ac:dyDescent="0.2">
      <c r="A1118" s="5">
        <v>1057</v>
      </c>
      <c r="B1118" s="138">
        <f>'Expenditures 15-22'!K46</f>
        <v>10431</v>
      </c>
      <c r="C1118" s="2" t="s">
        <v>594</v>
      </c>
      <c r="D1118" s="2" t="str">
        <f t="shared" si="16"/>
        <v>Error?</v>
      </c>
    </row>
    <row r="1119" spans="1:4" x14ac:dyDescent="0.2">
      <c r="A1119" s="5">
        <v>1058</v>
      </c>
      <c r="B1119" s="138">
        <f>'Expenditures 15-22'!K47</f>
        <v>108186</v>
      </c>
      <c r="C1119" s="2" t="s">
        <v>594</v>
      </c>
      <c r="D1119" s="2" t="str">
        <f t="shared" si="16"/>
        <v>Error?</v>
      </c>
    </row>
    <row r="1120" spans="1:4" x14ac:dyDescent="0.2">
      <c r="A1120" s="5">
        <v>1059</v>
      </c>
      <c r="B1120" s="138">
        <f>'Expenditures 15-22'!K49</f>
        <v>40383</v>
      </c>
      <c r="C1120" s="2" t="s">
        <v>594</v>
      </c>
      <c r="D1120" s="2" t="str">
        <f t="shared" si="16"/>
        <v>Error?</v>
      </c>
    </row>
    <row r="1121" spans="1:4" x14ac:dyDescent="0.2">
      <c r="A1121" s="5">
        <v>1060</v>
      </c>
      <c r="B1121" s="138">
        <f>'Expenditures 15-22'!K50</f>
        <v>135083</v>
      </c>
      <c r="C1121" s="2" t="s">
        <v>594</v>
      </c>
      <c r="D1121" s="2" t="str">
        <f t="shared" si="16"/>
        <v>Error?</v>
      </c>
    </row>
    <row r="1122" spans="1:4" x14ac:dyDescent="0.2">
      <c r="A1122" s="5">
        <v>1061</v>
      </c>
      <c r="B1122" s="138">
        <f>'Expenditures 15-22'!K53</f>
        <v>175466</v>
      </c>
      <c r="C1122" s="2" t="s">
        <v>594</v>
      </c>
      <c r="D1122" s="2" t="str">
        <f t="shared" si="16"/>
        <v>Error?</v>
      </c>
    </row>
    <row r="1123" spans="1:4" x14ac:dyDescent="0.2">
      <c r="A1123" s="5">
        <v>1062</v>
      </c>
      <c r="B1123" s="138">
        <f>'Expenditures 15-22'!K55</f>
        <v>418073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418073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93822</v>
      </c>
      <c r="C1127" s="2" t="s">
        <v>594</v>
      </c>
      <c r="D1127" s="2" t="str">
        <f t="shared" si="16"/>
        <v>Error?</v>
      </c>
    </row>
    <row r="1128" spans="1:4" x14ac:dyDescent="0.2">
      <c r="A1128" s="5">
        <v>1067</v>
      </c>
      <c r="B1128" s="138">
        <f>'Expenditures 15-22'!K61</f>
        <v>305562</v>
      </c>
      <c r="C1128" s="2" t="s">
        <v>594</v>
      </c>
      <c r="D1128" s="2" t="str">
        <f t="shared" si="16"/>
        <v>Error?</v>
      </c>
    </row>
    <row r="1129" spans="1:4" x14ac:dyDescent="0.2">
      <c r="A1129" s="5">
        <v>1068</v>
      </c>
      <c r="B1129" s="138">
        <f>'Expenditures 15-22'!K62</f>
        <v>26577</v>
      </c>
      <c r="C1129" s="2" t="s">
        <v>594</v>
      </c>
      <c r="D1129" s="2" t="str">
        <f t="shared" si="16"/>
        <v>Error?</v>
      </c>
    </row>
    <row r="1130" spans="1:4" x14ac:dyDescent="0.2">
      <c r="A1130" s="5">
        <v>1069</v>
      </c>
      <c r="B1130" s="138">
        <f>'Expenditures 15-22'!K63</f>
        <v>298032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723993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1651639</v>
      </c>
      <c r="C1143" s="2" t="s">
        <v>594</v>
      </c>
      <c r="D1143" s="2" t="str">
        <f t="shared" si="16"/>
        <v>Error?</v>
      </c>
    </row>
    <row r="1144" spans="1:4" x14ac:dyDescent="0.2">
      <c r="A1144" s="5">
        <v>1083</v>
      </c>
      <c r="B1144" s="138">
        <f>'Expenditures 15-22'!K75</f>
        <v>25065</v>
      </c>
      <c r="C1144" s="2" t="s">
        <v>594</v>
      </c>
      <c r="D1144" s="2" t="str">
        <f t="shared" si="16"/>
        <v>Error?</v>
      </c>
    </row>
    <row r="1145" spans="1:4" x14ac:dyDescent="0.2">
      <c r="A1145" s="5">
        <v>1084</v>
      </c>
      <c r="B1145" s="138">
        <f>'Expenditures 15-22'!K102</f>
        <v>65152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5203744</v>
      </c>
      <c r="C1152" s="2" t="s">
        <v>594</v>
      </c>
      <c r="D1152" s="2" t="str">
        <f t="shared" si="17"/>
        <v>Error?</v>
      </c>
    </row>
    <row r="1153" spans="1:4" x14ac:dyDescent="0.2">
      <c r="A1153" s="5">
        <v>1092</v>
      </c>
      <c r="B1153" s="138">
        <f>'Expenditures 15-22'!K115</f>
        <v>11237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202437</v>
      </c>
      <c r="D1237" s="2" t="str">
        <f t="shared" si="18"/>
        <v>Error?</v>
      </c>
    </row>
    <row r="1238" spans="1:4" x14ac:dyDescent="0.2">
      <c r="A1238" s="10">
        <v>1177</v>
      </c>
      <c r="D1238" s="2" t="str">
        <f t="shared" si="18"/>
        <v>OK</v>
      </c>
    </row>
    <row r="1239" spans="1:4" x14ac:dyDescent="0.2">
      <c r="A1239" s="5">
        <v>1178</v>
      </c>
      <c r="B1239" s="138">
        <f>'Expenditures 15-22'!E127</f>
        <v>202437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202437</v>
      </c>
      <c r="C1241" s="2" t="s">
        <v>594</v>
      </c>
      <c r="D1241" s="2" t="str">
        <f t="shared" si="18"/>
        <v>Error?</v>
      </c>
    </row>
    <row r="1242" spans="1:4" x14ac:dyDescent="0.2">
      <c r="A1242" s="5">
        <v>1181</v>
      </c>
      <c r="B1242" s="138">
        <f>'Expenditures 15-22'!E151</f>
        <v>202437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38228</v>
      </c>
      <c r="D1245" s="2" t="str">
        <f t="shared" si="18"/>
        <v>Error?</v>
      </c>
    </row>
    <row r="1246" spans="1:4" x14ac:dyDescent="0.2">
      <c r="A1246" s="10">
        <v>1185</v>
      </c>
      <c r="D1246" s="2" t="str">
        <f t="shared" si="18"/>
        <v>OK</v>
      </c>
    </row>
    <row r="1247" spans="1:4" x14ac:dyDescent="0.2">
      <c r="A1247" s="5">
        <v>1186</v>
      </c>
      <c r="B1247" s="138">
        <f>'Expenditures 15-22'!F127</f>
        <v>38228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38228</v>
      </c>
      <c r="C1249" s="2" t="s">
        <v>594</v>
      </c>
      <c r="D1249" s="2" t="str">
        <f t="shared" si="18"/>
        <v>Error?</v>
      </c>
    </row>
    <row r="1250" spans="1:4" x14ac:dyDescent="0.2">
      <c r="A1250" s="5">
        <v>1189</v>
      </c>
      <c r="B1250" s="138">
        <f>'Expenditures 15-22'!F151</f>
        <v>38228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6104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6104</v>
      </c>
      <c r="C1258" s="2" t="s">
        <v>594</v>
      </c>
      <c r="D1258" s="2" t="str">
        <f t="shared" si="18"/>
        <v>Error?</v>
      </c>
    </row>
    <row r="1259" spans="1:4" x14ac:dyDescent="0.2">
      <c r="A1259" s="5">
        <v>1198</v>
      </c>
      <c r="B1259" s="138">
        <f>'Expenditures 15-22'!G151</f>
        <v>6104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246769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246769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246769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246769</v>
      </c>
      <c r="C1288" s="2" t="s">
        <v>594</v>
      </c>
      <c r="D1288" s="2" t="str">
        <f t="shared" si="19"/>
        <v>Error?</v>
      </c>
    </row>
    <row r="1289" spans="1:4" x14ac:dyDescent="0.2">
      <c r="A1289" s="5">
        <v>1228</v>
      </c>
      <c r="B1289" s="138">
        <f>'Expenditures 15-22'!K152</f>
        <v>16341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127513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211500</v>
      </c>
      <c r="D1315" s="2" t="str">
        <f t="shared" si="19"/>
        <v>Error?</v>
      </c>
    </row>
    <row r="1316" spans="1:4" x14ac:dyDescent="0.2">
      <c r="A1316" s="5">
        <v>1255</v>
      </c>
      <c r="B1316" s="138">
        <f>'Expenditures 15-22'!H171</f>
        <v>1300</v>
      </c>
      <c r="D1316" s="2" t="str">
        <f t="shared" si="19"/>
        <v>Error?</v>
      </c>
    </row>
    <row r="1317" spans="1:4" x14ac:dyDescent="0.2">
      <c r="A1317" s="5">
        <v>1256</v>
      </c>
      <c r="B1317" s="138">
        <f>'Expenditures 15-22'!H172</f>
        <v>340313</v>
      </c>
      <c r="C1317" s="2" t="s">
        <v>594</v>
      </c>
      <c r="D1317" s="2" t="str">
        <f t="shared" si="19"/>
        <v>Error?</v>
      </c>
    </row>
    <row r="1318" spans="1:4" x14ac:dyDescent="0.2">
      <c r="A1318" s="5">
        <v>1257</v>
      </c>
      <c r="B1318" s="138">
        <f>'Expenditures 15-22'!H174</f>
        <v>340313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127513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211500</v>
      </c>
      <c r="C1329" s="2" t="s">
        <v>594</v>
      </c>
      <c r="D1329" s="2" t="str">
        <f t="shared" si="19"/>
        <v>Error?</v>
      </c>
    </row>
    <row r="1330" spans="1:4" x14ac:dyDescent="0.2">
      <c r="A1330" s="5">
        <v>1269</v>
      </c>
      <c r="B1330" s="138">
        <f>'Expenditures 15-22'!K171</f>
        <v>1300</v>
      </c>
      <c r="C1330" s="2" t="s">
        <v>594</v>
      </c>
      <c r="D1330" s="2" t="str">
        <f t="shared" si="19"/>
        <v>Error?</v>
      </c>
    </row>
    <row r="1331" spans="1:4" x14ac:dyDescent="0.2">
      <c r="A1331" s="5">
        <v>1270</v>
      </c>
      <c r="B1331" s="138">
        <f>'Expenditures 15-22'!K172</f>
        <v>340313</v>
      </c>
      <c r="C1331" s="2" t="s">
        <v>594</v>
      </c>
      <c r="D1331" s="2" t="str">
        <f t="shared" si="19"/>
        <v>Error?</v>
      </c>
    </row>
    <row r="1332" spans="1:4" x14ac:dyDescent="0.2">
      <c r="A1332" s="5">
        <v>1271</v>
      </c>
      <c r="B1332" s="138">
        <f>'Expenditures 15-22'!K174</f>
        <v>340313</v>
      </c>
      <c r="C1332" s="2" t="s">
        <v>594</v>
      </c>
      <c r="D1332" s="2" t="str">
        <f t="shared" si="19"/>
        <v>Error?</v>
      </c>
    </row>
    <row r="1333" spans="1:4" x14ac:dyDescent="0.2">
      <c r="A1333" s="5">
        <v>1272</v>
      </c>
      <c r="B1333" s="138">
        <f>'Expenditures 15-22'!K175</f>
        <v>1979</v>
      </c>
      <c r="C1333" s="2" t="s">
        <v>594</v>
      </c>
      <c r="D1333" s="2" t="str">
        <f t="shared" si="19"/>
        <v>Error?</v>
      </c>
    </row>
    <row r="1334" spans="1:4" x14ac:dyDescent="0.2">
      <c r="A1334" s="10">
        <v>1273</v>
      </c>
      <c r="D1334" s="2" t="str">
        <f t="shared" si="19"/>
        <v>OK</v>
      </c>
    </row>
    <row r="1335" spans="1:4" x14ac:dyDescent="0.2">
      <c r="A1335" s="5">
        <v>1274</v>
      </c>
      <c r="B1335" s="138">
        <f>'Expenditures 15-22'!C182</f>
        <v>122132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122132</v>
      </c>
      <c r="C1339" s="2" t="s">
        <v>594</v>
      </c>
      <c r="D1339" s="2" t="str">
        <f t="shared" si="19"/>
        <v>Error?</v>
      </c>
    </row>
    <row r="1340" spans="1:4" x14ac:dyDescent="0.2">
      <c r="A1340" s="5">
        <v>1279</v>
      </c>
      <c r="B1340" s="138">
        <f>'Expenditures 15-22'!C210</f>
        <v>122132</v>
      </c>
      <c r="C1340" s="2" t="s">
        <v>594</v>
      </c>
      <c r="D1340" s="2" t="str">
        <f t="shared" si="19"/>
        <v>Error?</v>
      </c>
    </row>
    <row r="1341" spans="1:4" x14ac:dyDescent="0.2">
      <c r="A1341" s="5">
        <v>1280</v>
      </c>
      <c r="B1341" s="138">
        <f>'Expenditures 15-22'!D182</f>
        <v>31659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31659</v>
      </c>
      <c r="C1345" s="2" t="s">
        <v>594</v>
      </c>
      <c r="D1345" s="2" t="str">
        <f t="shared" si="20"/>
        <v>Error?</v>
      </c>
    </row>
    <row r="1346" spans="1:4" x14ac:dyDescent="0.2">
      <c r="A1346" s="5">
        <v>1285</v>
      </c>
      <c r="B1346" s="138">
        <f>'Expenditures 15-22'!D210</f>
        <v>31659</v>
      </c>
      <c r="C1346" s="2" t="s">
        <v>594</v>
      </c>
      <c r="D1346" s="2" t="str">
        <f t="shared" si="20"/>
        <v>Error?</v>
      </c>
    </row>
    <row r="1347" spans="1:4" x14ac:dyDescent="0.2">
      <c r="A1347" s="5">
        <v>1286</v>
      </c>
      <c r="B1347" s="138">
        <f>'Expenditures 15-22'!E182</f>
        <v>32162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32162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32162</v>
      </c>
      <c r="C1353" s="2" t="s">
        <v>594</v>
      </c>
      <c r="D1353" s="2" t="str">
        <f t="shared" si="20"/>
        <v>Error?</v>
      </c>
    </row>
    <row r="1354" spans="1:4" x14ac:dyDescent="0.2">
      <c r="A1354" s="5">
        <v>1293</v>
      </c>
      <c r="B1354" s="138">
        <f>'Expenditures 15-22'!F182</f>
        <v>46254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46254</v>
      </c>
      <c r="C1358" s="2" t="s">
        <v>594</v>
      </c>
      <c r="D1358" s="2" t="str">
        <f t="shared" si="20"/>
        <v>Error?</v>
      </c>
    </row>
    <row r="1359" spans="1:4" x14ac:dyDescent="0.2">
      <c r="A1359" s="5">
        <v>1298</v>
      </c>
      <c r="B1359" s="138">
        <f>'Expenditures 15-22'!F210</f>
        <v>46254</v>
      </c>
      <c r="C1359" s="2" t="s">
        <v>594</v>
      </c>
      <c r="D1359" s="2" t="str">
        <f t="shared" si="20"/>
        <v>Error?</v>
      </c>
    </row>
    <row r="1360" spans="1:4" x14ac:dyDescent="0.2">
      <c r="A1360" s="5">
        <v>1299</v>
      </c>
      <c r="B1360" s="138">
        <f>'Expenditures 15-22'!G182</f>
        <v>1444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1444</v>
      </c>
      <c r="C1364" s="2" t="s">
        <v>594</v>
      </c>
      <c r="D1364" s="2" t="str">
        <f t="shared" si="20"/>
        <v>Error?</v>
      </c>
    </row>
    <row r="1365" spans="1:4" x14ac:dyDescent="0.2">
      <c r="A1365" s="5">
        <v>1304</v>
      </c>
      <c r="B1365" s="138">
        <f>'Expenditures 15-22'!G210</f>
        <v>1444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41757</v>
      </c>
      <c r="C1375" s="2" t="s">
        <v>594</v>
      </c>
      <c r="D1375" s="2" t="str">
        <f t="shared" si="20"/>
        <v>Error?</v>
      </c>
    </row>
    <row r="1376" spans="1:4" x14ac:dyDescent="0.2">
      <c r="A1376" s="5">
        <v>1315</v>
      </c>
      <c r="B1376" s="138">
        <f>'Expenditures 15-22'!H210</f>
        <v>41757</v>
      </c>
      <c r="C1376" s="2" t="s">
        <v>594</v>
      </c>
      <c r="D1376" s="2" t="str">
        <f t="shared" si="20"/>
        <v>Error?</v>
      </c>
    </row>
    <row r="1377" spans="1:4" x14ac:dyDescent="0.2">
      <c r="A1377" s="5">
        <v>1316</v>
      </c>
      <c r="B1377" s="138">
        <f>'Expenditures 15-22'!K182</f>
        <v>233651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233651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41757</v>
      </c>
      <c r="C1387" s="2" t="s">
        <v>594</v>
      </c>
      <c r="D1387" s="2" t="str">
        <f t="shared" si="20"/>
        <v>Error?</v>
      </c>
    </row>
    <row r="1388" spans="1:4" x14ac:dyDescent="0.2">
      <c r="A1388" s="5">
        <v>1327</v>
      </c>
      <c r="B1388" s="138">
        <f>'Expenditures 15-22'!K210</f>
        <v>275408</v>
      </c>
      <c r="C1388" s="2" t="s">
        <v>594</v>
      </c>
      <c r="D1388" s="2" t="str">
        <f t="shared" si="20"/>
        <v>Error?</v>
      </c>
    </row>
    <row r="1389" spans="1:4" x14ac:dyDescent="0.2">
      <c r="A1389" s="5">
        <v>1328</v>
      </c>
      <c r="B1389" s="138">
        <f>'Expenditures 15-22'!K211</f>
        <v>-53055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1467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118764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256</v>
      </c>
      <c r="D1412" s="2" t="str">
        <f t="shared" si="21"/>
        <v>Error?</v>
      </c>
    </row>
    <row r="1413" spans="1:4" x14ac:dyDescent="0.2">
      <c r="A1413" s="5">
        <v>1352</v>
      </c>
      <c r="B1413" s="138">
        <f>'Expenditures 15-22'!D234</f>
        <v>725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1465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2446</v>
      </c>
      <c r="C1417" s="2" t="s">
        <v>594</v>
      </c>
      <c r="D1417" s="2" t="str">
        <f t="shared" si="21"/>
        <v>Error?</v>
      </c>
    </row>
    <row r="1418" spans="1:4" x14ac:dyDescent="0.2">
      <c r="A1418" s="5">
        <v>1357</v>
      </c>
      <c r="B1418" s="138">
        <f>'Expenditures 15-22'!D240</f>
        <v>328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328</v>
      </c>
      <c r="C1421" s="2" t="s">
        <v>594</v>
      </c>
      <c r="D1421" s="2" t="str">
        <f t="shared" si="21"/>
        <v>Error?</v>
      </c>
    </row>
    <row r="1422" spans="1:4" x14ac:dyDescent="0.2">
      <c r="A1422" s="5">
        <v>1361</v>
      </c>
      <c r="B1422" s="138">
        <f>'Expenditures 15-22'!D245</f>
        <v>4176</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4176</v>
      </c>
      <c r="C1424" s="2" t="s">
        <v>594</v>
      </c>
      <c r="D1424" s="2" t="str">
        <f t="shared" si="21"/>
        <v>Error?</v>
      </c>
    </row>
    <row r="1425" spans="1:4" x14ac:dyDescent="0.2">
      <c r="A1425" s="5">
        <v>1364</v>
      </c>
      <c r="B1425" s="138">
        <f>'Expenditures 15-22'!D259</f>
        <v>20074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20074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12345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46046</v>
      </c>
      <c r="D1431" s="2" t="str">
        <f t="shared" si="21"/>
        <v>Error?</v>
      </c>
    </row>
    <row r="1432" spans="1:4" x14ac:dyDescent="0.2">
      <c r="A1432" s="5">
        <v>1371</v>
      </c>
      <c r="B1432" s="138">
        <f>'Expenditures 15-22'!D267</f>
        <v>26207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84598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111622</v>
      </c>
      <c r="C1446" s="2" t="s">
        <v>594</v>
      </c>
      <c r="D1446" s="2" t="str">
        <f t="shared" si="21"/>
        <v>Error?</v>
      </c>
    </row>
    <row r="1447" spans="1:4" x14ac:dyDescent="0.2">
      <c r="A1447" s="5">
        <v>1386</v>
      </c>
      <c r="B1447" s="138">
        <f>'Expenditures 15-22'!D280</f>
        <v>218</v>
      </c>
      <c r="D1447" s="2" t="str">
        <f t="shared" si="21"/>
        <v>Error?</v>
      </c>
    </row>
    <row r="1448" spans="1:4" x14ac:dyDescent="0.2">
      <c r="A1448" s="5">
        <v>1387</v>
      </c>
      <c r="B1448" s="138">
        <f>'Expenditures 15-22'!D295</f>
        <v>230604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63</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1467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118764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256</v>
      </c>
      <c r="C1476" s="2" t="s">
        <v>594</v>
      </c>
      <c r="D1476" s="2" t="str">
        <f t="shared" si="22"/>
        <v>Error?</v>
      </c>
    </row>
    <row r="1477" spans="1:4" x14ac:dyDescent="0.2">
      <c r="A1477" s="5">
        <v>1416</v>
      </c>
      <c r="B1477" s="138">
        <f>'Expenditures 15-22'!K234</f>
        <v>725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1465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2446</v>
      </c>
      <c r="C1481" s="2" t="s">
        <v>594</v>
      </c>
      <c r="D1481" s="2" t="str">
        <f t="shared" si="22"/>
        <v>Error?</v>
      </c>
    </row>
    <row r="1482" spans="1:4" x14ac:dyDescent="0.2">
      <c r="A1482" s="5">
        <v>1421</v>
      </c>
      <c r="B1482" s="138">
        <f>'Expenditures 15-22'!K240</f>
        <v>328</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328</v>
      </c>
      <c r="C1485" s="2" t="s">
        <v>594</v>
      </c>
      <c r="D1485" s="2" t="str">
        <f t="shared" si="22"/>
        <v>Error?</v>
      </c>
    </row>
    <row r="1486" spans="1:4" x14ac:dyDescent="0.2">
      <c r="A1486" s="5">
        <v>1425</v>
      </c>
      <c r="B1486" s="138">
        <f>'Expenditures 15-22'!K245</f>
        <v>4176</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4176</v>
      </c>
      <c r="C1488" s="2" t="s">
        <v>594</v>
      </c>
      <c r="D1488" s="2" t="str">
        <f t="shared" si="22"/>
        <v>Error?</v>
      </c>
    </row>
    <row r="1489" spans="1:4" x14ac:dyDescent="0.2">
      <c r="A1489" s="5">
        <v>1428</v>
      </c>
      <c r="B1489" s="138">
        <f>'Expenditures 15-22'!K259</f>
        <v>20074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20074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12345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46046</v>
      </c>
      <c r="C1495" s="2" t="s">
        <v>594</v>
      </c>
      <c r="D1495" s="2" t="str">
        <f t="shared" si="22"/>
        <v>Error?</v>
      </c>
    </row>
    <row r="1496" spans="1:4" x14ac:dyDescent="0.2">
      <c r="A1496" s="5">
        <v>1435</v>
      </c>
      <c r="B1496" s="138">
        <f>'Expenditures 15-22'!K267</f>
        <v>26207</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84598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111622</v>
      </c>
      <c r="C1510" s="2" t="s">
        <v>594</v>
      </c>
      <c r="D1510" s="2" t="str">
        <f t="shared" si="22"/>
        <v>Error?</v>
      </c>
    </row>
    <row r="1511" spans="1:4" x14ac:dyDescent="0.2">
      <c r="A1511" s="5">
        <v>1450</v>
      </c>
      <c r="B1511" s="138">
        <f>'Expenditures 15-22'!K280</f>
        <v>218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230604</v>
      </c>
      <c r="C1517" s="2" t="s">
        <v>594</v>
      </c>
      <c r="D1517" s="2" t="str">
        <f t="shared" si="22"/>
        <v>Error?</v>
      </c>
    </row>
    <row r="1518" spans="1:4" x14ac:dyDescent="0.2">
      <c r="A1518" s="5">
        <v>1457</v>
      </c>
      <c r="B1518" s="138">
        <f>'Expenditures 15-22'!K296</f>
        <v>24706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3671525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3683109</v>
      </c>
      <c r="C1630" s="2" t="s">
        <v>594</v>
      </c>
      <c r="D1630" s="2" t="str">
        <f t="shared" si="24"/>
        <v>Error?</v>
      </c>
    </row>
    <row r="1631" spans="1:4" x14ac:dyDescent="0.2">
      <c r="A1631" s="5">
        <v>1570</v>
      </c>
      <c r="B1631" s="138">
        <f>'Acct Summary 7-8'!D79</f>
        <v>591674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608015</v>
      </c>
      <c r="C1644" s="2" t="s">
        <v>594</v>
      </c>
      <c r="D1644" s="2" t="str">
        <f t="shared" si="24"/>
        <v>Error?</v>
      </c>
    </row>
    <row r="1645" spans="1:4" x14ac:dyDescent="0.2">
      <c r="A1645" s="5">
        <v>1584</v>
      </c>
      <c r="B1645" s="138">
        <f>'Acct Summary 7-8'!E79</f>
        <v>38366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39998</v>
      </c>
      <c r="C1658" s="2" t="s">
        <v>594</v>
      </c>
      <c r="D1658" s="2" t="str">
        <f t="shared" si="24"/>
        <v>Error?</v>
      </c>
    </row>
    <row r="1659" spans="1:4" x14ac:dyDescent="0.2">
      <c r="A1659" s="5">
        <v>1598</v>
      </c>
      <c r="B1659" s="138">
        <f>'Acct Summary 7-8'!F79</f>
        <v>110810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157755</v>
      </c>
      <c r="C1672" s="2" t="s">
        <v>594</v>
      </c>
      <c r="D1672" s="2" t="str">
        <f t="shared" si="25"/>
        <v>Error?</v>
      </c>
    </row>
    <row r="1673" spans="1:4" x14ac:dyDescent="0.2">
      <c r="A1673" s="5">
        <v>1612</v>
      </c>
      <c r="B1673" s="138">
        <f>'Acct Summary 7-8'!G79</f>
        <v>24157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48863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534911</v>
      </c>
      <c r="C1744" s="2" t="s">
        <v>594</v>
      </c>
      <c r="D1744" s="2" t="str">
        <f t="shared" si="26"/>
        <v>Error?</v>
      </c>
    </row>
    <row r="1745" spans="1:5" x14ac:dyDescent="0.2">
      <c r="A1745" s="5">
        <v>1684</v>
      </c>
      <c r="B1745" s="138">
        <f>'Tax Sched 23'!B5</f>
        <v>145356</v>
      </c>
      <c r="C1745" s="2" t="s">
        <v>594</v>
      </c>
      <c r="D1745" s="2" t="str">
        <f t="shared" si="26"/>
        <v>Error?</v>
      </c>
    </row>
    <row r="1746" spans="1:5" x14ac:dyDescent="0.2">
      <c r="A1746" s="5">
        <v>1685</v>
      </c>
      <c r="B1746" s="138">
        <f>'Tax Sched 23'!B6</f>
        <v>294527</v>
      </c>
      <c r="C1746" s="2" t="s">
        <v>594</v>
      </c>
      <c r="D1746" s="2" t="str">
        <f t="shared" si="26"/>
        <v>Error?</v>
      </c>
    </row>
    <row r="1747" spans="1:5" x14ac:dyDescent="0.2">
      <c r="A1747" s="5">
        <v>1686</v>
      </c>
      <c r="B1747" s="138">
        <f>'Tax Sched 23'!B7</f>
        <v>69771</v>
      </c>
      <c r="C1747" s="2" t="s">
        <v>594</v>
      </c>
      <c r="D1747" s="2" t="str">
        <f t="shared" si="26"/>
        <v>Error?</v>
      </c>
    </row>
    <row r="1748" spans="1:5" x14ac:dyDescent="0.2">
      <c r="A1748" s="5">
        <v>1687</v>
      </c>
      <c r="B1748" s="138">
        <f>'Tax Sched 23'!B8</f>
        <v>120460</v>
      </c>
      <c r="C1748" s="2" t="s">
        <v>594</v>
      </c>
      <c r="D1748" s="2" t="str">
        <f t="shared" si="26"/>
        <v>Error?</v>
      </c>
    </row>
    <row r="1749" spans="1:5" x14ac:dyDescent="0.2">
      <c r="A1749" s="5">
        <v>1688</v>
      </c>
      <c r="B1749" s="138">
        <f>'Tax Sched 23'!B10</f>
        <v>29071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302907</v>
      </c>
      <c r="C1752" s="2" t="s">
        <v>594</v>
      </c>
      <c r="D1752" s="2" t="str">
        <f t="shared" si="26"/>
        <v>Error?</v>
      </c>
    </row>
    <row r="1753" spans="1:5" x14ac:dyDescent="0.2">
      <c r="A1753" s="5">
        <v>1692</v>
      </c>
      <c r="B1753" s="138">
        <f>'Tax Sched 23'!B12</f>
        <v>29071</v>
      </c>
      <c r="C1753" s="2" t="s">
        <v>594</v>
      </c>
      <c r="D1753" s="2" t="str">
        <f t="shared" si="26"/>
        <v>Error?</v>
      </c>
    </row>
    <row r="1754" spans="1:5" x14ac:dyDescent="0.2">
      <c r="A1754" s="5">
        <v>1693</v>
      </c>
      <c r="B1754" s="138">
        <f>'Tax Sched 23'!B14</f>
        <v>11629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1697275</v>
      </c>
      <c r="C1759" s="2" t="s">
        <v>594</v>
      </c>
      <c r="D1759" s="2" t="str">
        <f t="shared" si="26"/>
        <v>Error?</v>
      </c>
    </row>
    <row r="1760" spans="1:5" x14ac:dyDescent="0.2">
      <c r="A1760" s="5">
        <v>1699</v>
      </c>
      <c r="B1760" s="138">
        <f>'Tax Sched 23'!D4</f>
        <v>534911</v>
      </c>
      <c r="C1760" s="2" t="s">
        <v>594</v>
      </c>
      <c r="D1760" s="2" t="str">
        <f t="shared" si="26"/>
        <v>Error?</v>
      </c>
    </row>
    <row r="1761" spans="1:5" x14ac:dyDescent="0.2">
      <c r="A1761" s="5">
        <v>1700</v>
      </c>
      <c r="B1761" s="138">
        <f>'Tax Sched 23'!D5</f>
        <v>145356</v>
      </c>
      <c r="C1761" s="2" t="s">
        <v>594</v>
      </c>
      <c r="D1761" s="2" t="str">
        <f t="shared" si="26"/>
        <v>Error?</v>
      </c>
    </row>
    <row r="1762" spans="1:5" s="8" customFormat="1" x14ac:dyDescent="0.2">
      <c r="A1762" s="5">
        <v>1701</v>
      </c>
      <c r="B1762" s="138">
        <f>'Tax Sched 23'!D6</f>
        <v>294527</v>
      </c>
      <c r="C1762" s="2" t="s">
        <v>594</v>
      </c>
      <c r="D1762" s="2" t="str">
        <f t="shared" si="26"/>
        <v>Error?</v>
      </c>
      <c r="E1762" s="9"/>
    </row>
    <row r="1763" spans="1:5" x14ac:dyDescent="0.2">
      <c r="A1763" s="5">
        <v>1702</v>
      </c>
      <c r="B1763" s="138">
        <f>'Tax Sched 23'!D7</f>
        <v>69771</v>
      </c>
      <c r="C1763" s="2" t="s">
        <v>594</v>
      </c>
      <c r="D1763" s="2" t="str">
        <f t="shared" si="26"/>
        <v>Error?</v>
      </c>
    </row>
    <row r="1764" spans="1:5" x14ac:dyDescent="0.2">
      <c r="A1764" s="5">
        <v>1703</v>
      </c>
      <c r="B1764" s="138">
        <f>'Tax Sched 23'!D8</f>
        <v>120460</v>
      </c>
      <c r="C1764" s="2" t="s">
        <v>594</v>
      </c>
      <c r="D1764" s="2" t="str">
        <f t="shared" si="26"/>
        <v>Error?</v>
      </c>
    </row>
    <row r="1765" spans="1:5" x14ac:dyDescent="0.2">
      <c r="A1765" s="5">
        <v>1704</v>
      </c>
      <c r="B1765" s="138">
        <f>'Tax Sched 23'!D10</f>
        <v>29071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302907</v>
      </c>
      <c r="C1768" s="2" t="s">
        <v>594</v>
      </c>
      <c r="D1768" s="2" t="str">
        <f t="shared" si="26"/>
        <v>Error?</v>
      </c>
    </row>
    <row r="1769" spans="1:5" x14ac:dyDescent="0.2">
      <c r="A1769" s="5">
        <v>1708</v>
      </c>
      <c r="B1769" s="138">
        <f>'Tax Sched 23'!D12</f>
        <v>29071</v>
      </c>
      <c r="C1769" s="2" t="s">
        <v>594</v>
      </c>
      <c r="D1769" s="2" t="str">
        <f t="shared" si="26"/>
        <v>Error?</v>
      </c>
    </row>
    <row r="1770" spans="1:5" x14ac:dyDescent="0.2">
      <c r="A1770" s="5">
        <v>1709</v>
      </c>
      <c r="B1770" s="138">
        <f>'Tax Sched 23'!D14</f>
        <v>11629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1697275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534278</v>
      </c>
      <c r="C1792" s="2" t="s">
        <v>594</v>
      </c>
      <c r="D1792" s="2" t="str">
        <f t="shared" si="27"/>
        <v>Error?</v>
      </c>
    </row>
    <row r="1793" spans="1:4" x14ac:dyDescent="0.2">
      <c r="A1793" s="5">
        <v>1732</v>
      </c>
      <c r="B1793" s="138">
        <f>'Tax Sched 23'!F5</f>
        <v>145184</v>
      </c>
      <c r="C1793" s="2" t="s">
        <v>594</v>
      </c>
      <c r="D1793" s="2" t="str">
        <f t="shared" si="27"/>
        <v>Error?</v>
      </c>
    </row>
    <row r="1794" spans="1:4" x14ac:dyDescent="0.2">
      <c r="A1794" s="5">
        <v>1733</v>
      </c>
      <c r="B1794" s="138">
        <f>'Tax Sched 23'!F6</f>
        <v>293400</v>
      </c>
      <c r="C1794" s="2" t="s">
        <v>594</v>
      </c>
      <c r="D1794" s="2" t="str">
        <f t="shared" si="27"/>
        <v>Error?</v>
      </c>
    </row>
    <row r="1795" spans="1:4" x14ac:dyDescent="0.2">
      <c r="A1795" s="5">
        <v>1734</v>
      </c>
      <c r="B1795" s="138">
        <f>'Tax Sched 23'!F7</f>
        <v>69688</v>
      </c>
      <c r="C1795" s="2" t="s">
        <v>594</v>
      </c>
      <c r="D1795" s="2" t="str">
        <f t="shared" si="27"/>
        <v>Error?</v>
      </c>
    </row>
    <row r="1796" spans="1:4" x14ac:dyDescent="0.2">
      <c r="A1796" s="5">
        <v>1735</v>
      </c>
      <c r="B1796" s="138">
        <f>'Tax Sched 23'!F8</f>
        <v>134998</v>
      </c>
      <c r="C1796" s="2" t="s">
        <v>594</v>
      </c>
      <c r="D1796" s="2" t="str">
        <f t="shared" si="27"/>
        <v>Error?</v>
      </c>
    </row>
    <row r="1797" spans="1:4" x14ac:dyDescent="0.2">
      <c r="A1797" s="5">
        <v>1736</v>
      </c>
      <c r="B1797" s="138">
        <f>'Tax Sched 23'!F10</f>
        <v>29037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280002</v>
      </c>
      <c r="C1800" s="2" t="s">
        <v>594</v>
      </c>
      <c r="D1800" s="2" t="str">
        <f t="shared" si="27"/>
        <v>Error?</v>
      </c>
    </row>
    <row r="1801" spans="1:4" x14ac:dyDescent="0.2">
      <c r="A1801" s="5">
        <v>1740</v>
      </c>
      <c r="B1801" s="138">
        <f>'Tax Sched 23'!F12</f>
        <v>29037</v>
      </c>
      <c r="C1801" s="2" t="s">
        <v>594</v>
      </c>
      <c r="D1801" s="2" t="str">
        <f t="shared" si="27"/>
        <v>Error?</v>
      </c>
    </row>
    <row r="1802" spans="1:4" x14ac:dyDescent="0.2">
      <c r="A1802" s="5">
        <v>1741</v>
      </c>
      <c r="B1802" s="138">
        <f>'Tax Sched 23'!F14</f>
        <v>11615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1696274</v>
      </c>
      <c r="C1807" s="2" t="s">
        <v>594</v>
      </c>
      <c r="D1807" s="2" t="str">
        <f t="shared" si="27"/>
        <v>Error?</v>
      </c>
    </row>
    <row r="1808" spans="1:4" x14ac:dyDescent="0.2">
      <c r="A1808" s="5">
        <v>1747</v>
      </c>
      <c r="B1808" s="138">
        <f>'Tax Sched 23'!E4</f>
        <v>534278</v>
      </c>
      <c r="D1808" s="2" t="str">
        <f t="shared" si="27"/>
        <v>Error?</v>
      </c>
    </row>
    <row r="1809" spans="1:4" x14ac:dyDescent="0.2">
      <c r="A1809" s="5">
        <v>1748</v>
      </c>
      <c r="B1809" s="138">
        <f>'Tax Sched 23'!E5</f>
        <v>145184</v>
      </c>
      <c r="D1809" s="2" t="str">
        <f t="shared" si="27"/>
        <v>Error?</v>
      </c>
    </row>
    <row r="1810" spans="1:4" x14ac:dyDescent="0.2">
      <c r="A1810" s="5">
        <v>1749</v>
      </c>
      <c r="B1810" s="138">
        <f>'Tax Sched 23'!E6</f>
        <v>293400</v>
      </c>
      <c r="D1810" s="2" t="str">
        <f t="shared" si="27"/>
        <v>Error?</v>
      </c>
    </row>
    <row r="1811" spans="1:4" x14ac:dyDescent="0.2">
      <c r="A1811" s="5">
        <v>1750</v>
      </c>
      <c r="B1811" s="138">
        <f>'Tax Sched 23'!E7</f>
        <v>69688</v>
      </c>
      <c r="D1811" s="2" t="str">
        <f t="shared" si="27"/>
        <v>Error?</v>
      </c>
    </row>
    <row r="1812" spans="1:4" x14ac:dyDescent="0.2">
      <c r="A1812" s="5">
        <v>1751</v>
      </c>
      <c r="B1812" s="138">
        <f>'Tax Sched 23'!E8</f>
        <v>134998</v>
      </c>
      <c r="D1812" s="2" t="str">
        <f t="shared" si="27"/>
        <v>Error?</v>
      </c>
    </row>
    <row r="1813" spans="1:4" x14ac:dyDescent="0.2">
      <c r="A1813" s="5">
        <v>1752</v>
      </c>
      <c r="B1813" s="138">
        <f>'Tax Sched 23'!E10</f>
        <v>29037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280002</v>
      </c>
      <c r="D1816" s="2" t="str">
        <f t="shared" si="27"/>
        <v>Error?</v>
      </c>
    </row>
    <row r="1817" spans="1:4" x14ac:dyDescent="0.2">
      <c r="A1817" s="5">
        <v>1756</v>
      </c>
      <c r="B1817" s="138">
        <f>'Tax Sched 23'!E12</f>
        <v>29037</v>
      </c>
      <c r="D1817" s="2" t="str">
        <f t="shared" si="27"/>
        <v>Error?</v>
      </c>
    </row>
    <row r="1818" spans="1:4" x14ac:dyDescent="0.2">
      <c r="A1818" s="5">
        <v>1757</v>
      </c>
      <c r="B1818" s="138">
        <f>'Tax Sched 23'!E14</f>
        <v>11615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1696274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2766000</v>
      </c>
      <c r="C1939" s="2" t="s">
        <v>594</v>
      </c>
      <c r="D1939" s="2" t="str">
        <f t="shared" si="29"/>
        <v>Error?</v>
      </c>
    </row>
    <row r="1940" spans="1:5" x14ac:dyDescent="0.2">
      <c r="A1940" s="5">
        <v>1879</v>
      </c>
      <c r="B1940" s="138">
        <f>'Short-Term Long-Term Debt 24'!F49</f>
        <v>241770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11798</v>
      </c>
      <c r="D1972" s="2" t="str">
        <f t="shared" si="29"/>
        <v>Error?</v>
      </c>
    </row>
    <row r="1973" spans="1:5" x14ac:dyDescent="0.2">
      <c r="A1973" s="5">
        <v>1912</v>
      </c>
      <c r="B1973" s="138">
        <f>'Rest Tax Levies-Tort Im 25'!H6</f>
        <v>50</v>
      </c>
      <c r="D1973" s="2" t="str">
        <f t="shared" si="29"/>
        <v>Error?</v>
      </c>
    </row>
    <row r="1974" spans="1:5" x14ac:dyDescent="0.2">
      <c r="A1974" s="5">
        <v>1913</v>
      </c>
      <c r="B1974" s="138">
        <f>'Rest Tax Levies-Tort Im 25'!H10</f>
        <v>131618</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143466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143466</v>
      </c>
      <c r="D1980" s="2" t="str">
        <f t="shared" si="29"/>
        <v>Error?</v>
      </c>
    </row>
    <row r="1981" spans="1:5" x14ac:dyDescent="0.2">
      <c r="A1981" s="10">
        <v>1920</v>
      </c>
      <c r="D1981" s="2" t="str">
        <f t="shared" si="29"/>
        <v>OK</v>
      </c>
      <c r="E1981" s="2" t="s">
        <v>137</v>
      </c>
    </row>
    <row r="1982" spans="1:5" x14ac:dyDescent="0.2">
      <c r="A1982" s="5">
        <v>1921</v>
      </c>
      <c r="B1982" s="138">
        <f>'Rest Tax Levies-Tort Im 25'!H23</f>
        <v>143466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157600</v>
      </c>
      <c r="D2008" s="2" t="str">
        <f t="shared" si="30"/>
        <v>Error?</v>
      </c>
    </row>
    <row r="2009" spans="1:4" x14ac:dyDescent="0.2">
      <c r="A2009" s="5">
        <v>1948</v>
      </c>
      <c r="B2009" s="138">
        <f>'Cap Outlay Deprec 26'!C8</f>
        <v>11871844</v>
      </c>
      <c r="D2009" s="2" t="str">
        <f t="shared" si="30"/>
        <v>Error?</v>
      </c>
    </row>
    <row r="2010" spans="1:4" x14ac:dyDescent="0.2">
      <c r="A2010" s="5">
        <v>1949</v>
      </c>
      <c r="B2010" s="138">
        <f>'Cap Outlay Deprec 26'!C10</f>
        <v>105345</v>
      </c>
      <c r="D2010" s="2" t="str">
        <f t="shared" si="30"/>
        <v>Error?</v>
      </c>
    </row>
    <row r="2011" spans="1:4" x14ac:dyDescent="0.2">
      <c r="A2011" s="5">
        <v>1950</v>
      </c>
      <c r="B2011" s="138">
        <f>'Cap Outlay Deprec 26'!C12</f>
        <v>855465</v>
      </c>
      <c r="D2011" s="2" t="str">
        <f t="shared" si="30"/>
        <v>Error?</v>
      </c>
    </row>
    <row r="2012" spans="1:4" x14ac:dyDescent="0.2">
      <c r="A2012" s="5">
        <v>1951</v>
      </c>
      <c r="B2012" s="138">
        <f>'Cap Outlay Deprec 26'!C13</f>
        <v>682105</v>
      </c>
      <c r="D2012" s="2" t="str">
        <f t="shared" si="30"/>
        <v>Error?</v>
      </c>
    </row>
    <row r="2013" spans="1:4" x14ac:dyDescent="0.2">
      <c r="A2013" s="5">
        <v>1952</v>
      </c>
      <c r="B2013" s="138">
        <f>'Cap Outlay Deprec 26'!C16</f>
        <v>13672359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81867</v>
      </c>
      <c r="D2017" s="2" t="str">
        <f t="shared" si="30"/>
        <v>Error?</v>
      </c>
    </row>
    <row r="2018" spans="1:4" x14ac:dyDescent="0.2">
      <c r="A2018" s="5">
        <v>1957</v>
      </c>
      <c r="B2018" s="138">
        <f>'Cap Outlay Deprec 26'!D13</f>
        <v>241770</v>
      </c>
      <c r="D2018" s="2" t="str">
        <f t="shared" si="30"/>
        <v>Error?</v>
      </c>
    </row>
    <row r="2019" spans="1:4" x14ac:dyDescent="0.2">
      <c r="A2019" s="5">
        <v>1958</v>
      </c>
      <c r="B2019" s="138">
        <f>'Cap Outlay Deprec 26'!D16</f>
        <v>323637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30430</v>
      </c>
      <c r="D2023" s="2" t="str">
        <f t="shared" si="30"/>
        <v>Error?</v>
      </c>
    </row>
    <row r="2024" spans="1:4" x14ac:dyDescent="0.2">
      <c r="A2024" s="5">
        <v>1963</v>
      </c>
      <c r="B2024" s="138">
        <f>'Cap Outlay Deprec 26'!E13</f>
        <v>136621</v>
      </c>
      <c r="D2024" s="2" t="str">
        <f t="shared" si="30"/>
        <v>Error?</v>
      </c>
    </row>
    <row r="2025" spans="1:4" x14ac:dyDescent="0.2">
      <c r="A2025" s="5">
        <v>1964</v>
      </c>
      <c r="B2025" s="138">
        <f>'Cap Outlay Deprec 26'!E16</f>
        <v>167051</v>
      </c>
      <c r="C2025" s="2" t="s">
        <v>594</v>
      </c>
      <c r="D2025" s="2" t="str">
        <f t="shared" si="30"/>
        <v>Error?</v>
      </c>
    </row>
    <row r="2026" spans="1:4" x14ac:dyDescent="0.2">
      <c r="A2026" s="5">
        <v>1965</v>
      </c>
      <c r="B2026" s="138">
        <f>'Cap Outlay Deprec 26'!F5</f>
        <v>157600</v>
      </c>
      <c r="C2026" s="2" t="s">
        <v>594</v>
      </c>
      <c r="D2026" s="2" t="str">
        <f t="shared" si="30"/>
        <v>Error?</v>
      </c>
    </row>
    <row r="2027" spans="1:4" x14ac:dyDescent="0.2">
      <c r="A2027" s="5">
        <v>1966</v>
      </c>
      <c r="B2027" s="138">
        <f>'Cap Outlay Deprec 26'!F8</f>
        <v>11871844</v>
      </c>
      <c r="C2027" s="2" t="s">
        <v>594</v>
      </c>
      <c r="D2027" s="2" t="str">
        <f t="shared" si="30"/>
        <v>Error?</v>
      </c>
    </row>
    <row r="2028" spans="1:4" x14ac:dyDescent="0.2">
      <c r="A2028" s="5">
        <v>1967</v>
      </c>
      <c r="B2028" s="138">
        <f>'Cap Outlay Deprec 26'!F10</f>
        <v>105345</v>
      </c>
      <c r="C2028" s="2" t="s">
        <v>594</v>
      </c>
      <c r="D2028" s="2" t="str">
        <f t="shared" si="30"/>
        <v>Error?</v>
      </c>
    </row>
    <row r="2029" spans="1:4" x14ac:dyDescent="0.2">
      <c r="A2029" s="5">
        <v>1968</v>
      </c>
      <c r="B2029" s="138">
        <f>'Cap Outlay Deprec 26'!F12</f>
        <v>906902</v>
      </c>
      <c r="C2029" s="2" t="s">
        <v>594</v>
      </c>
      <c r="D2029" s="2" t="str">
        <f t="shared" si="30"/>
        <v>Error?</v>
      </c>
    </row>
    <row r="2030" spans="1:4" x14ac:dyDescent="0.2">
      <c r="A2030" s="5">
        <v>1969</v>
      </c>
      <c r="B2030" s="138">
        <f>'Cap Outlay Deprec 26'!F13</f>
        <v>787254</v>
      </c>
      <c r="C2030" s="2" t="s">
        <v>594</v>
      </c>
      <c r="D2030" s="2" t="str">
        <f t="shared" si="30"/>
        <v>Error?</v>
      </c>
    </row>
    <row r="2031" spans="1:4" x14ac:dyDescent="0.2">
      <c r="A2031" s="5">
        <v>1970</v>
      </c>
      <c r="B2031" s="138">
        <f>'Cap Outlay Deprec 26'!F16</f>
        <v>13828945</v>
      </c>
      <c r="C2031" s="2" t="s">
        <v>594</v>
      </c>
      <c r="D2031" s="2" t="str">
        <f t="shared" si="30"/>
        <v>Error?</v>
      </c>
    </row>
    <row r="2032" spans="1:4" x14ac:dyDescent="0.2">
      <c r="A2032" s="10">
        <v>1971</v>
      </c>
      <c r="D2032" s="2" t="str">
        <f t="shared" si="30"/>
        <v>OK</v>
      </c>
    </row>
    <row r="2033" spans="1:4" x14ac:dyDescent="0.2">
      <c r="A2033" s="5">
        <v>1972</v>
      </c>
      <c r="B2033" s="138">
        <f>'Cap Outlay Deprec 26'!H8</f>
        <v>2759702</v>
      </c>
      <c r="D2033" s="2" t="str">
        <f t="shared" si="30"/>
        <v>Error?</v>
      </c>
    </row>
    <row r="2034" spans="1:4" x14ac:dyDescent="0.2">
      <c r="A2034" s="5">
        <v>1973</v>
      </c>
      <c r="B2034" s="138">
        <f>'Cap Outlay Deprec 26'!H10</f>
        <v>96596</v>
      </c>
      <c r="D2034" s="2" t="str">
        <f t="shared" si="30"/>
        <v>Error?</v>
      </c>
    </row>
    <row r="2035" spans="1:4" x14ac:dyDescent="0.2">
      <c r="A2035" s="5">
        <v>1974</v>
      </c>
      <c r="B2035" s="138">
        <f>'Cap Outlay Deprec 26'!H12</f>
        <v>458458</v>
      </c>
      <c r="D2035" s="2" t="str">
        <f t="shared" si="30"/>
        <v>Error?</v>
      </c>
    </row>
    <row r="2036" spans="1:4" x14ac:dyDescent="0.2">
      <c r="A2036" s="5">
        <v>1975</v>
      </c>
      <c r="B2036" s="138">
        <f>'Cap Outlay Deprec 26'!H13</f>
        <v>648470</v>
      </c>
      <c r="D2036" s="2" t="str">
        <f t="shared" si="30"/>
        <v>Error?</v>
      </c>
    </row>
    <row r="2037" spans="1:4" x14ac:dyDescent="0.2">
      <c r="A2037" s="5">
        <v>1976</v>
      </c>
      <c r="B2037" s="138">
        <f>'Cap Outlay Deprec 26'!H16</f>
        <v>3963226</v>
      </c>
      <c r="C2037" s="2" t="s">
        <v>594</v>
      </c>
      <c r="D2037" s="2" t="str">
        <f t="shared" si="30"/>
        <v>Error?</v>
      </c>
    </row>
    <row r="2038" spans="1:4" x14ac:dyDescent="0.2">
      <c r="A2038" s="10">
        <v>1977</v>
      </c>
      <c r="D2038" s="2" t="str">
        <f t="shared" si="30"/>
        <v>OK</v>
      </c>
    </row>
    <row r="2039" spans="1:4" x14ac:dyDescent="0.2">
      <c r="A2039" s="5">
        <v>1978</v>
      </c>
      <c r="B2039" s="138">
        <f>'Cap Outlay Deprec 26'!I8</f>
        <v>221071</v>
      </c>
      <c r="D2039" s="2" t="str">
        <f t="shared" si="30"/>
        <v>Error?</v>
      </c>
    </row>
    <row r="2040" spans="1:4" x14ac:dyDescent="0.2">
      <c r="A2040" s="5">
        <v>1979</v>
      </c>
      <c r="B2040" s="138">
        <f>'Cap Outlay Deprec 26'!I10</f>
        <v>3355</v>
      </c>
      <c r="D2040" s="2" t="str">
        <f t="shared" si="30"/>
        <v>Error?</v>
      </c>
    </row>
    <row r="2041" spans="1:4" x14ac:dyDescent="0.2">
      <c r="A2041" s="5">
        <v>1980</v>
      </c>
      <c r="B2041" s="138">
        <f>'Cap Outlay Deprec 26'!I12</f>
        <v>84918</v>
      </c>
      <c r="D2041" s="2" t="str">
        <f t="shared" si="30"/>
        <v>Error?</v>
      </c>
    </row>
    <row r="2042" spans="1:4" x14ac:dyDescent="0.2">
      <c r="A2042" s="5">
        <v>1981</v>
      </c>
      <c r="B2042" s="138">
        <f>'Cap Outlay Deprec 26'!I13</f>
        <v>58565</v>
      </c>
      <c r="D2042" s="2" t="str">
        <f t="shared" si="30"/>
        <v>Error?</v>
      </c>
    </row>
    <row r="2043" spans="1:4" x14ac:dyDescent="0.2">
      <c r="A2043" s="5">
        <v>1982</v>
      </c>
      <c r="B2043" s="138">
        <f>'Cap Outlay Deprec 26'!I16</f>
        <v>367909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30430</v>
      </c>
      <c r="D2047" s="2" t="str">
        <f t="shared" ref="D2047:D2110" si="31">IF(ISBLANK(B2047),"OK",IF(A2047-B2047=0,"OK","Error?"))</f>
        <v>Error?</v>
      </c>
    </row>
    <row r="2048" spans="1:4" x14ac:dyDescent="0.2">
      <c r="A2048" s="5">
        <v>1987</v>
      </c>
      <c r="B2048" s="138">
        <f>'Cap Outlay Deprec 26'!J13</f>
        <v>136621</v>
      </c>
      <c r="D2048" s="2" t="str">
        <f t="shared" si="31"/>
        <v>Error?</v>
      </c>
    </row>
    <row r="2049" spans="1:4" x14ac:dyDescent="0.2">
      <c r="A2049" s="5">
        <v>1988</v>
      </c>
      <c r="B2049" s="138">
        <f>'Cap Outlay Deprec 26'!J16</f>
        <v>167051</v>
      </c>
      <c r="C2049" s="2" t="s">
        <v>594</v>
      </c>
      <c r="D2049" s="2" t="str">
        <f t="shared" si="31"/>
        <v>Error?</v>
      </c>
    </row>
    <row r="2050" spans="1:4" x14ac:dyDescent="0.2">
      <c r="A2050" s="10">
        <v>1989</v>
      </c>
      <c r="D2050" s="2" t="str">
        <f t="shared" si="31"/>
        <v>OK</v>
      </c>
    </row>
    <row r="2051" spans="1:4" x14ac:dyDescent="0.2">
      <c r="A2051" s="5">
        <v>1990</v>
      </c>
      <c r="B2051" s="138">
        <f>'Cap Outlay Deprec 26'!K8</f>
        <v>2980773</v>
      </c>
      <c r="C2051" s="2" t="s">
        <v>594</v>
      </c>
      <c r="D2051" s="2" t="str">
        <f t="shared" si="31"/>
        <v>Error?</v>
      </c>
    </row>
    <row r="2052" spans="1:4" x14ac:dyDescent="0.2">
      <c r="A2052" s="5">
        <v>1991</v>
      </c>
      <c r="B2052" s="138">
        <f>'Cap Outlay Deprec 26'!K10</f>
        <v>99951</v>
      </c>
      <c r="C2052" s="2" t="s">
        <v>594</v>
      </c>
      <c r="D2052" s="2" t="str">
        <f t="shared" si="31"/>
        <v>Error?</v>
      </c>
    </row>
    <row r="2053" spans="1:4" x14ac:dyDescent="0.2">
      <c r="A2053" s="5">
        <v>1992</v>
      </c>
      <c r="B2053" s="138">
        <f>'Cap Outlay Deprec 26'!K12</f>
        <v>512946</v>
      </c>
      <c r="C2053" s="2" t="s">
        <v>594</v>
      </c>
      <c r="D2053" s="2" t="str">
        <f t="shared" si="31"/>
        <v>Error?</v>
      </c>
    </row>
    <row r="2054" spans="1:4" x14ac:dyDescent="0.2">
      <c r="A2054" s="5">
        <v>1993</v>
      </c>
      <c r="B2054" s="138">
        <f>'Cap Outlay Deprec 26'!K13</f>
        <v>570414</v>
      </c>
      <c r="C2054" s="2" t="s">
        <v>594</v>
      </c>
      <c r="D2054" s="2" t="str">
        <f t="shared" si="31"/>
        <v>Error?</v>
      </c>
    </row>
    <row r="2055" spans="1:4" x14ac:dyDescent="0.2">
      <c r="A2055" s="5">
        <v>1994</v>
      </c>
      <c r="B2055" s="138">
        <f>'Cap Outlay Deprec 26'!K16</f>
        <v>4164084</v>
      </c>
      <c r="C2055" s="2" t="s">
        <v>594</v>
      </c>
      <c r="D2055" s="2" t="str">
        <f t="shared" si="31"/>
        <v>Error?</v>
      </c>
    </row>
    <row r="2056" spans="1:4" x14ac:dyDescent="0.2">
      <c r="A2056" s="5">
        <v>1995</v>
      </c>
      <c r="B2056" s="138">
        <f>'Cap Outlay Deprec 26'!L5</f>
        <v>157600</v>
      </c>
      <c r="C2056" s="2" t="s">
        <v>594</v>
      </c>
      <c r="D2056" s="2" t="str">
        <f t="shared" si="31"/>
        <v>Error?</v>
      </c>
    </row>
    <row r="2057" spans="1:4" x14ac:dyDescent="0.2">
      <c r="A2057" s="5">
        <v>1996</v>
      </c>
      <c r="B2057" s="138">
        <f>'Cap Outlay Deprec 26'!L8</f>
        <v>8891071</v>
      </c>
      <c r="C2057" s="2" t="s">
        <v>594</v>
      </c>
      <c r="D2057" s="2" t="str">
        <f t="shared" si="31"/>
        <v>Error?</v>
      </c>
    </row>
    <row r="2058" spans="1:4" x14ac:dyDescent="0.2">
      <c r="A2058" s="5">
        <v>1997</v>
      </c>
      <c r="B2058" s="138">
        <f>'Cap Outlay Deprec 26'!L10</f>
        <v>5394</v>
      </c>
      <c r="C2058" s="2" t="s">
        <v>594</v>
      </c>
      <c r="D2058" s="2" t="str">
        <f t="shared" si="31"/>
        <v>Error?</v>
      </c>
    </row>
    <row r="2059" spans="1:4" x14ac:dyDescent="0.2">
      <c r="A2059" s="5">
        <v>1998</v>
      </c>
      <c r="B2059" s="138">
        <f>'Cap Outlay Deprec 26'!L12</f>
        <v>393956</v>
      </c>
      <c r="C2059" s="2" t="s">
        <v>594</v>
      </c>
      <c r="D2059" s="2" t="str">
        <f t="shared" si="31"/>
        <v>Error?</v>
      </c>
    </row>
    <row r="2060" spans="1:4" x14ac:dyDescent="0.2">
      <c r="A2060" s="5">
        <v>1999</v>
      </c>
      <c r="B2060" s="138">
        <f>'Cap Outlay Deprec 26'!L13</f>
        <v>216840</v>
      </c>
      <c r="C2060" s="2" t="s">
        <v>594</v>
      </c>
      <c r="D2060" s="2" t="str">
        <f t="shared" si="31"/>
        <v>Error?</v>
      </c>
    </row>
    <row r="2061" spans="1:4" x14ac:dyDescent="0.2">
      <c r="A2061" s="5">
        <v>2000</v>
      </c>
      <c r="B2061" s="138">
        <f>'Cap Outlay Deprec 26'!L16</f>
        <v>9664861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65152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65152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34408</v>
      </c>
      <c r="D2435" s="2" t="str">
        <f t="shared" si="37"/>
        <v>Error?</v>
      </c>
    </row>
    <row r="2436" spans="1:4" x14ac:dyDescent="0.2">
      <c r="A2436" s="10">
        <v>2375</v>
      </c>
      <c r="D2436" s="2" t="str">
        <f t="shared" si="37"/>
        <v>OK</v>
      </c>
    </row>
    <row r="2437" spans="1:4" x14ac:dyDescent="0.2">
      <c r="A2437" s="5">
        <v>2376</v>
      </c>
      <c r="B2437" s="138">
        <f>'Assets-Liab 5-6'!D38</f>
        <v>12985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44557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854573</v>
      </c>
      <c r="C2551" s="2" t="s">
        <v>594</v>
      </c>
      <c r="D2551" s="2" t="str">
        <f t="shared" si="38"/>
        <v>Error?</v>
      </c>
    </row>
    <row r="2552" spans="1:4" x14ac:dyDescent="0.2">
      <c r="A2552" s="10">
        <v>2491</v>
      </c>
      <c r="D2552" s="2" t="str">
        <f t="shared" si="38"/>
        <v>OK</v>
      </c>
    </row>
    <row r="2553" spans="1:4" x14ac:dyDescent="0.2">
      <c r="A2553" s="5">
        <v>2492</v>
      </c>
      <c r="B2553" s="138">
        <f>'Acct Summary 7-8'!C6</f>
        <v>3815956</v>
      </c>
      <c r="C2553" s="2" t="s">
        <v>594</v>
      </c>
      <c r="D2553" s="2" t="str">
        <f t="shared" si="38"/>
        <v>Error?</v>
      </c>
    </row>
    <row r="2554" spans="1:4" x14ac:dyDescent="0.2">
      <c r="A2554" s="5">
        <v>2493</v>
      </c>
      <c r="B2554" s="138">
        <f>'Acct Summary 7-8'!C7</f>
        <v>544452</v>
      </c>
      <c r="C2554" s="2" t="s">
        <v>594</v>
      </c>
      <c r="D2554" s="2" t="str">
        <f t="shared" si="38"/>
        <v>Error?</v>
      </c>
    </row>
    <row r="2555" spans="1:4" x14ac:dyDescent="0.2">
      <c r="A2555" s="5">
        <v>2494</v>
      </c>
      <c r="B2555" s="138">
        <f>'Acct Summary 7-8'!C8</f>
        <v>5214981</v>
      </c>
      <c r="C2555" s="2" t="s">
        <v>594</v>
      </c>
      <c r="D2555" s="2" t="str">
        <f t="shared" si="38"/>
        <v>Error?</v>
      </c>
    </row>
    <row r="2556" spans="1:4" x14ac:dyDescent="0.2">
      <c r="A2556" s="5">
        <v>2495</v>
      </c>
      <c r="B2556" s="138">
        <f>'Acct Summary 7-8'!C12</f>
        <v>3428969</v>
      </c>
      <c r="C2556" s="2" t="s">
        <v>594</v>
      </c>
      <c r="D2556" s="2" t="str">
        <f t="shared" si="38"/>
        <v>Error?</v>
      </c>
    </row>
    <row r="2557" spans="1:4" x14ac:dyDescent="0.2">
      <c r="A2557" s="5">
        <v>2496</v>
      </c>
      <c r="B2557" s="138">
        <f>'Acct Summary 7-8'!C13</f>
        <v>1651639</v>
      </c>
      <c r="C2557" s="2" t="s">
        <v>594</v>
      </c>
      <c r="D2557" s="2" t="str">
        <f t="shared" si="38"/>
        <v>Error?</v>
      </c>
    </row>
    <row r="2558" spans="1:4" x14ac:dyDescent="0.2">
      <c r="A2558" s="5">
        <v>2497</v>
      </c>
      <c r="B2558" s="138">
        <f>'Acct Summary 7-8'!C14</f>
        <v>25065</v>
      </c>
      <c r="C2558" s="2" t="s">
        <v>594</v>
      </c>
      <c r="D2558" s="2" t="str">
        <f t="shared" si="38"/>
        <v>Error?</v>
      </c>
    </row>
    <row r="2559" spans="1:4" x14ac:dyDescent="0.2">
      <c r="A2559" s="5">
        <v>2498</v>
      </c>
      <c r="B2559" s="138">
        <f>'Acct Summary 7-8'!C15</f>
        <v>65152</v>
      </c>
      <c r="C2559" s="2" t="s">
        <v>594</v>
      </c>
      <c r="D2559" s="2" t="str">
        <f t="shared" ref="D2559:D2622" si="39">IF(ISBLANK(B2559),"OK",IF(A2559-B2559=0,"OK","Error?"))</f>
        <v>Error?</v>
      </c>
    </row>
    <row r="2560" spans="1:4" x14ac:dyDescent="0.2">
      <c r="A2560" s="5">
        <v>2499</v>
      </c>
      <c r="B2560" s="138">
        <f>'Acct Summary 7-8'!C16</f>
        <v>32919</v>
      </c>
      <c r="C2560" s="2" t="s">
        <v>594</v>
      </c>
      <c r="D2560" s="2" t="str">
        <f t="shared" si="39"/>
        <v>Error?</v>
      </c>
    </row>
    <row r="2561" spans="1:4" x14ac:dyDescent="0.2">
      <c r="A2561" s="5">
        <v>2500</v>
      </c>
      <c r="B2561" s="138">
        <f>'Acct Summary 7-8'!C17</f>
        <v>5203744</v>
      </c>
      <c r="C2561" s="2" t="s">
        <v>594</v>
      </c>
      <c r="D2561" s="2" t="str">
        <f t="shared" si="39"/>
        <v>Error?</v>
      </c>
    </row>
    <row r="2562" spans="1:4" x14ac:dyDescent="0.2">
      <c r="A2562" s="5">
        <v>2501</v>
      </c>
      <c r="B2562" s="138">
        <f>'Acct Summary 7-8'!C20</f>
        <v>11237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153110</v>
      </c>
      <c r="C2564" s="2" t="s">
        <v>594</v>
      </c>
      <c r="D2564" s="2" t="str">
        <f t="shared" si="39"/>
        <v>Error?</v>
      </c>
    </row>
    <row r="2565" spans="1:4" x14ac:dyDescent="0.2">
      <c r="A2565" s="10">
        <v>2504</v>
      </c>
      <c r="D2565" s="2" t="str">
        <f t="shared" si="39"/>
        <v>OK</v>
      </c>
    </row>
    <row r="2566" spans="1:4" x14ac:dyDescent="0.2">
      <c r="A2566" s="5">
        <v>2505</v>
      </c>
      <c r="B2566" s="138">
        <f>'Acct Summary 7-8'!D6</f>
        <v>110000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263110</v>
      </c>
      <c r="C2568" s="2" t="s">
        <v>594</v>
      </c>
      <c r="D2568" s="2" t="str">
        <f t="shared" si="39"/>
        <v>Error?</v>
      </c>
    </row>
    <row r="2569" spans="1:4" x14ac:dyDescent="0.2">
      <c r="A2569" s="5">
        <v>2508</v>
      </c>
      <c r="B2569" s="138">
        <f>'Acct Summary 7-8'!D13</f>
        <v>246769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246769</v>
      </c>
      <c r="C2573" s="2" t="s">
        <v>594</v>
      </c>
      <c r="D2573" s="2" t="str">
        <f t="shared" si="39"/>
        <v>Error?</v>
      </c>
    </row>
    <row r="2574" spans="1:4" x14ac:dyDescent="0.2">
      <c r="A2574" s="5">
        <v>2513</v>
      </c>
      <c r="B2574" s="138">
        <f>'Acct Summary 7-8'!D20</f>
        <v>16341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75772</v>
      </c>
      <c r="C2591" s="2" t="s">
        <v>594</v>
      </c>
      <c r="D2591" s="2" t="str">
        <f t="shared" si="39"/>
        <v>Error?</v>
      </c>
    </row>
    <row r="2592" spans="1:4" x14ac:dyDescent="0.2">
      <c r="A2592" s="10">
        <v>2531</v>
      </c>
      <c r="D2592" s="2" t="str">
        <f t="shared" si="39"/>
        <v>OK</v>
      </c>
    </row>
    <row r="2593" spans="1:4" x14ac:dyDescent="0.2">
      <c r="A2593" s="5">
        <v>2532</v>
      </c>
      <c r="B2593" s="138">
        <f>'Acct Summary 7-8'!F6</f>
        <v>146581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222353</v>
      </c>
      <c r="C2595" s="2" t="s">
        <v>594</v>
      </c>
      <c r="D2595" s="2" t="str">
        <f t="shared" si="39"/>
        <v>Error?</v>
      </c>
    </row>
    <row r="2596" spans="1:4" x14ac:dyDescent="0.2">
      <c r="A2596" s="5">
        <v>2535</v>
      </c>
      <c r="B2596" s="138">
        <f>'Acct Summary 7-8'!F13</f>
        <v>233651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41757</v>
      </c>
      <c r="C2599" s="2" t="s">
        <v>594</v>
      </c>
      <c r="D2599" s="2" t="str">
        <f t="shared" si="39"/>
        <v>Error?</v>
      </c>
    </row>
    <row r="2600" spans="1:4" x14ac:dyDescent="0.2">
      <c r="A2600" s="5">
        <v>2539</v>
      </c>
      <c r="B2600" s="138">
        <f>'Acct Summary 7-8'!F17</f>
        <v>275408</v>
      </c>
      <c r="C2600" s="2" t="s">
        <v>594</v>
      </c>
      <c r="D2600" s="2" t="str">
        <f t="shared" si="39"/>
        <v>Error?</v>
      </c>
    </row>
    <row r="2601" spans="1:4" x14ac:dyDescent="0.2">
      <c r="A2601" s="5">
        <v>2540</v>
      </c>
      <c r="B2601" s="138">
        <f>'Acct Summary 7-8'!F20</f>
        <v>-53055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255310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255310</v>
      </c>
      <c r="C2606" s="2" t="s">
        <v>594</v>
      </c>
      <c r="D2606" s="2" t="str">
        <f t="shared" si="39"/>
        <v>Error?</v>
      </c>
    </row>
    <row r="2607" spans="1:4" x14ac:dyDescent="0.2">
      <c r="A2607" s="5">
        <v>2546</v>
      </c>
      <c r="B2607" s="138">
        <f>'Acct Summary 7-8'!G12</f>
        <v>118764</v>
      </c>
      <c r="C2607" s="2" t="s">
        <v>594</v>
      </c>
      <c r="D2607" s="2" t="str">
        <f t="shared" si="39"/>
        <v>Error?</v>
      </c>
    </row>
    <row r="2608" spans="1:4" x14ac:dyDescent="0.2">
      <c r="A2608" s="5">
        <v>2547</v>
      </c>
      <c r="B2608" s="138">
        <f>'Acct Summary 7-8'!G13</f>
        <v>111622</v>
      </c>
      <c r="C2608" s="2" t="s">
        <v>594</v>
      </c>
      <c r="D2608" s="2" t="str">
        <f t="shared" si="39"/>
        <v>Error?</v>
      </c>
    </row>
    <row r="2609" spans="1:4" x14ac:dyDescent="0.2">
      <c r="A2609" s="5">
        <v>2548</v>
      </c>
      <c r="B2609" s="138">
        <f>'Acct Summary 7-8'!G14</f>
        <v>218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230604</v>
      </c>
      <c r="C2612" s="2" t="s">
        <v>594</v>
      </c>
      <c r="D2612" s="2" t="str">
        <f t="shared" si="39"/>
        <v>Error?</v>
      </c>
    </row>
    <row r="2613" spans="1:4" x14ac:dyDescent="0.2">
      <c r="A2613" s="5">
        <v>2552</v>
      </c>
      <c r="B2613" s="138">
        <f>'Acct Summary 7-8'!G20</f>
        <v>24706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296587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342292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340313</v>
      </c>
      <c r="C2634" s="2" t="s">
        <v>594</v>
      </c>
      <c r="D2634" s="2" t="str">
        <f t="shared" si="40"/>
        <v>Error?</v>
      </c>
    </row>
    <row r="2635" spans="1:4" x14ac:dyDescent="0.2">
      <c r="A2635" s="5">
        <v>2574</v>
      </c>
      <c r="B2635" s="138">
        <f>'Acct Summary 7-8'!E17</f>
        <v>340313</v>
      </c>
      <c r="C2635" s="2" t="s">
        <v>594</v>
      </c>
      <c r="D2635" s="2" t="str">
        <f t="shared" si="40"/>
        <v>Error?</v>
      </c>
    </row>
    <row r="2636" spans="1:4" x14ac:dyDescent="0.2">
      <c r="A2636" s="5">
        <v>2575</v>
      </c>
      <c r="B2636" s="138">
        <f>'Acct Summary 7-8'!E20</f>
        <v>1979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347</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347</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238537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9544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238537</v>
      </c>
      <c r="D2912" s="2" t="str">
        <f t="shared" si="44"/>
        <v>Error?</v>
      </c>
    </row>
    <row r="2913" spans="1:4" x14ac:dyDescent="0.2">
      <c r="A2913" s="5">
        <v>2852</v>
      </c>
      <c r="B2913" s="138">
        <f>'Assets-Liab 5-6'!I41</f>
        <v>238537</v>
      </c>
      <c r="C2913" s="2" t="s">
        <v>594</v>
      </c>
      <c r="D2913" s="2" t="str">
        <f t="shared" si="44"/>
        <v>Error?</v>
      </c>
    </row>
    <row r="2914" spans="1:4" x14ac:dyDescent="0.2">
      <c r="A2914" s="5">
        <v>2853</v>
      </c>
      <c r="B2914" s="138">
        <f>'Assets-Liab 5-6'!L33</f>
        <v>9544</v>
      </c>
      <c r="D2914" s="2" t="str">
        <f t="shared" si="44"/>
        <v>Error?</v>
      </c>
    </row>
    <row r="2915" spans="1:4" x14ac:dyDescent="0.2">
      <c r="A2915" s="10">
        <v>2854</v>
      </c>
      <c r="D2915" s="2" t="str">
        <f t="shared" si="44"/>
        <v>OK</v>
      </c>
    </row>
    <row r="2916" spans="1:4" x14ac:dyDescent="0.2">
      <c r="A2916" s="5">
        <v>2855</v>
      </c>
      <c r="B2916" s="138">
        <f>'Assets-Liab 5-6'!L34</f>
        <v>9544</v>
      </c>
      <c r="C2916" s="2" t="s">
        <v>594</v>
      </c>
      <c r="D2916" s="2" t="str">
        <f t="shared" si="44"/>
        <v>Error?</v>
      </c>
    </row>
    <row r="2917" spans="1:4" x14ac:dyDescent="0.2">
      <c r="A2917" s="5">
        <v>2856</v>
      </c>
      <c r="B2917" s="138">
        <f>'Assets-Liab 5-6'!L41</f>
        <v>9544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65152</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65152</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77926</v>
      </c>
      <c r="D3055" s="2" t="str">
        <f t="shared" si="46"/>
        <v>Error?</v>
      </c>
    </row>
    <row r="3056" spans="1:4" x14ac:dyDescent="0.2">
      <c r="A3056" s="5">
        <v>2995</v>
      </c>
      <c r="B3056" s="138">
        <f>'Expenditures 15-22'!D10</f>
        <v>12868</v>
      </c>
      <c r="D3056" s="2" t="str">
        <f t="shared" si="46"/>
        <v>Error?</v>
      </c>
    </row>
    <row r="3057" spans="1:4" x14ac:dyDescent="0.2">
      <c r="A3057" s="5">
        <v>2996</v>
      </c>
      <c r="B3057" s="138">
        <f>'Expenditures 15-22'!E10</f>
        <v>34280</v>
      </c>
      <c r="D3057" s="2" t="str">
        <f t="shared" si="46"/>
        <v>Error?</v>
      </c>
    </row>
    <row r="3058" spans="1:4" x14ac:dyDescent="0.2">
      <c r="A3058" s="5">
        <v>2997</v>
      </c>
      <c r="B3058" s="138">
        <f>'Expenditures 15-22'!F10</f>
        <v>64804</v>
      </c>
      <c r="D3058" s="2" t="str">
        <f t="shared" si="46"/>
        <v>Error?</v>
      </c>
    </row>
    <row r="3059" spans="1:4" x14ac:dyDescent="0.2">
      <c r="A3059" s="5">
        <v>2998</v>
      </c>
      <c r="B3059" s="138">
        <f>'Expenditures 15-22'!G10</f>
        <v>7434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197312</v>
      </c>
      <c r="C3062" s="2" t="s">
        <v>594</v>
      </c>
      <c r="D3062" s="2" t="str">
        <f t="shared" si="46"/>
        <v>Error?</v>
      </c>
    </row>
    <row r="3063" spans="1:4" x14ac:dyDescent="0.2">
      <c r="A3063" s="10">
        <v>3002</v>
      </c>
      <c r="D3063" s="2" t="str">
        <f t="shared" si="46"/>
        <v>OK</v>
      </c>
    </row>
    <row r="3064" spans="1:4" x14ac:dyDescent="0.2">
      <c r="A3064" s="5">
        <v>3003</v>
      </c>
      <c r="B3064" s="138">
        <f>'Expenditures 15-22'!D219</f>
        <v>12281</v>
      </c>
      <c r="D3064" s="2" t="str">
        <f t="shared" si="46"/>
        <v>Error?</v>
      </c>
    </row>
    <row r="3065" spans="1:4" x14ac:dyDescent="0.2">
      <c r="A3065" s="5">
        <v>3004</v>
      </c>
      <c r="B3065" s="138">
        <f>'Expenditures 15-22'!K219</f>
        <v>12281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29901</v>
      </c>
      <c r="C3225" s="2" t="s">
        <v>594</v>
      </c>
      <c r="D3225" s="2" t="str">
        <f t="shared" si="49"/>
        <v>Error?</v>
      </c>
    </row>
    <row r="3226" spans="1:4" x14ac:dyDescent="0.2">
      <c r="A3226" s="5">
        <v>3165</v>
      </c>
      <c r="B3226" s="138">
        <f>'Acct Summary 7-8'!I8</f>
        <v>29901</v>
      </c>
      <c r="C3226" s="2" t="s">
        <v>594</v>
      </c>
      <c r="D3226" s="2" t="str">
        <f t="shared" si="49"/>
        <v>Error?</v>
      </c>
    </row>
    <row r="3227" spans="1:4" x14ac:dyDescent="0.2">
      <c r="A3227" s="5">
        <v>3166</v>
      </c>
      <c r="B3227" s="138">
        <f>'Acct Summary 7-8'!I20</f>
        <v>29901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347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347</v>
      </c>
      <c r="C3232" s="2" t="s">
        <v>594</v>
      </c>
      <c r="D3232" s="2" t="str">
        <f t="shared" si="49"/>
        <v>Error?</v>
      </c>
    </row>
    <row r="3233" spans="1:4" x14ac:dyDescent="0.2">
      <c r="A3233" s="5">
        <v>3172</v>
      </c>
      <c r="B3233" s="138">
        <f>'Acct Summary 7-8'!C78</f>
        <v>11584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16341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100000</v>
      </c>
      <c r="C3255" s="2" t="s">
        <v>594</v>
      </c>
      <c r="D3255" s="2" t="str">
        <f t="shared" si="49"/>
        <v>Error?</v>
      </c>
    </row>
    <row r="3256" spans="1:4" x14ac:dyDescent="0.2">
      <c r="A3256" s="5">
        <v>3195</v>
      </c>
      <c r="B3256" s="138">
        <f>'Acct Summary 7-8'!F78</f>
        <v>46945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24706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347</v>
      </c>
      <c r="C3276" s="2" t="s">
        <v>594</v>
      </c>
      <c r="D3276" s="2" t="str">
        <f t="shared" si="50"/>
        <v>Error?</v>
      </c>
    </row>
    <row r="3277" spans="1:4" x14ac:dyDescent="0.2">
      <c r="A3277" s="5">
        <v>3216</v>
      </c>
      <c r="B3277" s="138">
        <f>'Acct Summary 7-8'!E77</f>
        <v>-347</v>
      </c>
      <c r="C3277" s="2" t="s">
        <v>594</v>
      </c>
      <c r="D3277" s="2" t="str">
        <f t="shared" si="50"/>
        <v>Error?</v>
      </c>
    </row>
    <row r="3278" spans="1:4" x14ac:dyDescent="0.2">
      <c r="A3278" s="5">
        <v>3217</v>
      </c>
      <c r="B3278" s="138">
        <f>'Acct Summary 7-8'!E78</f>
        <v>1632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100000</v>
      </c>
      <c r="C3318" s="2" t="s">
        <v>594</v>
      </c>
      <c r="D3318" s="2" t="str">
        <f t="shared" si="50"/>
        <v>Error?</v>
      </c>
    </row>
    <row r="3319" spans="1:4" x14ac:dyDescent="0.2">
      <c r="A3319" s="5">
        <v>3258</v>
      </c>
      <c r="B3319" s="138">
        <f>'Acct Summary 7-8'!I77</f>
        <v>-100000</v>
      </c>
      <c r="C3319" s="2" t="s">
        <v>594</v>
      </c>
      <c r="D3319" s="2" t="str">
        <f t="shared" si="50"/>
        <v>Error?</v>
      </c>
    </row>
    <row r="3320" spans="1:4" x14ac:dyDescent="0.2">
      <c r="A3320" s="5">
        <v>3259</v>
      </c>
      <c r="B3320" s="138">
        <f>'Acct Summary 7-8'!I78</f>
        <v>-70099</v>
      </c>
      <c r="C3320" s="2" t="s">
        <v>594</v>
      </c>
      <c r="D3320" s="2" t="str">
        <f t="shared" si="50"/>
        <v>Error?</v>
      </c>
    </row>
    <row r="3321" spans="1:4" x14ac:dyDescent="0.2">
      <c r="A3321" s="5">
        <v>3260</v>
      </c>
      <c r="B3321" s="138">
        <f>'Acct Summary 7-8'!I79</f>
        <v>308636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238537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540886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106589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1739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48983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699421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49474</v>
      </c>
      <c r="D3387" s="2" t="str">
        <f t="shared" si="51"/>
        <v>Error?</v>
      </c>
    </row>
    <row r="3388" spans="1:4" x14ac:dyDescent="0.2">
      <c r="A3388" s="5">
        <v>3327</v>
      </c>
      <c r="B3388" s="138">
        <f>'Expenditures 15-22'!D217</f>
        <v>55479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49474</v>
      </c>
      <c r="C3390" s="2" t="s">
        <v>594</v>
      </c>
      <c r="D3390" s="2" t="str">
        <f t="shared" si="51"/>
        <v>Error?</v>
      </c>
    </row>
    <row r="3391" spans="1:4" x14ac:dyDescent="0.2">
      <c r="A3391" s="5">
        <v>3330</v>
      </c>
      <c r="B3391" s="138">
        <f>'Expenditures 15-22'!K217</f>
        <v>55479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3548609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608015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39998</v>
      </c>
      <c r="D3417" s="2" t="str">
        <f t="shared" si="52"/>
        <v>Error?</v>
      </c>
    </row>
    <row r="3418" spans="1:4" x14ac:dyDescent="0.2">
      <c r="A3418" s="10">
        <v>3357</v>
      </c>
      <c r="D3418" s="2" t="str">
        <f t="shared" si="52"/>
        <v>OK</v>
      </c>
    </row>
    <row r="3419" spans="1:4" x14ac:dyDescent="0.2">
      <c r="A3419" s="5">
        <v>3358</v>
      </c>
      <c r="B3419" s="138">
        <f>'Assets-Liab 5-6'!F4</f>
        <v>157755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48863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238537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9544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130501</v>
      </c>
      <c r="C3446" s="2" t="s">
        <v>594</v>
      </c>
      <c r="D3446" s="2" t="str">
        <f t="shared" si="52"/>
        <v>Error?</v>
      </c>
    </row>
    <row r="3447" spans="1:4" x14ac:dyDescent="0.2">
      <c r="A3447" s="5">
        <v>3386</v>
      </c>
      <c r="B3447" s="138">
        <f>'Tax Sched 23'!D16</f>
        <v>130501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139998</v>
      </c>
      <c r="C3449" s="2" t="s">
        <v>594</v>
      </c>
      <c r="D3449" s="2" t="str">
        <f t="shared" si="52"/>
        <v>Error?</v>
      </c>
    </row>
    <row r="3450" spans="1:4" x14ac:dyDescent="0.2">
      <c r="A3450" s="5">
        <v>3389</v>
      </c>
      <c r="B3450" s="138">
        <f>'Tax Sched 23'!E16</f>
        <v>139998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254391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254391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254391</v>
      </c>
      <c r="D3567" s="2" t="str">
        <f t="shared" si="54"/>
        <v>Error?</v>
      </c>
    </row>
    <row r="3568" spans="1:4" x14ac:dyDescent="0.2">
      <c r="A3568" s="5">
        <v>3507</v>
      </c>
      <c r="B3568" s="138">
        <f>'Assets-Liab 5-6'!K41</f>
        <v>254391</v>
      </c>
      <c r="C3568" s="2" t="s">
        <v>594</v>
      </c>
      <c r="D3568" s="2" t="str">
        <f t="shared" si="54"/>
        <v>Error?</v>
      </c>
    </row>
    <row r="3569" spans="1:4" x14ac:dyDescent="0.2">
      <c r="A3569" s="5">
        <v>3508</v>
      </c>
      <c r="B3569" s="138">
        <f>'Acct Summary 7-8'!K4</f>
        <v>30033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30033</v>
      </c>
      <c r="C3571" s="2" t="s">
        <v>594</v>
      </c>
      <c r="D3571" s="2" t="str">
        <f t="shared" si="54"/>
        <v>Error?</v>
      </c>
    </row>
    <row r="3572" spans="1:4" x14ac:dyDescent="0.2">
      <c r="A3572" s="5">
        <v>3511</v>
      </c>
      <c r="B3572" s="138">
        <f>'Acct Summary 7-8'!K13</f>
        <v>37992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37992</v>
      </c>
      <c r="C3575" s="2" t="s">
        <v>594</v>
      </c>
      <c r="D3575" s="2" t="str">
        <f t="shared" si="54"/>
        <v>Error?</v>
      </c>
    </row>
    <row r="3576" spans="1:4" x14ac:dyDescent="0.2">
      <c r="A3576" s="5">
        <v>3515</v>
      </c>
      <c r="B3576" s="138">
        <f>'Acct Summary 7-8'!K20</f>
        <v>-7959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-7959</v>
      </c>
      <c r="C3588" s="2" t="s">
        <v>594</v>
      </c>
      <c r="D3588" s="2" t="str">
        <f t="shared" si="55"/>
        <v>Error?</v>
      </c>
    </row>
    <row r="3589" spans="1:4" x14ac:dyDescent="0.2">
      <c r="A3589" s="5">
        <v>3528</v>
      </c>
      <c r="B3589" s="138">
        <f>'Acct Summary 7-8'!K79</f>
        <v>262350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254391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940</v>
      </c>
      <c r="D3632" s="2" t="str">
        <f t="shared" si="55"/>
        <v>Error?</v>
      </c>
    </row>
    <row r="3633" spans="1:4" x14ac:dyDescent="0.2">
      <c r="A3633" s="5">
        <v>3572</v>
      </c>
      <c r="B3633" s="138">
        <f>'Expenditures 15-22'!E350</f>
        <v>940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940</v>
      </c>
      <c r="C3635" s="2" t="s">
        <v>594</v>
      </c>
      <c r="D3635" s="2" t="str">
        <f t="shared" si="55"/>
        <v>Error?</v>
      </c>
    </row>
    <row r="3636" spans="1:4" x14ac:dyDescent="0.2">
      <c r="A3636" s="5">
        <v>3575</v>
      </c>
      <c r="B3636" s="138">
        <f>'Expenditures 15-22'!E367</f>
        <v>940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37052</v>
      </c>
      <c r="D3646" s="2" t="str">
        <f t="shared" si="55"/>
        <v>Error?</v>
      </c>
    </row>
    <row r="3647" spans="1:4" x14ac:dyDescent="0.2">
      <c r="A3647" s="5">
        <v>3586</v>
      </c>
      <c r="B3647" s="138">
        <f>'Expenditures 15-22'!G350</f>
        <v>37052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37052</v>
      </c>
      <c r="C3649" s="2" t="s">
        <v>594</v>
      </c>
      <c r="D3649" s="2" t="str">
        <f t="shared" si="56"/>
        <v>Error?</v>
      </c>
    </row>
    <row r="3650" spans="1:4" x14ac:dyDescent="0.2">
      <c r="A3650" s="5">
        <v>3589</v>
      </c>
      <c r="B3650" s="138">
        <f>'Expenditures 15-22'!G367</f>
        <v>37052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37992</v>
      </c>
      <c r="C3669" s="2" t="s">
        <v>594</v>
      </c>
      <c r="D3669" s="2" t="str">
        <f t="shared" si="56"/>
        <v>Error?</v>
      </c>
    </row>
    <row r="3670" spans="1:4" x14ac:dyDescent="0.2">
      <c r="A3670" s="5">
        <v>3609</v>
      </c>
      <c r="B3670" s="138">
        <f>'Expenditures 15-22'!K350</f>
        <v>37992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37992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37992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-7959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29071</v>
      </c>
      <c r="C3725" s="2" t="s">
        <v>594</v>
      </c>
      <c r="D3725" s="2" t="str">
        <f t="shared" si="57"/>
        <v>Error?</v>
      </c>
    </row>
    <row r="3726" spans="1:4" x14ac:dyDescent="0.2">
      <c r="A3726" s="5">
        <v>3665</v>
      </c>
      <c r="B3726" s="138">
        <f>'Tax Sched 23'!D13</f>
        <v>29071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29037</v>
      </c>
      <c r="C3728" s="2" t="s">
        <v>594</v>
      </c>
      <c r="D3728" s="2" t="str">
        <f t="shared" si="57"/>
        <v>Error?</v>
      </c>
    </row>
    <row r="3729" spans="1:4" x14ac:dyDescent="0.2">
      <c r="A3729" s="5">
        <v>3668</v>
      </c>
      <c r="B3729" s="138">
        <f>'Tax Sched 23'!E13</f>
        <v>29037</v>
      </c>
      <c r="D3729" s="2" t="str">
        <f t="shared" si="57"/>
        <v>Error?</v>
      </c>
    </row>
    <row r="3730" spans="1:4" x14ac:dyDescent="0.2">
      <c r="A3730" s="5">
        <v>3669</v>
      </c>
      <c r="B3730" s="138">
        <f>'ICR Computation 30'!E10</f>
        <v>3828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350705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5565686</v>
      </c>
      <c r="C4122" s="2" t="s">
        <v>594</v>
      </c>
      <c r="D4122" s="2" t="str">
        <f t="shared" si="63"/>
        <v>Error?</v>
      </c>
    </row>
    <row r="4123" spans="1:4" x14ac:dyDescent="0.2">
      <c r="A4123" s="5">
        <v>4062</v>
      </c>
      <c r="B4123" s="138">
        <f>'Acct Summary 7-8'!D10</f>
        <v>263110</v>
      </c>
      <c r="C4123" s="2" t="s">
        <v>594</v>
      </c>
      <c r="D4123" s="2" t="str">
        <f t="shared" si="63"/>
        <v>Error?</v>
      </c>
    </row>
    <row r="4124" spans="1:4" x14ac:dyDescent="0.2">
      <c r="A4124" s="5">
        <v>4063</v>
      </c>
      <c r="B4124" s="138">
        <f>'Acct Summary 7-8'!E10</f>
        <v>342292</v>
      </c>
      <c r="C4124" s="2" t="s">
        <v>594</v>
      </c>
      <c r="D4124" s="2" t="str">
        <f t="shared" si="63"/>
        <v>Error?</v>
      </c>
    </row>
    <row r="4125" spans="1:4" x14ac:dyDescent="0.2">
      <c r="A4125" s="5">
        <v>4064</v>
      </c>
      <c r="B4125" s="138">
        <f>'Acct Summary 7-8'!F10</f>
        <v>222353</v>
      </c>
      <c r="C4125" s="2" t="s">
        <v>594</v>
      </c>
      <c r="D4125" s="2" t="str">
        <f t="shared" si="63"/>
        <v>Error?</v>
      </c>
    </row>
    <row r="4126" spans="1:4" x14ac:dyDescent="0.2">
      <c r="A4126" s="5">
        <v>4065</v>
      </c>
      <c r="B4126" s="138">
        <f>'Acct Summary 7-8'!G10</f>
        <v>255310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29901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30033</v>
      </c>
      <c r="C4130" s="2" t="s">
        <v>594</v>
      </c>
      <c r="D4130" s="2" t="str">
        <f t="shared" si="63"/>
        <v>Error?</v>
      </c>
    </row>
    <row r="4131" spans="1:4" x14ac:dyDescent="0.2">
      <c r="A4131" s="5">
        <v>4070</v>
      </c>
      <c r="B4131" s="138">
        <f>'Acct Summary 7-8'!C18</f>
        <v>350705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5554449</v>
      </c>
      <c r="C4136" s="2" t="s">
        <v>594</v>
      </c>
      <c r="D4136" s="2" t="str">
        <f t="shared" si="63"/>
        <v>Error?</v>
      </c>
    </row>
    <row r="4137" spans="1:4" x14ac:dyDescent="0.2">
      <c r="A4137" s="5">
        <v>4076</v>
      </c>
      <c r="B4137" s="138">
        <f>'Acct Summary 7-8'!D19</f>
        <v>246769</v>
      </c>
      <c r="C4137" s="2" t="s">
        <v>594</v>
      </c>
      <c r="D4137" s="2" t="str">
        <f t="shared" si="63"/>
        <v>Error?</v>
      </c>
    </row>
    <row r="4138" spans="1:4" x14ac:dyDescent="0.2">
      <c r="A4138" s="5">
        <v>4077</v>
      </c>
      <c r="B4138" s="138">
        <f>'Acct Summary 7-8'!E19</f>
        <v>340313</v>
      </c>
      <c r="C4138" s="2" t="s">
        <v>594</v>
      </c>
      <c r="D4138" s="2" t="str">
        <f t="shared" si="63"/>
        <v>Error?</v>
      </c>
    </row>
    <row r="4139" spans="1:4" x14ac:dyDescent="0.2">
      <c r="A4139" s="5">
        <v>4078</v>
      </c>
      <c r="B4139" s="138">
        <f>'Acct Summary 7-8'!F19</f>
        <v>275408</v>
      </c>
      <c r="C4139" s="2" t="s">
        <v>594</v>
      </c>
      <c r="D4139" s="2" t="str">
        <f t="shared" si="63"/>
        <v>Error?</v>
      </c>
    </row>
    <row r="4140" spans="1:4" x14ac:dyDescent="0.2">
      <c r="A4140" s="5">
        <v>4079</v>
      </c>
      <c r="B4140" s="138">
        <f>'Acct Summary 7-8'!G19</f>
        <v>230604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37992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2754606</v>
      </c>
      <c r="C4171" s="2" t="s">
        <v>594</v>
      </c>
      <c r="D4171" s="2" t="str">
        <f t="shared" si="64"/>
        <v>Error?</v>
      </c>
    </row>
    <row r="4172" spans="1:4" x14ac:dyDescent="0.2">
      <c r="A4172" s="5">
        <v>4111</v>
      </c>
      <c r="B4172" s="138">
        <f>'Short-Term Long-Term Debt 24'!J49</f>
        <v>2714608</v>
      </c>
      <c r="C4172" s="2" t="s">
        <v>594</v>
      </c>
      <c r="D4172" s="2" t="str">
        <f t="shared" si="64"/>
        <v>Error?</v>
      </c>
    </row>
    <row r="4173" spans="1:4" x14ac:dyDescent="0.2">
      <c r="A4173" s="5">
        <v>4112</v>
      </c>
      <c r="B4173" s="138">
        <f>'Short-Term Long-Term Debt 24'!H49</f>
        <v>253164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41663</v>
      </c>
      <c r="D4210" s="2" t="str">
        <f t="shared" si="64"/>
        <v>Error?</v>
      </c>
    </row>
    <row r="4211" spans="1:4" x14ac:dyDescent="0.2">
      <c r="A4211" s="5">
        <v>4150</v>
      </c>
      <c r="B4211" s="138">
        <f>'Expenditures 15-22'!K206</f>
        <v>41663</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4687416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4103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102231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1121</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1121</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45705</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45705</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58074311</v>
      </c>
      <c r="D4995" s="2" t="str">
        <f t="shared" si="77"/>
        <v>Error?</v>
      </c>
    </row>
    <row r="4996" spans="1:4" x14ac:dyDescent="0.2">
      <c r="A4996" s="12">
        <v>4935</v>
      </c>
      <c r="B4996" s="138">
        <f>'FP Info 3'!H31</f>
        <v>4007127.4590000003</v>
      </c>
      <c r="D4996" s="2" t="str">
        <f t="shared" si="77"/>
        <v>Error?</v>
      </c>
    </row>
    <row r="4997" spans="1:4" x14ac:dyDescent="0.2">
      <c r="A4997" s="12">
        <v>4936</v>
      </c>
      <c r="B4997" s="138">
        <f>'FP Info 3'!H37</f>
        <v>2754606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29071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534911</v>
      </c>
      <c r="D5061" s="2" t="str">
        <f t="shared" si="78"/>
        <v>Error?</v>
      </c>
    </row>
    <row r="5062" spans="1:4" x14ac:dyDescent="0.2">
      <c r="A5062" s="10">
        <v>5001</v>
      </c>
      <c r="D5062" s="2" t="str">
        <f t="shared" si="78"/>
        <v>OK</v>
      </c>
    </row>
    <row r="5063" spans="1:4" x14ac:dyDescent="0.2">
      <c r="A5063" s="5">
        <v>5002</v>
      </c>
      <c r="B5063" s="138">
        <f>'Revenues 9-14'!C7</f>
        <v>11629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575611</v>
      </c>
      <c r="C5066" s="2" t="s">
        <v>594</v>
      </c>
      <c r="D5066" s="2" t="str">
        <f t="shared" si="78"/>
        <v>Error?</v>
      </c>
    </row>
    <row r="5067" spans="1:4" x14ac:dyDescent="0.2">
      <c r="A5067" s="5">
        <v>5006</v>
      </c>
      <c r="B5067" s="138">
        <f>'Revenues 9-14'!C14</f>
        <v>3349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62713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66062</v>
      </c>
      <c r="C5071" s="2" t="s">
        <v>594</v>
      </c>
      <c r="D5071" s="2" t="str">
        <f t="shared" si="78"/>
        <v>Error?</v>
      </c>
    </row>
    <row r="5072" spans="1:4" x14ac:dyDescent="0.2">
      <c r="A5072" s="5">
        <v>5011</v>
      </c>
      <c r="B5072" s="138">
        <f>'Revenues 9-14'!C20</f>
        <v>8067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72150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80217</v>
      </c>
      <c r="C5087" s="2" t="s">
        <v>594</v>
      </c>
      <c r="D5087" s="2" t="str">
        <f t="shared" si="78"/>
        <v>Error?</v>
      </c>
    </row>
    <row r="5088" spans="1:4" x14ac:dyDescent="0.2">
      <c r="A5088" s="5">
        <v>5027</v>
      </c>
      <c r="B5088" s="138">
        <f>'Revenues 9-14'!C65</f>
        <v>13009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13009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9715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66295</v>
      </c>
      <c r="C5096" s="2" t="s">
        <v>594</v>
      </c>
      <c r="D5096" s="2" t="str">
        <f t="shared" si="78"/>
        <v>Error?</v>
      </c>
    </row>
    <row r="5097" spans="1:4" x14ac:dyDescent="0.2">
      <c r="A5097" s="5">
        <v>5036</v>
      </c>
      <c r="B5097" s="138">
        <f>'Revenues 9-14'!C77</f>
        <v>9094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11059</v>
      </c>
      <c r="C5102" s="2" t="s">
        <v>594</v>
      </c>
      <c r="D5102" s="2" t="str">
        <f t="shared" si="78"/>
        <v>Error?</v>
      </c>
    </row>
    <row r="5103" spans="1:4" x14ac:dyDescent="0.2">
      <c r="A5103" s="5">
        <v>5042</v>
      </c>
      <c r="B5103" s="138">
        <f>'Revenues 9-14'!C84</f>
        <v>9600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3780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13380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1100</v>
      </c>
      <c r="D5114" s="2" t="str">
        <f t="shared" si="78"/>
        <v>Error?</v>
      </c>
    </row>
    <row r="5115" spans="1:4" x14ac:dyDescent="0.2">
      <c r="A5115" s="5">
        <v>5054</v>
      </c>
      <c r="B5115" s="138">
        <f>'Revenues 9-14'!C98</f>
        <v>938</v>
      </c>
      <c r="D5115" s="2" t="str">
        <f t="shared" si="78"/>
        <v>Error?</v>
      </c>
    </row>
    <row r="5116" spans="1:4" x14ac:dyDescent="0.2">
      <c r="A5116" s="5">
        <v>5055</v>
      </c>
      <c r="B5116" s="138">
        <f>'Revenues 9-14'!C99</f>
        <v>24471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1990</v>
      </c>
      <c r="D5118" s="2" t="str">
        <f t="shared" si="78"/>
        <v>Error?</v>
      </c>
    </row>
    <row r="5119" spans="1:4" x14ac:dyDescent="0.2">
      <c r="A5119" s="5">
        <v>5058</v>
      </c>
      <c r="B5119" s="138">
        <f>'Revenues 9-14'!C107</f>
        <v>441</v>
      </c>
      <c r="D5119" s="2" t="str">
        <f t="shared" ref="D5119:D5182" si="79">IF(ISBLANK(B5119),"OK",IF(A5119-B5119=0,"OK","Error?"))</f>
        <v>Error?</v>
      </c>
    </row>
    <row r="5120" spans="1:4" x14ac:dyDescent="0.2">
      <c r="A5120" s="5">
        <v>5059</v>
      </c>
      <c r="B5120" s="138">
        <f>'Revenues 9-14'!C108</f>
        <v>28940</v>
      </c>
      <c r="C5120" s="2" t="s">
        <v>594</v>
      </c>
      <c r="D5120" s="2" t="str">
        <f t="shared" si="79"/>
        <v>Error?</v>
      </c>
    </row>
    <row r="5121" spans="1:4" x14ac:dyDescent="0.2">
      <c r="A5121" s="5">
        <v>5060</v>
      </c>
      <c r="B5121" s="138">
        <f>'Revenues 9-14'!C109</f>
        <v>854573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3206002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3206002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43369</v>
      </c>
      <c r="D5134" s="2" t="str">
        <f t="shared" si="79"/>
        <v>Error?</v>
      </c>
    </row>
    <row r="5135" spans="1:4" x14ac:dyDescent="0.2">
      <c r="A5135" s="5">
        <v>5074</v>
      </c>
      <c r="B5135" s="138">
        <f>'Revenues 9-14'!C126</f>
        <v>68138</v>
      </c>
      <c r="D5135" s="2" t="str">
        <f t="shared" si="79"/>
        <v>Error?</v>
      </c>
    </row>
    <row r="5136" spans="1:4" x14ac:dyDescent="0.2">
      <c r="A5136" s="10">
        <v>5075</v>
      </c>
      <c r="D5136" s="2" t="str">
        <f t="shared" si="79"/>
        <v>OK</v>
      </c>
    </row>
    <row r="5137" spans="1:4" x14ac:dyDescent="0.2">
      <c r="A5137" s="5">
        <v>5076</v>
      </c>
      <c r="B5137" s="138">
        <f>'Revenues 9-14'!C127</f>
        <v>20111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131618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4003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472833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609954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3815956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177187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230523</v>
      </c>
      <c r="C5246" s="2" t="s">
        <v>594</v>
      </c>
      <c r="D5246" s="2" t="str">
        <f t="shared" si="80"/>
        <v>Error?</v>
      </c>
    </row>
    <row r="5247" spans="1:4" x14ac:dyDescent="0.2">
      <c r="A5247" s="5">
        <v>5186</v>
      </c>
      <c r="B5247" s="138">
        <f>'Revenues 9-14'!C203</f>
        <v>192722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192722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383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13369</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544452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544452</v>
      </c>
      <c r="C5326" s="2" t="s">
        <v>594</v>
      </c>
      <c r="D5326" s="2" t="str">
        <f t="shared" si="82"/>
        <v>Error?</v>
      </c>
    </row>
    <row r="5327" spans="1:4" x14ac:dyDescent="0.2">
      <c r="A5327" s="5">
        <v>5266</v>
      </c>
      <c r="B5327" s="138">
        <f>'Revenues 9-14'!C275</f>
        <v>5214981</v>
      </c>
      <c r="C5327" s="2" t="s">
        <v>594</v>
      </c>
      <c r="D5327" s="2" t="str">
        <f t="shared" si="82"/>
        <v>Error?</v>
      </c>
    </row>
    <row r="5328" spans="1:4" x14ac:dyDescent="0.2">
      <c r="A5328" s="5">
        <v>5267</v>
      </c>
      <c r="B5328" s="138">
        <f>'Revenues 9-14'!D5</f>
        <v>145356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145356</v>
      </c>
      <c r="C5334" s="2" t="s">
        <v>594</v>
      </c>
      <c r="D5334" s="2" t="str">
        <f t="shared" si="82"/>
        <v>Error?</v>
      </c>
    </row>
    <row r="5335" spans="1:4" x14ac:dyDescent="0.2">
      <c r="A5335" s="5">
        <v>5274</v>
      </c>
      <c r="B5335" s="138">
        <f>'Revenues 9-14'!D14</f>
        <v>846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846</v>
      </c>
      <c r="C5339" s="2" t="s">
        <v>594</v>
      </c>
      <c r="D5339" s="2" t="str">
        <f t="shared" si="82"/>
        <v>Error?</v>
      </c>
    </row>
    <row r="5340" spans="1:4" x14ac:dyDescent="0.2">
      <c r="A5340" s="5">
        <v>5279</v>
      </c>
      <c r="B5340" s="138">
        <f>'Revenues 9-14'!D65</f>
        <v>2023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2023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3620</v>
      </c>
      <c r="D5349" s="2" t="str">
        <f t="shared" si="82"/>
        <v>Error?</v>
      </c>
    </row>
    <row r="5350" spans="1:4" x14ac:dyDescent="0.2">
      <c r="A5350" s="5">
        <v>5289</v>
      </c>
      <c r="B5350" s="138">
        <f>'Revenues 9-14'!D96</f>
        <v>500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765</v>
      </c>
      <c r="D5354" s="2" t="str">
        <f t="shared" si="82"/>
        <v>Error?</v>
      </c>
    </row>
    <row r="5355" spans="1:4" x14ac:dyDescent="0.2">
      <c r="A5355" s="5">
        <v>5294</v>
      </c>
      <c r="B5355" s="138">
        <f>'Revenues 9-14'!D108</f>
        <v>4885</v>
      </c>
      <c r="C5355" s="2" t="s">
        <v>594</v>
      </c>
      <c r="D5355" s="2" t="str">
        <f t="shared" si="82"/>
        <v>Error?</v>
      </c>
    </row>
    <row r="5356" spans="1:4" x14ac:dyDescent="0.2">
      <c r="A5356" s="5">
        <v>5295</v>
      </c>
      <c r="B5356" s="138">
        <f>'Revenues 9-14'!D109</f>
        <v>153110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110000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110000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263110</v>
      </c>
      <c r="C5508" s="2" t="s">
        <v>594</v>
      </c>
      <c r="D5508" s="2" t="str">
        <f t="shared" si="85"/>
        <v>Error?</v>
      </c>
    </row>
    <row r="5509" spans="1:4" x14ac:dyDescent="0.2">
      <c r="A5509" s="5">
        <v>5448</v>
      </c>
      <c r="B5509" s="138">
        <f>'Revenues 9-14'!E5</f>
        <v>294527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294527</v>
      </c>
      <c r="C5513" s="2" t="s">
        <v>594</v>
      </c>
      <c r="D5513" s="2" t="str">
        <f t="shared" si="85"/>
        <v>Error?</v>
      </c>
    </row>
    <row r="5514" spans="1:4" x14ac:dyDescent="0.2">
      <c r="A5514" s="5">
        <v>5453</v>
      </c>
      <c r="B5514" s="138">
        <f>'Revenues 9-14'!E14</f>
        <v>1713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1713</v>
      </c>
      <c r="C5518" s="2" t="s">
        <v>594</v>
      </c>
      <c r="D5518" s="2" t="str">
        <f t="shared" si="85"/>
        <v>Error?</v>
      </c>
    </row>
    <row r="5519" spans="1:4" x14ac:dyDescent="0.2">
      <c r="A5519" s="5">
        <v>5458</v>
      </c>
      <c r="B5519" s="138">
        <f>'Revenues 9-14'!E65</f>
        <v>347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296587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342292</v>
      </c>
      <c r="C5552" s="2" t="s">
        <v>594</v>
      </c>
      <c r="D5552" s="2" t="str">
        <f t="shared" si="85"/>
        <v>Error?</v>
      </c>
    </row>
    <row r="5553" spans="1:4" x14ac:dyDescent="0.2">
      <c r="A5553" s="5">
        <v>5492</v>
      </c>
      <c r="B5553" s="138">
        <f>'Revenues 9-14'!F5</f>
        <v>69771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69771</v>
      </c>
      <c r="C5557" s="2" t="s">
        <v>594</v>
      </c>
      <c r="D5557" s="2" t="str">
        <f t="shared" si="85"/>
        <v>Error?</v>
      </c>
    </row>
    <row r="5558" spans="1:4" x14ac:dyDescent="0.2">
      <c r="A5558" s="5">
        <v>5497</v>
      </c>
      <c r="B5558" s="138">
        <f>'Revenues 9-14'!F14</f>
        <v>406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406</v>
      </c>
      <c r="C5562" s="2" t="s">
        <v>594</v>
      </c>
      <c r="D5562" s="2" t="str">
        <f t="shared" si="85"/>
        <v>Error?</v>
      </c>
    </row>
    <row r="5563" spans="1:4" x14ac:dyDescent="0.2">
      <c r="A5563" s="5">
        <v>5502</v>
      </c>
      <c r="B5563" s="138">
        <f>'Revenues 9-14'!F42</f>
        <v>960</v>
      </c>
      <c r="D5563" s="2" t="str">
        <f t="shared" si="85"/>
        <v>Error?</v>
      </c>
    </row>
    <row r="5564" spans="1:4" x14ac:dyDescent="0.2">
      <c r="A5564" s="5">
        <v>5503</v>
      </c>
      <c r="B5564" s="138">
        <f>'Revenues 9-14'!F43</f>
        <v>1300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2260</v>
      </c>
      <c r="C5579" s="2" t="s">
        <v>594</v>
      </c>
      <c r="D5579" s="2" t="str">
        <f t="shared" si="86"/>
        <v>Error?</v>
      </c>
    </row>
    <row r="5580" spans="1:4" x14ac:dyDescent="0.2">
      <c r="A5580" s="5">
        <v>5519</v>
      </c>
      <c r="B5580" s="138">
        <f>'Revenues 9-14'!F65</f>
        <v>486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486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2849</v>
      </c>
      <c r="D5586" s="2" t="str">
        <f t="shared" si="86"/>
        <v>Error?</v>
      </c>
    </row>
    <row r="5587" spans="1:4" x14ac:dyDescent="0.2">
      <c r="A5587" s="5">
        <v>5526</v>
      </c>
      <c r="B5587" s="138">
        <f>'Revenues 9-14'!F108</f>
        <v>2849</v>
      </c>
      <c r="C5587" s="2" t="s">
        <v>594</v>
      </c>
      <c r="D5587" s="2" t="str">
        <f t="shared" si="86"/>
        <v>Error?</v>
      </c>
    </row>
    <row r="5588" spans="1:4" x14ac:dyDescent="0.2">
      <c r="A5588" s="5">
        <v>5527</v>
      </c>
      <c r="B5588" s="138">
        <f>'Revenues 9-14'!F109</f>
        <v>75772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56164</v>
      </c>
      <c r="D5615" s="2" t="str">
        <f t="shared" si="86"/>
        <v>Error?</v>
      </c>
    </row>
    <row r="5616" spans="1:4" x14ac:dyDescent="0.2">
      <c r="A5616" s="10">
        <v>5555</v>
      </c>
      <c r="D5616" s="2" t="str">
        <f t="shared" si="86"/>
        <v>OK</v>
      </c>
    </row>
    <row r="5617" spans="1:4" x14ac:dyDescent="0.2">
      <c r="A5617" s="5">
        <v>5556</v>
      </c>
      <c r="B5617" s="138">
        <f>'Revenues 9-14'!F152</f>
        <v>82587</v>
      </c>
      <c r="D5617" s="2" t="str">
        <f t="shared" si="86"/>
        <v>Error?</v>
      </c>
    </row>
    <row r="5618" spans="1:4" x14ac:dyDescent="0.2">
      <c r="A5618" s="5">
        <v>5557</v>
      </c>
      <c r="B5618" s="138">
        <f>'Revenues 9-14'!F154</f>
        <v>138751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7830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146581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146581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222353</v>
      </c>
      <c r="C5720" s="2" t="s">
        <v>594</v>
      </c>
      <c r="D5720" s="2" t="str">
        <f t="shared" si="88"/>
        <v>Error?</v>
      </c>
    </row>
    <row r="5721" spans="1:4" x14ac:dyDescent="0.2">
      <c r="A5721" s="5">
        <v>5660</v>
      </c>
      <c r="B5721" s="138">
        <f>'Revenues 9-14'!G5</f>
        <v>120460</v>
      </c>
      <c r="D5721" s="2" t="str">
        <f t="shared" si="88"/>
        <v>Error?</v>
      </c>
    </row>
    <row r="5722" spans="1:4" x14ac:dyDescent="0.2">
      <c r="A5722" s="5">
        <v>5661</v>
      </c>
      <c r="B5722" s="138">
        <f>'Revenues 9-14'!G7</f>
        <v>0</v>
      </c>
      <c r="D5722" s="2" t="str">
        <f t="shared" si="88"/>
        <v>Error?</v>
      </c>
    </row>
    <row r="5723" spans="1:4" x14ac:dyDescent="0.2">
      <c r="A5723" s="5">
        <v>5662</v>
      </c>
      <c r="B5723" s="138">
        <f>'Revenues 9-14'!G8</f>
        <v>130501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250961</v>
      </c>
      <c r="C5725" s="2" t="s">
        <v>594</v>
      </c>
      <c r="D5725" s="2" t="str">
        <f t="shared" si="88"/>
        <v>Error?</v>
      </c>
    </row>
    <row r="5726" spans="1:4" x14ac:dyDescent="0.2">
      <c r="A5726" s="5">
        <v>5665</v>
      </c>
      <c r="B5726" s="138">
        <f>'Revenues 9-14'!G14</f>
        <v>1460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2573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4033</v>
      </c>
      <c r="C5730" s="2" t="s">
        <v>594</v>
      </c>
      <c r="D5730" s="2" t="str">
        <f t="shared" si="88"/>
        <v>Error?</v>
      </c>
    </row>
    <row r="5731" spans="1:4" x14ac:dyDescent="0.2">
      <c r="A5731" s="5">
        <v>5670</v>
      </c>
      <c r="B5731" s="138">
        <f>'Revenues 9-14'!G65</f>
        <v>316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255310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29071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29071</v>
      </c>
      <c r="C5918" s="2" t="s">
        <v>594</v>
      </c>
      <c r="D5918" s="2" t="str">
        <f t="shared" si="91"/>
        <v>Error?</v>
      </c>
    </row>
    <row r="5919" spans="1:4" x14ac:dyDescent="0.2">
      <c r="A5919" s="5">
        <v>5858</v>
      </c>
      <c r="B5919" s="138">
        <f>'Revenues 9-14'!I14</f>
        <v>169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169</v>
      </c>
      <c r="C5923" s="2" t="s">
        <v>594</v>
      </c>
      <c r="D5923" s="2" t="str">
        <f t="shared" si="91"/>
        <v>Error?</v>
      </c>
    </row>
    <row r="5924" spans="1:4" x14ac:dyDescent="0.2">
      <c r="A5924" s="5">
        <v>5863</v>
      </c>
      <c r="B5924" s="138">
        <f>'Revenues 9-14'!I65</f>
        <v>661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661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29901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29071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29071</v>
      </c>
      <c r="C5987" s="2" t="s">
        <v>594</v>
      </c>
      <c r="D5987" s="2" t="str">
        <f t="shared" si="92"/>
        <v>Error?</v>
      </c>
    </row>
    <row r="5988" spans="1:4" x14ac:dyDescent="0.2">
      <c r="A5988" s="5">
        <v>5927</v>
      </c>
      <c r="B5988" s="138">
        <f>'Revenues 9-14'!K14</f>
        <v>169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169</v>
      </c>
      <c r="C5992" s="2" t="s">
        <v>594</v>
      </c>
      <c r="D5992" s="2" t="str">
        <f t="shared" si="92"/>
        <v>Error?</v>
      </c>
    </row>
    <row r="5993" spans="1:4" x14ac:dyDescent="0.2">
      <c r="A5993" s="5">
        <v>5932</v>
      </c>
      <c r="B5993" s="138">
        <f>'Revenues 9-14'!K65</f>
        <v>793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793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30033</v>
      </c>
      <c r="C6023" s="2" t="s">
        <v>594</v>
      </c>
      <c r="D6023" s="2" t="str">
        <f t="shared" si="93"/>
        <v>Error?</v>
      </c>
    </row>
    <row r="6024" spans="1:5" x14ac:dyDescent="0.2">
      <c r="A6024" s="5">
        <v>5963</v>
      </c>
      <c r="B6024" s="138">
        <f>'Revenues 9-14'!G109</f>
        <v>255310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29901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30033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56045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25401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604.76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240011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240011</v>
      </c>
      <c r="D6215" s="2" t="str">
        <f t="shared" si="96"/>
        <v>Error?</v>
      </c>
      <c r="E6215" s="2" t="s">
        <v>199</v>
      </c>
    </row>
    <row r="6216" spans="1:5" x14ac:dyDescent="0.2">
      <c r="A6216">
        <v>6155</v>
      </c>
      <c r="B6216" s="138">
        <f>'Assets-Liab 5-6'!J41</f>
        <v>240011</v>
      </c>
      <c r="D6216" s="2" t="str">
        <f t="shared" si="96"/>
        <v>Error?</v>
      </c>
      <c r="E6216" s="2" t="s">
        <v>199</v>
      </c>
    </row>
    <row r="6217" spans="1:5" x14ac:dyDescent="0.2">
      <c r="A6217">
        <v>6156</v>
      </c>
      <c r="B6217" s="138">
        <f>'Assets-Liab 5-6'!J4</f>
        <v>240011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303804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303804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303804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238981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238981</v>
      </c>
      <c r="D6229" s="2" t="str">
        <f t="shared" si="96"/>
        <v>Error?</v>
      </c>
      <c r="E6229" s="2" t="s">
        <v>199</v>
      </c>
    </row>
    <row r="6230" spans="1:5" x14ac:dyDescent="0.2">
      <c r="A6230">
        <v>6169</v>
      </c>
      <c r="B6230" s="138">
        <f>'Acct Summary 7-8'!J20</f>
        <v>64823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64823</v>
      </c>
      <c r="D6263" s="2" t="str">
        <f t="shared" si="96"/>
        <v>Error?</v>
      </c>
      <c r="E6263" s="2" t="s">
        <v>199</v>
      </c>
    </row>
    <row r="6264" spans="1:5" x14ac:dyDescent="0.2">
      <c r="A6264">
        <v>6203</v>
      </c>
      <c r="B6264" s="138">
        <f>'Acct Summary 7-8'!J79</f>
        <v>175188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240011</v>
      </c>
      <c r="D6266" s="2" t="str">
        <f t="shared" si="96"/>
        <v>Error?</v>
      </c>
      <c r="E6266" s="2" t="s">
        <v>199</v>
      </c>
    </row>
    <row r="6267" spans="1:5" x14ac:dyDescent="0.2">
      <c r="A6267">
        <v>6206</v>
      </c>
      <c r="B6267" s="138">
        <f>'Acct Summary 7-8'!C82</f>
        <v>11584</v>
      </c>
      <c r="D6267" s="2" t="str">
        <f t="shared" si="96"/>
        <v>Error?</v>
      </c>
      <c r="E6267" s="2" t="s">
        <v>199</v>
      </c>
    </row>
    <row r="6268" spans="1:5" x14ac:dyDescent="0.2">
      <c r="A6268">
        <v>6207</v>
      </c>
      <c r="B6268" s="138">
        <f>'Acct Summary 7-8'!D82</f>
        <v>16341</v>
      </c>
      <c r="D6268" s="2" t="str">
        <f t="shared" si="96"/>
        <v>Error?</v>
      </c>
      <c r="E6268" s="2" t="s">
        <v>199</v>
      </c>
    </row>
    <row r="6269" spans="1:5" x14ac:dyDescent="0.2">
      <c r="A6269">
        <v>6208</v>
      </c>
      <c r="B6269" s="138">
        <f>'Acct Summary 7-8'!E82</f>
        <v>1632</v>
      </c>
      <c r="D6269" s="2" t="str">
        <f t="shared" si="96"/>
        <v>Error?</v>
      </c>
      <c r="E6269" s="2" t="s">
        <v>199</v>
      </c>
    </row>
    <row r="6270" spans="1:5" x14ac:dyDescent="0.2">
      <c r="A6270">
        <v>6209</v>
      </c>
      <c r="B6270" s="138">
        <f>'Acct Summary 7-8'!F82</f>
        <v>46945</v>
      </c>
      <c r="D6270" s="2" t="str">
        <f t="shared" si="96"/>
        <v>Error?</v>
      </c>
      <c r="E6270" s="2" t="s">
        <v>199</v>
      </c>
    </row>
    <row r="6271" spans="1:5" x14ac:dyDescent="0.2">
      <c r="A6271">
        <v>6210</v>
      </c>
      <c r="B6271" s="138">
        <f>'Acct Summary 7-8'!G82</f>
        <v>24706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-70099</v>
      </c>
      <c r="D6273" s="2" t="str">
        <f t="shared" si="97"/>
        <v>Error?</v>
      </c>
      <c r="E6273" s="2" t="s">
        <v>199</v>
      </c>
    </row>
    <row r="6274" spans="1:5" x14ac:dyDescent="0.2">
      <c r="A6274">
        <v>6213</v>
      </c>
      <c r="B6274" s="138">
        <f>'Acct Summary 7-8'!J82</f>
        <v>64823</v>
      </c>
      <c r="D6274" s="2" t="str">
        <f t="shared" si="97"/>
        <v>Error?</v>
      </c>
      <c r="E6274" s="2" t="s">
        <v>199</v>
      </c>
    </row>
    <row r="6275" spans="1:5" x14ac:dyDescent="0.2">
      <c r="A6275">
        <v>6214</v>
      </c>
      <c r="B6275" s="138">
        <f>'Acct Summary 7-8'!K82</f>
        <v>-7959</v>
      </c>
      <c r="D6275" s="2" t="str">
        <f t="shared" si="97"/>
        <v>Error?</v>
      </c>
      <c r="E6275" s="2" t="s">
        <v>199</v>
      </c>
    </row>
    <row r="6276" spans="1:5" x14ac:dyDescent="0.2">
      <c r="A6276">
        <v>6215</v>
      </c>
      <c r="B6276" s="138">
        <f>'Acct Summary 7-8'!C83</f>
        <v>3.1451689320082573E-3</v>
      </c>
      <c r="D6276" s="2" t="str">
        <f t="shared" si="97"/>
        <v>Error?</v>
      </c>
      <c r="E6276" s="2" t="s">
        <v>199</v>
      </c>
    </row>
    <row r="6277" spans="1:5" x14ac:dyDescent="0.2">
      <c r="A6277">
        <v>6216</v>
      </c>
      <c r="B6277" s="138">
        <f>'Acct Summary 7-8'!D83</f>
        <v>2.68759816780836E-2</v>
      </c>
      <c r="D6277" s="2" t="str">
        <f t="shared" si="97"/>
        <v>Error?</v>
      </c>
      <c r="E6277" s="2" t="s">
        <v>199</v>
      </c>
    </row>
    <row r="6278" spans="1:5" x14ac:dyDescent="0.2">
      <c r="A6278">
        <v>6217</v>
      </c>
      <c r="B6278" s="138">
        <f>'Acct Summary 7-8'!E83</f>
        <v>4.0802040102005104E-2</v>
      </c>
      <c r="D6278" s="2" t="str">
        <f t="shared" si="97"/>
        <v>Error?</v>
      </c>
      <c r="E6278" s="2" t="s">
        <v>199</v>
      </c>
    </row>
    <row r="6279" spans="1:5" x14ac:dyDescent="0.2">
      <c r="A6279">
        <v>6218</v>
      </c>
      <c r="B6279" s="138">
        <f>'Acct Summary 7-8'!F83</f>
        <v>0.29758169313175492</v>
      </c>
      <c r="D6279" s="2" t="str">
        <f t="shared" si="97"/>
        <v>Error?</v>
      </c>
      <c r="E6279" s="2" t="s">
        <v>199</v>
      </c>
    </row>
    <row r="6280" spans="1:5" x14ac:dyDescent="0.2">
      <c r="A6280">
        <v>6219</v>
      </c>
      <c r="B6280" s="138">
        <f>'Acct Summary 7-8'!G83</f>
        <v>0.50561774757996847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-0.2938705525767491</v>
      </c>
      <c r="D6282" s="2" t="str">
        <f t="shared" si="97"/>
        <v>Error?</v>
      </c>
      <c r="E6282" s="2" t="s">
        <v>199</v>
      </c>
    </row>
    <row r="6283" spans="1:5" x14ac:dyDescent="0.2">
      <c r="A6283">
        <v>6222</v>
      </c>
      <c r="B6283" s="138">
        <f>'Acct Summary 7-8'!J83</f>
        <v>0.27008345450833504</v>
      </c>
      <c r="D6283" s="2" t="str">
        <f t="shared" si="97"/>
        <v>Error?</v>
      </c>
      <c r="E6283" s="2" t="s">
        <v>199</v>
      </c>
    </row>
    <row r="6284" spans="1:5" x14ac:dyDescent="0.2">
      <c r="A6284">
        <v>6223</v>
      </c>
      <c r="B6284" s="138">
        <f>'Acct Summary 7-8'!K83</f>
        <v>-3.1286484191657721E-2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302907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302907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897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897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303804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53336</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45705</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45705</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32919</v>
      </c>
      <c r="D7016" s="2" t="str">
        <f t="shared" si="108"/>
        <v>Error?</v>
      </c>
    </row>
    <row r="7017" spans="1:4" x14ac:dyDescent="0.2">
      <c r="A7017">
        <v>6956</v>
      </c>
      <c r="B7017" s="138">
        <f>'Expenditures 15-22'!K111</f>
        <v>32919</v>
      </c>
      <c r="D7017" s="2" t="str">
        <f t="shared" si="108"/>
        <v>Error?</v>
      </c>
    </row>
    <row r="7018" spans="1:4" x14ac:dyDescent="0.2">
      <c r="A7018">
        <v>6957</v>
      </c>
      <c r="B7018" s="138">
        <f>'Expenditures 15-22'!H112</f>
        <v>32919</v>
      </c>
      <c r="D7018" s="2" t="str">
        <f t="shared" si="108"/>
        <v>Error?</v>
      </c>
    </row>
    <row r="7019" spans="1:4" x14ac:dyDescent="0.2">
      <c r="A7019">
        <v>6958</v>
      </c>
      <c r="B7019" s="138">
        <f>'Expenditures 15-22'!K112</f>
        <v>32919</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238981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303804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94</v>
      </c>
      <c r="D7067" s="2" t="str">
        <f t="shared" si="109"/>
        <v>Error?</v>
      </c>
    </row>
    <row r="7068" spans="1:4" x14ac:dyDescent="0.2">
      <c r="A7068">
        <v>7007</v>
      </c>
      <c r="B7068" s="138">
        <f>'Expenditures 15-22'!K205</f>
        <v>94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25584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25584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57733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57733</v>
      </c>
      <c r="D7153" s="2" t="str">
        <f t="shared" si="110"/>
        <v>Error?</v>
      </c>
    </row>
    <row r="7154" spans="1:4" x14ac:dyDescent="0.2">
      <c r="A7154">
        <v>7093</v>
      </c>
      <c r="B7154" s="138" t="e">
        <f>'Expenditures 15-22'!#REF!</f>
        <v>#REF!</v>
      </c>
      <c r="D7154" s="2" t="e">
        <f t="shared" si="110"/>
        <v>#REF!</v>
      </c>
    </row>
    <row r="7155" spans="1:4" x14ac:dyDescent="0.2">
      <c r="A7155">
        <v>7094</v>
      </c>
      <c r="B7155" s="138">
        <f>'Expenditures 15-22'!D323</f>
        <v>0</v>
      </c>
      <c r="D7155" s="2" t="str">
        <f t="shared" si="110"/>
        <v>Error?</v>
      </c>
    </row>
    <row r="7156" spans="1:4" x14ac:dyDescent="0.2">
      <c r="A7156">
        <v>7095</v>
      </c>
      <c r="B7156" s="138">
        <f>'Expenditures 15-22'!C323</f>
        <v>144416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144416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11248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11248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144416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94565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238981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144416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94565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238981</v>
      </c>
      <c r="D7224" s="2" t="str">
        <f t="shared" si="111"/>
        <v>Error?</v>
      </c>
    </row>
    <row r="7225" spans="1:4" x14ac:dyDescent="0.2">
      <c r="A7225">
        <v>7164</v>
      </c>
      <c r="B7225" s="138">
        <f>'Expenditures 15-22'!K343</f>
        <v>64823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367909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45705</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100000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29'!D45</f>
        <v>278694.65000000002</v>
      </c>
      <c r="D7797" s="2" t="str">
        <f t="shared" si="127"/>
        <v>Error?</v>
      </c>
      <c r="E7797" s="4" t="s">
        <v>2020</v>
      </c>
    </row>
    <row r="7798" spans="1:5" x14ac:dyDescent="0.2">
      <c r="A7798">
        <v>7737</v>
      </c>
      <c r="B7798" s="138">
        <f>'Contracts Paid in CY 29'!F45</f>
        <v>25000</v>
      </c>
      <c r="D7798" s="2" t="str">
        <f t="shared" si="127"/>
        <v>Error?</v>
      </c>
      <c r="E7798" s="4" t="s">
        <v>2020</v>
      </c>
    </row>
    <row r="7799" spans="1:5" x14ac:dyDescent="0.2">
      <c r="A7799">
        <v>7738</v>
      </c>
      <c r="B7799" s="138">
        <f>'Contracts Paid in CY 29'!G45</f>
        <v>253694.65000000002</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5" sqref="K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Fairfield PSD 112</v>
      </c>
      <c r="B7" s="2403"/>
      <c r="C7" s="2403"/>
      <c r="D7" s="2440"/>
      <c r="E7" s="2441" t="str">
        <f>COVER!A13</f>
        <v>20-096-1120-04</v>
      </c>
      <c r="F7" s="2442"/>
      <c r="G7" s="2409" t="str">
        <f>COVER!T23</f>
        <v>060-001832</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Leymone Hardcastle &amp; Co., Ltd</v>
      </c>
      <c r="H9" s="2416"/>
      <c r="I9" s="2416"/>
      <c r="J9" s="2416"/>
      <c r="K9" s="2416"/>
      <c r="L9" s="2417"/>
    </row>
    <row r="10" spans="1:29" ht="13.5" customHeight="1" x14ac:dyDescent="0.2">
      <c r="A10" s="2399" t="str">
        <f>COVER!A38</f>
        <v>Dr. Scott England</v>
      </c>
      <c r="B10" s="2400"/>
      <c r="C10" s="2400"/>
      <c r="D10" s="2400"/>
      <c r="E10" s="2400"/>
      <c r="F10" s="2401"/>
      <c r="G10" s="2415" t="str">
        <f>COVER!T17</f>
        <v>200 West Main Street</v>
      </c>
      <c r="H10" s="2428"/>
      <c r="I10" s="2428"/>
      <c r="J10" s="2428"/>
      <c r="K10" s="2428"/>
      <c r="L10" s="2429"/>
    </row>
    <row r="11" spans="1:29" ht="13.5" customHeight="1" x14ac:dyDescent="0.2">
      <c r="A11" s="1185" t="s">
        <v>1599</v>
      </c>
      <c r="B11" s="1186"/>
      <c r="C11" s="1187"/>
      <c r="D11" s="1192"/>
      <c r="E11" s="1187"/>
      <c r="F11" s="1191"/>
      <c r="G11" s="2415" t="str">
        <f>COVER!T19</f>
        <v>Salem</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f>COVER!T25</f>
        <v>0</v>
      </c>
      <c r="J13" s="2437"/>
      <c r="K13" s="2437"/>
      <c r="L13" s="2438"/>
    </row>
    <row r="14" spans="1:29" ht="13.5" customHeight="1" x14ac:dyDescent="0.2">
      <c r="A14" s="2415" t="str">
        <f>COVER!A19</f>
        <v>806 North First Street</v>
      </c>
      <c r="B14" s="2428"/>
      <c r="C14" s="2428"/>
      <c r="D14" s="2428"/>
      <c r="E14" s="2428"/>
      <c r="F14" s="2429"/>
      <c r="G14" s="1196" t="s">
        <v>1247</v>
      </c>
      <c r="H14" s="1194"/>
      <c r="I14" s="1194"/>
      <c r="J14" s="1194"/>
      <c r="K14" s="1194"/>
      <c r="L14" s="1195"/>
    </row>
    <row r="15" spans="1:29" ht="13.5" customHeight="1" x14ac:dyDescent="0.2">
      <c r="A15" s="2415" t="str">
        <f>COVER!A21</f>
        <v>Fairfield</v>
      </c>
      <c r="B15" s="2428"/>
      <c r="C15" s="2428"/>
      <c r="D15" s="2428"/>
      <c r="E15" s="2428"/>
      <c r="F15" s="2429"/>
      <c r="G15" s="2425" t="str">
        <f>COVER!T15</f>
        <v>Sara E. Hanks, CPA</v>
      </c>
      <c r="H15" s="2426"/>
      <c r="I15" s="2426"/>
      <c r="J15" s="2426"/>
      <c r="K15" s="2426"/>
      <c r="L15" s="2427"/>
    </row>
    <row r="16" spans="1:29" ht="12.2" customHeight="1" x14ac:dyDescent="0.2">
      <c r="A16" s="2405">
        <f>COVER!A25</f>
        <v>62837</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618-548-1002</v>
      </c>
      <c r="H18" s="2403"/>
      <c r="I18" s="2403"/>
      <c r="J18" s="2403"/>
      <c r="K18" s="2402" t="str">
        <f>COVER!X21</f>
        <v>618-548-1018</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109"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Fairfield PSD 112</v>
      </c>
      <c r="B1" s="2439"/>
      <c r="C1" s="2439"/>
      <c r="D1" s="2439"/>
    </row>
    <row r="2" spans="1:11" s="1215" customFormat="1" ht="12.75" x14ac:dyDescent="0.2">
      <c r="A2" s="2444" t="str">
        <f>'Single Audit Cover'!E7</f>
        <v>20-096-1120-04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Fairfield PSD 112</v>
      </c>
      <c r="B1" s="2447"/>
      <c r="C1" s="2447"/>
      <c r="D1" s="2447"/>
      <c r="E1" s="2447"/>
    </row>
    <row r="2" spans="1:5" x14ac:dyDescent="0.2">
      <c r="A2" s="2448" t="str">
        <f>'Single Audit Cover'!E7</f>
        <v>20-096-1120-04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590157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25401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-102231</v>
      </c>
    </row>
    <row r="19" spans="1:4" ht="13.5" thickBot="1" x14ac:dyDescent="0.25">
      <c r="A19" s="1265" t="s">
        <v>1297</v>
      </c>
      <c r="D19" s="1266">
        <f>SUM(D10:D17)</f>
        <v>513327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513327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513327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A19"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Fairfield PSD 112</v>
      </c>
      <c r="B1" s="2452"/>
      <c r="C1" s="2452"/>
      <c r="D1" s="2452"/>
      <c r="E1" s="2452"/>
      <c r="F1" s="2452"/>
    </row>
    <row r="2" spans="1:7" ht="13.5" customHeight="1" x14ac:dyDescent="0.2">
      <c r="A2" s="2453" t="str">
        <f>'Single Audit Cover'!E7</f>
        <v>20-096-1120-04</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68" t="s">
        <v>1332</v>
      </c>
      <c r="D15" s="2457" t="s">
        <v>1331</v>
      </c>
      <c r="E15" s="2457"/>
      <c r="F15" s="2457"/>
    </row>
    <row r="16" spans="1:7" ht="13.5" customHeight="1" x14ac:dyDescent="0.2">
      <c r="A16" s="1282"/>
      <c r="B16" s="1276" t="s">
        <v>1330</v>
      </c>
      <c r="C16" s="1868"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5"/>
      <c r="E33" s="1286"/>
    </row>
    <row r="34" spans="1:6" ht="13.5" customHeight="1" x14ac:dyDescent="0.2">
      <c r="A34" s="328" t="s">
        <v>1949</v>
      </c>
      <c r="B34" s="328"/>
      <c r="C34" s="1289">
        <v>0</v>
      </c>
      <c r="D34" s="1925" t="s">
        <v>1671</v>
      </c>
      <c r="E34" s="2461">
        <f>+C33+C34</f>
        <v>0</v>
      </c>
      <c r="F34" s="2462"/>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c r="D38" s="1925"/>
      <c r="E38" s="1286"/>
    </row>
    <row r="39" spans="1:6" ht="14.25" customHeight="1" x14ac:dyDescent="0.2">
      <c r="A39" s="328"/>
      <c r="B39" s="328" t="s">
        <v>1511</v>
      </c>
      <c r="C39" s="1292"/>
      <c r="D39" s="1925"/>
      <c r="E39" s="1286"/>
    </row>
    <row r="40" spans="1:6" ht="14.25" customHeight="1" x14ac:dyDescent="0.2">
      <c r="A40" s="328"/>
      <c r="B40" s="328" t="s">
        <v>1512</v>
      </c>
      <c r="C40" s="1292"/>
      <c r="D40" s="1925"/>
      <c r="E40" s="1286"/>
    </row>
    <row r="41" spans="1:6" ht="14.25" customHeight="1" x14ac:dyDescent="0.2">
      <c r="A41" s="328"/>
      <c r="B41" s="328" t="s">
        <v>1513</v>
      </c>
      <c r="C41" s="1292"/>
      <c r="D41" s="1925"/>
      <c r="E41" s="1286"/>
    </row>
    <row r="42" spans="1:6" ht="14.25" customHeight="1" x14ac:dyDescent="0.2">
      <c r="A42" s="328" t="s">
        <v>1514</v>
      </c>
      <c r="B42" s="328"/>
      <c r="C42" s="1923"/>
      <c r="D42" s="1925"/>
      <c r="E42" s="1286"/>
    </row>
    <row r="43" spans="1:6" ht="14.25" customHeight="1" x14ac:dyDescent="0.2">
      <c r="A43" s="328" t="s">
        <v>1515</v>
      </c>
      <c r="B43" s="328"/>
      <c r="C43" s="1293"/>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7"/>
      <c r="C50" s="1867"/>
      <c r="D50" s="1867"/>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Fairfield PSD 112</v>
      </c>
      <c r="C1" s="2464"/>
      <c r="D1" s="2464"/>
      <c r="E1" s="2464"/>
      <c r="F1" s="2464"/>
      <c r="G1" s="2464"/>
      <c r="H1" s="2464"/>
      <c r="I1" s="2464"/>
      <c r="J1" s="2464"/>
      <c r="K1" s="2464"/>
      <c r="L1" s="2464"/>
      <c r="M1" s="2464"/>
    </row>
    <row r="2" spans="2:14" ht="15" x14ac:dyDescent="0.2">
      <c r="B2" s="2453" t="str">
        <f>'Single Audit Cover'!E7</f>
        <v>20-096-1120-04</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1" colorId="8" zoomScale="110" zoomScaleNormal="110" workbookViewId="0">
      <selection activeCell="E7" sqref="E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2113</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2114</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71" right="0.2" top="0.75" bottom="0" header="0.47" footer="0.45"/>
  <pageSetup scale="70" firstPageNumber="2" orientation="portrait" useFirstPageNumber="1" r:id="rId1"/>
  <headerFooter alignWithMargins="0">
    <oddHeader>&amp;C Fairfield Public School District 112</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J41" sqref="J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Fairfield PSD 112</v>
      </c>
      <c r="C1" s="2472"/>
      <c r="D1" s="2472"/>
      <c r="E1" s="2472"/>
      <c r="F1" s="2472"/>
      <c r="G1" s="2472"/>
      <c r="H1" s="2472"/>
      <c r="I1" s="2472"/>
      <c r="J1" s="1422"/>
    </row>
    <row r="2" spans="2:10" s="317" customFormat="1" ht="12.75" customHeight="1" x14ac:dyDescent="0.2">
      <c r="B2" s="2473" t="str">
        <f>'Single Audit Cover'!E7</f>
        <v>20-096-1120-04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7" top="0.46" bottom="0.63" header="0.26" footer="0.41"/>
  <pageSetup scale="85"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Fairfield PSD 112</v>
      </c>
      <c r="C1" s="2471"/>
      <c r="D1" s="2471"/>
      <c r="E1" s="2471"/>
      <c r="F1" s="2471"/>
      <c r="G1" s="2471"/>
      <c r="H1" s="2471"/>
      <c r="I1" s="2471"/>
      <c r="J1" s="2471"/>
      <c r="K1" s="2471"/>
      <c r="L1" s="1374"/>
      <c r="M1" s="1374"/>
    </row>
    <row r="2" spans="1:13" ht="12" customHeight="1" x14ac:dyDescent="0.2">
      <c r="B2" s="2473" t="str">
        <f>'Single Audit Cover'!E7</f>
        <v>20-096-1120-04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1992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2099</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2100</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2101</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2102</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2103</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2104</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2105</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32" sqref="O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Fairfield PSD 112</v>
      </c>
      <c r="C1" s="2471"/>
      <c r="D1" s="2471"/>
      <c r="E1" s="2471"/>
      <c r="F1" s="2471"/>
      <c r="G1" s="2471"/>
      <c r="H1" s="2471"/>
      <c r="I1" s="2471"/>
      <c r="J1" s="2471"/>
      <c r="K1" s="2471"/>
      <c r="L1" s="1374"/>
      <c r="M1" s="1374"/>
    </row>
    <row r="2" spans="1:13" ht="12" customHeight="1" x14ac:dyDescent="0.2">
      <c r="B2" s="2473" t="str">
        <f>'Single Audit Cover'!E7</f>
        <v>20-096-1120-04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955"/>
      <c r="M3" s="195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2106</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2107</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2108</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2109</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2110</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2111</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2112</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Fairfield PSD 112</v>
      </c>
      <c r="C1" s="2471"/>
      <c r="D1" s="2471"/>
      <c r="E1" s="2471"/>
      <c r="F1" s="2471"/>
      <c r="G1" s="2471"/>
      <c r="H1" s="2471"/>
      <c r="I1" s="2471"/>
      <c r="J1" s="2471"/>
      <c r="K1" s="2471"/>
      <c r="L1" s="1374"/>
      <c r="M1" s="1374"/>
    </row>
    <row r="2" spans="1:13" ht="12" customHeight="1" x14ac:dyDescent="0.2">
      <c r="B2" s="2473" t="str">
        <f>'Single Audit Cover'!E7</f>
        <v>20-096-1120-04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953"/>
      <c r="M3" s="1953"/>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3</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2128</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2129</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2130</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2131</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2132</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2133</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2134</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11.285156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Fairfield PSD 112</v>
      </c>
      <c r="C1" s="2471"/>
      <c r="D1" s="2471"/>
      <c r="E1" s="2471"/>
      <c r="F1" s="2471"/>
      <c r="G1" s="2471"/>
      <c r="H1" s="2471"/>
      <c r="I1" s="2471"/>
      <c r="J1" s="2471"/>
      <c r="K1" s="2471"/>
      <c r="L1" s="1374"/>
      <c r="M1" s="1374"/>
    </row>
    <row r="2" spans="1:13" ht="12" customHeight="1" x14ac:dyDescent="0.2">
      <c r="B2" s="2473" t="str">
        <f>'Single Audit Cover'!E7</f>
        <v>20-096-1120-04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955"/>
      <c r="M3" s="195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4</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2136</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55.5" customHeight="1" x14ac:dyDescent="0.2">
      <c r="B17" s="2493" t="s">
        <v>2140</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2138</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2139</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2135</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51.75" customHeight="1" x14ac:dyDescent="0.2">
      <c r="B29" s="2492" t="s">
        <v>2141</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2137</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02"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F44" sqref="F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Fairfield PSD 112</v>
      </c>
      <c r="C1" s="2498"/>
      <c r="D1" s="2498"/>
      <c r="E1" s="2498"/>
      <c r="F1" s="2498"/>
      <c r="G1" s="2498"/>
      <c r="H1" s="2498"/>
      <c r="I1" s="2498"/>
      <c r="J1" s="2498"/>
      <c r="K1" s="2498"/>
      <c r="L1" s="1465"/>
    </row>
    <row r="2" spans="1:12" ht="12.75" customHeight="1" x14ac:dyDescent="0.2">
      <c r="B2" s="2499" t="str">
        <f>'Single Audit Cover'!E7</f>
        <v>20-096-1120-04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t="s">
        <v>2127</v>
      </c>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t="s">
        <v>2127</v>
      </c>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t="s">
        <v>2127</v>
      </c>
      <c r="E16" s="2502"/>
      <c r="F16" s="2502"/>
      <c r="G16" s="2502"/>
      <c r="H16" s="2502"/>
      <c r="I16" s="2502"/>
      <c r="J16" s="2502"/>
      <c r="K16" s="2502"/>
      <c r="L16" s="322"/>
    </row>
    <row r="17" spans="2:12" ht="13.5" customHeight="1" x14ac:dyDescent="0.2">
      <c r="B17" s="1387" t="s">
        <v>1368</v>
      </c>
      <c r="C17" s="1387"/>
      <c r="D17" s="2503" t="s">
        <v>2127</v>
      </c>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2127</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t="s">
        <v>2127</v>
      </c>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t="s">
        <v>2127</v>
      </c>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t="s">
        <v>2127</v>
      </c>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t="s">
        <v>2127</v>
      </c>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t="s">
        <v>2127</v>
      </c>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t="s">
        <v>2127</v>
      </c>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t="s">
        <v>2127</v>
      </c>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F14" sqref="F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Fairfield PSD 112</v>
      </c>
      <c r="C1" s="2471"/>
      <c r="D1" s="2471"/>
      <c r="E1" s="1491"/>
    </row>
    <row r="2" spans="2:5" s="1282" customFormat="1" ht="12.75" customHeight="1" x14ac:dyDescent="0.2">
      <c r="B2" s="2473" t="str">
        <f>'Single Audit Cover'!E7</f>
        <v>20-096-1120-04</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2142</v>
      </c>
      <c r="C8" s="324" t="s">
        <v>2143</v>
      </c>
      <c r="D8" s="324"/>
      <c r="E8" s="324"/>
    </row>
    <row r="9" spans="2:5" ht="13.5" customHeight="1" x14ac:dyDescent="0.2">
      <c r="B9" s="1497"/>
      <c r="C9" s="323" t="s">
        <v>2144</v>
      </c>
      <c r="D9" s="323"/>
      <c r="E9" s="323"/>
    </row>
    <row r="10" spans="2:5" ht="13.5" customHeight="1" x14ac:dyDescent="0.2">
      <c r="B10" s="1496"/>
      <c r="C10" s="323" t="s">
        <v>2145</v>
      </c>
      <c r="D10" s="323"/>
      <c r="E10" s="323"/>
    </row>
    <row r="11" spans="2:5" ht="13.5" customHeight="1" x14ac:dyDescent="0.2">
      <c r="B11" s="1496"/>
      <c r="C11" s="323" t="s">
        <v>2146</v>
      </c>
      <c r="D11" s="323"/>
      <c r="E11" s="323"/>
    </row>
    <row r="12" spans="2:5" ht="13.5" customHeight="1" x14ac:dyDescent="0.2">
      <c r="B12" s="1496"/>
      <c r="C12" s="323" t="s">
        <v>2147</v>
      </c>
      <c r="D12" s="323"/>
      <c r="E12" s="323"/>
    </row>
    <row r="13" spans="2:5" ht="13.5" customHeight="1" x14ac:dyDescent="0.2">
      <c r="B13" s="1496"/>
      <c r="C13" s="323"/>
      <c r="D13" s="323" t="s">
        <v>2153</v>
      </c>
      <c r="E13" s="323"/>
    </row>
    <row r="14" spans="2:5" ht="13.5" customHeight="1" x14ac:dyDescent="0.2">
      <c r="B14" s="1496"/>
      <c r="C14" s="323"/>
      <c r="D14" s="323"/>
      <c r="E14" s="323"/>
    </row>
    <row r="15" spans="2:5" ht="13.5" customHeight="1" x14ac:dyDescent="0.2">
      <c r="B15" s="1496" t="s">
        <v>2148</v>
      </c>
      <c r="C15" s="323" t="s">
        <v>2149</v>
      </c>
      <c r="D15" s="323"/>
      <c r="E15" s="323"/>
    </row>
    <row r="16" spans="2:5" ht="13.5" customHeight="1" x14ac:dyDescent="0.2">
      <c r="B16" s="1496"/>
      <c r="C16" s="323" t="s">
        <v>2150</v>
      </c>
      <c r="D16" s="323"/>
      <c r="E16" s="323"/>
    </row>
    <row r="17" spans="2:5" ht="13.5" customHeight="1" x14ac:dyDescent="0.2">
      <c r="B17" s="1496"/>
      <c r="C17" s="323"/>
      <c r="D17" s="323" t="s">
        <v>2151</v>
      </c>
      <c r="E17" s="323"/>
    </row>
    <row r="18" spans="2:5" ht="13.5" customHeight="1" x14ac:dyDescent="0.2">
      <c r="B18" s="1496"/>
      <c r="C18" s="323"/>
      <c r="D18" s="323" t="s">
        <v>2152</v>
      </c>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71" right="0.27" top="0.52" bottom="0.69" header="0.26" footer="0.48"/>
  <pageSetup scale="90" firstPageNumber="43" orientation="portrait" useFirstPageNumber="1" r:id="rId1"/>
  <headerFooter alignWithMargins="0">
    <oddFooter>&amp;LSee accompanying notes to the financial statements.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58074311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2">
        <f>ROUND(D10+F10+H10,5)</f>
        <v>1.29E-2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5730345</v>
      </c>
      <c r="E16" s="356"/>
      <c r="F16" s="1753">
        <f>SUM('Acct Summary 7-8'!C17,'Acct Summary 7-8'!D17,'Acct Summary 7-8'!F17)</f>
        <v>5725921</v>
      </c>
      <c r="G16" s="356"/>
      <c r="H16" s="1753">
        <f>SUM(D16-F16)</f>
        <v>4424</v>
      </c>
      <c r="I16" s="222"/>
      <c r="J16" s="1753">
        <f>SUM('Acct Summary 7-8'!C81,'Acct Summary 7-8'!D81,'Acct Summary 7-8'!F81,'Acct Summary 7-8'!I81)</f>
        <v>4687416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4007127.4590000003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2754606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1" right="0.2" top="1.0900000000000001" bottom="0.71" header="0.65" footer="0.45"/>
  <pageSetup scale="78" firstPageNumber="3" orientation="portrait" useFirstPageNumber="1" r:id="rId1"/>
  <headerFooter alignWithMargins="0">
    <oddHeader xml:space="preserve">&amp;C Fairfield Public School District 112 </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28" sqref="D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Fairfield PSD 112</v>
      </c>
      <c r="E7" s="391"/>
      <c r="G7" s="252"/>
      <c r="H7" s="387"/>
      <c r="I7" s="387"/>
      <c r="J7" s="387"/>
      <c r="K7" s="387"/>
      <c r="L7" s="329"/>
      <c r="M7" s="329"/>
      <c r="N7" s="329"/>
      <c r="O7" s="329"/>
      <c r="P7" s="329"/>
    </row>
    <row r="8" spans="1:18" ht="12.75" x14ac:dyDescent="0.2">
      <c r="A8" s="329"/>
      <c r="B8" s="329"/>
      <c r="C8" s="389" t="s">
        <v>1187</v>
      </c>
      <c r="D8" s="392" t="str">
        <f>COVER!A13</f>
        <v>20-096-1120-04</v>
      </c>
      <c r="E8" s="393"/>
      <c r="G8" s="329"/>
      <c r="H8" s="329"/>
      <c r="I8" s="329"/>
      <c r="J8" s="329"/>
      <c r="K8" s="329"/>
      <c r="L8" s="329"/>
      <c r="M8" s="329"/>
      <c r="N8" s="329"/>
      <c r="O8" s="329"/>
      <c r="P8" s="329"/>
    </row>
    <row r="9" spans="1:18" ht="12.75" x14ac:dyDescent="0.2">
      <c r="A9" s="329"/>
      <c r="B9" s="329"/>
      <c r="C9" s="389" t="s">
        <v>737</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4687416</v>
      </c>
      <c r="I12" s="404"/>
      <c r="J12" s="404"/>
      <c r="K12" s="405">
        <f>TRUNC((H12/H13*100000),5)/100000</f>
        <v>0.81799891619999998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5730345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5725921</v>
      </c>
      <c r="I17" s="404"/>
      <c r="J17" s="416"/>
      <c r="K17" s="405">
        <f>TRUNC((H17/H18*100000),5)/100000</f>
        <v>0.99922796960000004</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5730345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4687416</v>
      </c>
      <c r="I24" s="422"/>
      <c r="J24" s="422"/>
      <c r="K24" s="423">
        <f>TRUNC(((H24/H25*100000)/100000),2)</f>
        <v>294.7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15905.33611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636784.82012000005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2754606</v>
      </c>
      <c r="I32" s="420"/>
      <c r="J32" s="420"/>
      <c r="K32" s="423">
        <f>TRUNC(100-((((H32/H33*100))*100)/100),2)</f>
        <v>31.25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4007127.4590000003</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71" right="0.2" top="0.95" bottom="0.66" header="0.45" footer="0.45"/>
  <pageSetup scale="80" firstPageNumber="4" orientation="landscape" useFirstPageNumber="1" r:id="rId3"/>
  <headerFooter alignWithMargins="0">
    <oddHeader>&amp;C  Fairfield Public School District 112</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3" zoomScaleNormal="83" workbookViewId="0">
      <pane ySplit="2" topLeftCell="A9" activePane="bottomLeft" state="frozen"/>
      <selection activeCell="A47" sqref="A47"/>
      <selection pane="bottomLeft" activeCell="E37" sqref="E3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3548609</v>
      </c>
      <c r="D4" s="466">
        <v>608015</v>
      </c>
      <c r="E4" s="466">
        <v>39998</v>
      </c>
      <c r="F4" s="466">
        <v>157755</v>
      </c>
      <c r="G4" s="466">
        <v>48863</v>
      </c>
      <c r="H4" s="466"/>
      <c r="I4" s="466">
        <v>238537</v>
      </c>
      <c r="J4" s="467">
        <v>240011</v>
      </c>
      <c r="K4" s="466">
        <v>254391</v>
      </c>
      <c r="L4" s="466">
        <v>9544</v>
      </c>
      <c r="M4" s="468"/>
      <c r="N4" s="469"/>
    </row>
    <row r="5" spans="1:14" x14ac:dyDescent="0.2">
      <c r="A5" s="463" t="s">
        <v>1049</v>
      </c>
      <c r="B5" s="470">
        <v>120</v>
      </c>
      <c r="C5" s="465">
        <v>134500</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3683109</v>
      </c>
      <c r="D13" s="1757">
        <f t="shared" ref="D13:L13" si="0">SUM(D4:D12)</f>
        <v>608015</v>
      </c>
      <c r="E13" s="1757">
        <f t="shared" si="0"/>
        <v>39998</v>
      </c>
      <c r="F13" s="1757">
        <f t="shared" si="0"/>
        <v>157755</v>
      </c>
      <c r="G13" s="1757">
        <f t="shared" si="0"/>
        <v>48863</v>
      </c>
      <c r="H13" s="1757">
        <f t="shared" si="0"/>
        <v>0</v>
      </c>
      <c r="I13" s="1757">
        <f t="shared" si="0"/>
        <v>238537</v>
      </c>
      <c r="J13" s="1757">
        <f t="shared" si="0"/>
        <v>240011</v>
      </c>
      <c r="K13" s="1757">
        <f t="shared" si="0"/>
        <v>254391</v>
      </c>
      <c r="L13" s="1757">
        <f t="shared" si="0"/>
        <v>9544</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157600</v>
      </c>
      <c r="N16" s="484"/>
    </row>
    <row r="17" spans="1:14" s="485" customFormat="1" ht="12.75" customHeight="1" x14ac:dyDescent="0.2">
      <c r="A17" s="482" t="s">
        <v>1470</v>
      </c>
      <c r="B17" s="483">
        <v>230</v>
      </c>
      <c r="C17" s="477"/>
      <c r="D17" s="477"/>
      <c r="E17" s="477"/>
      <c r="F17" s="477"/>
      <c r="G17" s="477"/>
      <c r="H17" s="477"/>
      <c r="I17" s="477"/>
      <c r="J17" s="477"/>
      <c r="K17" s="477"/>
      <c r="L17" s="477"/>
      <c r="M17" s="467">
        <v>11871844</v>
      </c>
      <c r="N17" s="484"/>
    </row>
    <row r="18" spans="1:14" s="485" customFormat="1" ht="12.75" customHeight="1" x14ac:dyDescent="0.2">
      <c r="A18" s="482" t="s">
        <v>1471</v>
      </c>
      <c r="B18" s="483">
        <v>240</v>
      </c>
      <c r="C18" s="477"/>
      <c r="D18" s="477"/>
      <c r="E18" s="477"/>
      <c r="F18" s="477"/>
      <c r="G18" s="477"/>
      <c r="H18" s="477"/>
      <c r="I18" s="477"/>
      <c r="J18" s="477"/>
      <c r="K18" s="477"/>
      <c r="L18" s="477"/>
      <c r="M18" s="467">
        <v>105345</v>
      </c>
      <c r="N18" s="484"/>
    </row>
    <row r="19" spans="1:14" s="485" customFormat="1" ht="12.75" customHeight="1" x14ac:dyDescent="0.2">
      <c r="A19" s="482" t="s">
        <v>1472</v>
      </c>
      <c r="B19" s="483">
        <v>250</v>
      </c>
      <c r="C19" s="477"/>
      <c r="D19" s="477"/>
      <c r="E19" s="477"/>
      <c r="F19" s="477"/>
      <c r="G19" s="477"/>
      <c r="H19" s="477"/>
      <c r="I19" s="477"/>
      <c r="J19" s="477"/>
      <c r="K19" s="477"/>
      <c r="L19" s="477"/>
      <c r="M19" s="467">
        <v>1694156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39998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2714608</v>
      </c>
    </row>
    <row r="23" spans="1:14" ht="13.5" customHeight="1" thickBot="1" x14ac:dyDescent="0.25">
      <c r="A23" s="1756" t="s">
        <v>664</v>
      </c>
      <c r="B23" s="1761"/>
      <c r="C23" s="468"/>
      <c r="D23" s="468"/>
      <c r="E23" s="468"/>
      <c r="F23" s="468"/>
      <c r="G23" s="468"/>
      <c r="H23" s="468"/>
      <c r="I23" s="468"/>
      <c r="J23" s="468"/>
      <c r="K23" s="468"/>
      <c r="L23" s="468"/>
      <c r="M23" s="1708">
        <f>SUM(M15:M22)</f>
        <v>13828945</v>
      </c>
      <c r="N23" s="1708">
        <f>SUM(N21:N22)</f>
        <v>2754606</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9544</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9544</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2754606</v>
      </c>
    </row>
    <row r="37" spans="1:14" ht="13.5" thickBot="1" x14ac:dyDescent="0.25">
      <c r="A37" s="1756" t="s">
        <v>674</v>
      </c>
      <c r="B37" s="1761"/>
      <c r="C37" s="477"/>
      <c r="D37" s="477"/>
      <c r="E37" s="477"/>
      <c r="F37" s="477"/>
      <c r="G37" s="477"/>
      <c r="H37" s="477"/>
      <c r="I37" s="477"/>
      <c r="J37" s="477"/>
      <c r="K37" s="477"/>
      <c r="L37" s="480"/>
      <c r="M37" s="468"/>
      <c r="N37" s="1708">
        <f>SUM(N36:N36)</f>
        <v>2754606</v>
      </c>
    </row>
    <row r="38" spans="1:14" s="329" customFormat="1" ht="13.5" customHeight="1" thickTop="1" x14ac:dyDescent="0.2">
      <c r="A38" s="496" t="s">
        <v>440</v>
      </c>
      <c r="B38" s="483">
        <v>714</v>
      </c>
      <c r="C38" s="466">
        <v>34408</v>
      </c>
      <c r="D38" s="466">
        <v>12985</v>
      </c>
      <c r="E38" s="466"/>
      <c r="F38" s="466"/>
      <c r="G38" s="466">
        <v>44557</v>
      </c>
      <c r="H38" s="466"/>
      <c r="I38" s="466"/>
      <c r="J38" s="467"/>
      <c r="K38" s="466"/>
      <c r="L38" s="481"/>
      <c r="M38" s="497"/>
      <c r="N38" s="497"/>
    </row>
    <row r="39" spans="1:14" s="329" customFormat="1" ht="13.5" customHeight="1" x14ac:dyDescent="0.2">
      <c r="A39" s="496" t="s">
        <v>360</v>
      </c>
      <c r="B39" s="483">
        <v>730</v>
      </c>
      <c r="C39" s="466">
        <v>3648701</v>
      </c>
      <c r="D39" s="466">
        <v>595030</v>
      </c>
      <c r="E39" s="466">
        <v>39998</v>
      </c>
      <c r="F39" s="466">
        <v>157755</v>
      </c>
      <c r="G39" s="466">
        <v>4306</v>
      </c>
      <c r="H39" s="466"/>
      <c r="I39" s="466">
        <v>238537</v>
      </c>
      <c r="J39" s="467">
        <v>240011</v>
      </c>
      <c r="K39" s="466">
        <v>254391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13828945</v>
      </c>
      <c r="N40" s="497"/>
    </row>
    <row r="41" spans="1:14" ht="13.5" customHeight="1" thickBot="1" x14ac:dyDescent="0.25">
      <c r="A41" s="1756" t="s">
        <v>676</v>
      </c>
      <c r="B41" s="1726"/>
      <c r="C41" s="1708">
        <f>(SUM(C34,C37,C38,C39))</f>
        <v>3683109</v>
      </c>
      <c r="D41" s="1708">
        <f t="shared" ref="D41:L41" si="2">SUM(D34,D37,D38:D39)</f>
        <v>608015</v>
      </c>
      <c r="E41" s="1708">
        <f t="shared" si="2"/>
        <v>39998</v>
      </c>
      <c r="F41" s="1708">
        <f t="shared" si="2"/>
        <v>157755</v>
      </c>
      <c r="G41" s="1708">
        <f t="shared" si="2"/>
        <v>48863</v>
      </c>
      <c r="H41" s="1708">
        <f t="shared" si="2"/>
        <v>0</v>
      </c>
      <c r="I41" s="1708">
        <f t="shared" si="2"/>
        <v>238537</v>
      </c>
      <c r="J41" s="1708">
        <f t="shared" si="2"/>
        <v>240011</v>
      </c>
      <c r="K41" s="1708">
        <f t="shared" si="2"/>
        <v>254391</v>
      </c>
      <c r="L41" s="1708">
        <f t="shared" si="2"/>
        <v>9544</v>
      </c>
      <c r="M41" s="1708">
        <f>SUM(M40)</f>
        <v>13828945</v>
      </c>
      <c r="N41" s="1708">
        <f>SUM(N37)</f>
        <v>2754606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71" right="0.2" top="0.86" bottom="0.57999999999999996" header="0.28000000000000003" footer="0.19"/>
  <pageSetup scale="70" firstPageNumber="5" orientation="landscape" useFirstPageNumber="1" r:id="rId1"/>
  <headerFooter alignWithMargins="0">
    <oddHeader>&amp;C&amp;"Arial,Bold"&amp;9 Fairfield Public School District 112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9" zoomScaleNormal="89" zoomScaleSheetLayoutView="100" workbookViewId="0">
      <pane ySplit="2" topLeftCell="A3" activePane="bottomLeft" state="frozenSplit"/>
      <selection activeCell="A47" sqref="A47"/>
      <selection pane="bottomLeft" activeCell="C33" sqref="C33:K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1" t="s">
        <v>1579</v>
      </c>
      <c r="B4" s="1952">
        <v>1000</v>
      </c>
      <c r="C4" s="1762">
        <f>'Revenues 9-14'!C109</f>
        <v>854573</v>
      </c>
      <c r="D4" s="1762">
        <f>'Revenues 9-14'!D109</f>
        <v>153110</v>
      </c>
      <c r="E4" s="1762">
        <f>'Revenues 9-14'!E109</f>
        <v>296587</v>
      </c>
      <c r="F4" s="1762">
        <f>'Revenues 9-14'!F109</f>
        <v>75772</v>
      </c>
      <c r="G4" s="1762">
        <f>'Revenues 9-14'!G109</f>
        <v>255310</v>
      </c>
      <c r="H4" s="1762">
        <f>'Revenues 9-14'!H109</f>
        <v>0</v>
      </c>
      <c r="I4" s="1762">
        <f>'Revenues 9-14'!I109</f>
        <v>29901</v>
      </c>
      <c r="J4" s="1762">
        <f>'Revenues 9-14'!J109</f>
        <v>303804</v>
      </c>
      <c r="K4" s="1762">
        <f>'Revenues 9-14'!K109</f>
        <v>30033</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3815956</v>
      </c>
      <c r="D6" s="1763">
        <f>'Revenues 9-14'!D173</f>
        <v>110000</v>
      </c>
      <c r="E6" s="1763">
        <f>'Revenues 9-14'!E173</f>
        <v>0</v>
      </c>
      <c r="F6" s="1763">
        <f>'Revenues 9-14'!F173</f>
        <v>146581</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544452</v>
      </c>
      <c r="D7" s="1763">
        <f>'Revenues 9-14'!D274</f>
        <v>0</v>
      </c>
      <c r="E7" s="1763">
        <f>'Revenues 9-14'!E274</f>
        <v>45705</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5214981</v>
      </c>
      <c r="D8" s="1708">
        <f t="shared" ref="D8:K8" si="0">SUM(D4:D7)</f>
        <v>263110</v>
      </c>
      <c r="E8" s="1708">
        <f t="shared" si="0"/>
        <v>342292</v>
      </c>
      <c r="F8" s="1708">
        <f t="shared" si="0"/>
        <v>222353</v>
      </c>
      <c r="G8" s="1708">
        <f t="shared" si="0"/>
        <v>255310</v>
      </c>
      <c r="H8" s="1708">
        <f t="shared" si="0"/>
        <v>0</v>
      </c>
      <c r="I8" s="1708">
        <f t="shared" si="0"/>
        <v>29901</v>
      </c>
      <c r="J8" s="1708">
        <f t="shared" si="0"/>
        <v>303804</v>
      </c>
      <c r="K8" s="1708">
        <f t="shared" si="0"/>
        <v>30033</v>
      </c>
      <c r="L8" s="347"/>
    </row>
    <row r="9" spans="1:13" ht="15.75" thickTop="1" x14ac:dyDescent="0.2">
      <c r="A9" s="514" t="s">
        <v>1752</v>
      </c>
      <c r="B9" s="515">
        <v>3998</v>
      </c>
      <c r="C9" s="481">
        <v>350705</v>
      </c>
      <c r="D9" s="516"/>
      <c r="E9" s="481"/>
      <c r="F9" s="481"/>
      <c r="G9" s="517"/>
      <c r="H9" s="481"/>
      <c r="I9" s="509" t="s">
        <v>1231</v>
      </c>
      <c r="J9" s="478"/>
      <c r="K9" s="481"/>
      <c r="L9" s="347"/>
    </row>
    <row r="10" spans="1:13" s="519" customFormat="1" ht="13.5" thickBot="1" x14ac:dyDescent="0.25">
      <c r="A10" s="1756" t="s">
        <v>1235</v>
      </c>
      <c r="B10" s="1729"/>
      <c r="C10" s="1708">
        <f>SUM(C8:C9)</f>
        <v>5565686</v>
      </c>
      <c r="D10" s="1708">
        <f t="shared" ref="D10:K10" si="1">SUM(D8:D9)</f>
        <v>263110</v>
      </c>
      <c r="E10" s="1708">
        <f t="shared" si="1"/>
        <v>342292</v>
      </c>
      <c r="F10" s="1708">
        <f t="shared" si="1"/>
        <v>222353</v>
      </c>
      <c r="G10" s="1708">
        <f t="shared" si="1"/>
        <v>255310</v>
      </c>
      <c r="H10" s="1708">
        <f t="shared" si="1"/>
        <v>0</v>
      </c>
      <c r="I10" s="1708">
        <f t="shared" si="1"/>
        <v>29901</v>
      </c>
      <c r="J10" s="1708">
        <f t="shared" si="1"/>
        <v>303804</v>
      </c>
      <c r="K10" s="1708">
        <f t="shared" si="1"/>
        <v>30033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2">
        <f>'Expenditures 15-22'!K33</f>
        <v>3428969</v>
      </c>
      <c r="D12" s="520" t="s">
        <v>1231</v>
      </c>
      <c r="E12" s="468" t="s">
        <v>1231</v>
      </c>
      <c r="F12" s="468" t="s">
        <v>1231</v>
      </c>
      <c r="G12" s="1762">
        <f>'Expenditures 15-22'!K229</f>
        <v>118764</v>
      </c>
      <c r="H12" s="521"/>
      <c r="I12" s="468" t="s">
        <v>1231</v>
      </c>
      <c r="J12" s="468" t="s">
        <v>1231</v>
      </c>
      <c r="K12" s="521" t="s">
        <v>1231</v>
      </c>
      <c r="L12" s="347"/>
    </row>
    <row r="13" spans="1:13" ht="15.75" customHeight="1" x14ac:dyDescent="0.2">
      <c r="A13" s="1598" t="s">
        <v>477</v>
      </c>
      <c r="B13" s="1600">
        <v>2000</v>
      </c>
      <c r="C13" s="1763">
        <f>'Expenditures 15-22'!K74</f>
        <v>1651639</v>
      </c>
      <c r="D13" s="1763">
        <f>'Expenditures 15-22'!K129</f>
        <v>246769</v>
      </c>
      <c r="E13" s="469" t="s">
        <v>1231</v>
      </c>
      <c r="F13" s="1763">
        <f>'Expenditures 15-22'!K184</f>
        <v>233651</v>
      </c>
      <c r="G13" s="1763">
        <f>'Expenditures 15-22'!K279</f>
        <v>111622</v>
      </c>
      <c r="H13" s="1763">
        <f>'Expenditures 15-22'!K303</f>
        <v>0</v>
      </c>
      <c r="I13" s="468" t="s">
        <v>1231</v>
      </c>
      <c r="J13" s="1763">
        <f>'Expenditures 15-22'!K330</f>
        <v>238981</v>
      </c>
      <c r="K13" s="1767">
        <f>'Expenditures 15-22'!K352</f>
        <v>37992</v>
      </c>
      <c r="L13" s="347"/>
    </row>
    <row r="14" spans="1:13" ht="15.75" customHeight="1" x14ac:dyDescent="0.2">
      <c r="A14" s="1598" t="s">
        <v>469</v>
      </c>
      <c r="B14" s="1600">
        <v>3000</v>
      </c>
      <c r="C14" s="1763">
        <f>'Expenditures 15-22'!K75</f>
        <v>25065</v>
      </c>
      <c r="D14" s="1763">
        <f>'Expenditures 15-22'!K130</f>
        <v>0</v>
      </c>
      <c r="E14" s="520" t="s">
        <v>1231</v>
      </c>
      <c r="F14" s="1763">
        <f>'Expenditures 15-22'!K185</f>
        <v>0</v>
      </c>
      <c r="G14" s="1763">
        <f>'Expenditures 15-22'!K280</f>
        <v>218</v>
      </c>
      <c r="H14" s="512"/>
      <c r="I14" s="468" t="s">
        <v>1231</v>
      </c>
      <c r="J14" s="468" t="s">
        <v>1231</v>
      </c>
      <c r="K14" s="512" t="s">
        <v>1231</v>
      </c>
      <c r="L14" s="347"/>
    </row>
    <row r="15" spans="1:13" ht="15.75" customHeight="1" x14ac:dyDescent="0.2">
      <c r="A15" s="1598" t="s">
        <v>109</v>
      </c>
      <c r="B15" s="1600">
        <v>4000</v>
      </c>
      <c r="C15" s="1763">
        <f>'Expenditures 15-22'!K102</f>
        <v>65152</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32919</v>
      </c>
      <c r="D16" s="1763">
        <f>'Expenditures 15-22'!K149</f>
        <v>0</v>
      </c>
      <c r="E16" s="1763">
        <f>'Expenditures 15-22'!K172</f>
        <v>340313</v>
      </c>
      <c r="F16" s="1763">
        <f>'Expenditures 15-22'!K208</f>
        <v>41757</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5203744</v>
      </c>
      <c r="D17" s="1708">
        <f t="shared" si="2"/>
        <v>246769</v>
      </c>
      <c r="E17" s="1708">
        <f t="shared" si="2"/>
        <v>340313</v>
      </c>
      <c r="F17" s="1708">
        <f t="shared" si="2"/>
        <v>275408</v>
      </c>
      <c r="G17" s="1708">
        <f t="shared" si="2"/>
        <v>230604</v>
      </c>
      <c r="H17" s="1708">
        <f t="shared" si="2"/>
        <v>0</v>
      </c>
      <c r="I17" s="468"/>
      <c r="J17" s="1708">
        <f>SUM(J12:J16)</f>
        <v>238981</v>
      </c>
      <c r="K17" s="1708">
        <f>SUM(K12:K16)</f>
        <v>37992</v>
      </c>
      <c r="L17" s="347"/>
    </row>
    <row r="18" spans="1:12" ht="15" customHeight="1" thickTop="1" x14ac:dyDescent="0.2">
      <c r="A18" s="1764" t="s">
        <v>1753</v>
      </c>
      <c r="B18" s="1765">
        <v>4180</v>
      </c>
      <c r="C18" s="1762">
        <f t="shared" ref="C18:H18" si="3">C9</f>
        <v>350705</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5554449</v>
      </c>
      <c r="D19" s="1708">
        <f t="shared" si="4"/>
        <v>246769</v>
      </c>
      <c r="E19" s="1708">
        <f t="shared" si="4"/>
        <v>340313</v>
      </c>
      <c r="F19" s="1708">
        <f t="shared" si="4"/>
        <v>275408</v>
      </c>
      <c r="G19" s="1708">
        <f t="shared" si="4"/>
        <v>230604</v>
      </c>
      <c r="H19" s="1708">
        <f t="shared" si="4"/>
        <v>0</v>
      </c>
      <c r="I19" s="468"/>
      <c r="J19" s="1708">
        <f>SUM(J17:J18)</f>
        <v>238981</v>
      </c>
      <c r="K19" s="1708">
        <f>SUM(K17:K18)</f>
        <v>37992</v>
      </c>
      <c r="L19" s="347"/>
    </row>
    <row r="20" spans="1:12" ht="16.5" thickTop="1" thickBot="1" x14ac:dyDescent="0.25">
      <c r="A20" s="2144" t="s">
        <v>1754</v>
      </c>
      <c r="B20" s="2145"/>
      <c r="C20" s="1766">
        <f>C8-C17</f>
        <v>11237</v>
      </c>
      <c r="D20" s="1766">
        <f t="shared" ref="D20:K20" si="5">D8-D17</f>
        <v>16341</v>
      </c>
      <c r="E20" s="1766">
        <f t="shared" si="5"/>
        <v>1979</v>
      </c>
      <c r="F20" s="1766">
        <f t="shared" si="5"/>
        <v>-53055</v>
      </c>
      <c r="G20" s="1766">
        <f t="shared" si="5"/>
        <v>24706</v>
      </c>
      <c r="H20" s="1766">
        <f t="shared" si="5"/>
        <v>0</v>
      </c>
      <c r="I20" s="1766">
        <f t="shared" si="5"/>
        <v>29901</v>
      </c>
      <c r="J20" s="1766">
        <f t="shared" si="5"/>
        <v>64823</v>
      </c>
      <c r="K20" s="1766">
        <f t="shared" si="5"/>
        <v>-7959</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v>100000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v>347</v>
      </c>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3">
        <f>SUM(C24:C43)</f>
        <v>347</v>
      </c>
      <c r="D44" s="1723">
        <f t="shared" ref="D44:K44" si="6">SUM(D24:D43)</f>
        <v>0</v>
      </c>
      <c r="E44" s="1723">
        <f t="shared" si="6"/>
        <v>0</v>
      </c>
      <c r="F44" s="1723">
        <f t="shared" si="6"/>
        <v>100000</v>
      </c>
      <c r="G44" s="1723">
        <f t="shared" si="6"/>
        <v>0</v>
      </c>
      <c r="H44" s="1723">
        <f t="shared" si="6"/>
        <v>0</v>
      </c>
      <c r="I44" s="1723">
        <f t="shared" si="6"/>
        <v>0</v>
      </c>
      <c r="J44" s="1723">
        <f t="shared" si="6"/>
        <v>0</v>
      </c>
      <c r="K44" s="1723">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100000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v>347</v>
      </c>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3">
        <f t="shared" ref="C76:K76" si="7">SUM(C47:C75)</f>
        <v>0</v>
      </c>
      <c r="D76" s="1723">
        <f t="shared" si="7"/>
        <v>0</v>
      </c>
      <c r="E76" s="1723">
        <f t="shared" si="7"/>
        <v>347</v>
      </c>
      <c r="F76" s="1723">
        <f t="shared" si="7"/>
        <v>0</v>
      </c>
      <c r="G76" s="1723">
        <f t="shared" si="7"/>
        <v>0</v>
      </c>
      <c r="H76" s="1723">
        <f t="shared" si="7"/>
        <v>0</v>
      </c>
      <c r="I76" s="1723">
        <f t="shared" si="7"/>
        <v>100000</v>
      </c>
      <c r="J76" s="1723">
        <f t="shared" si="7"/>
        <v>0</v>
      </c>
      <c r="K76" s="1723">
        <f t="shared" si="7"/>
        <v>0</v>
      </c>
      <c r="L76" s="524"/>
    </row>
    <row r="77" spans="1:12" ht="14.25" thickTop="1" thickBot="1" x14ac:dyDescent="0.25">
      <c r="A77" s="2136" t="s">
        <v>1239</v>
      </c>
      <c r="B77" s="2137"/>
      <c r="C77" s="1723">
        <f t="shared" ref="C77:K77" si="8">C44-C76</f>
        <v>347</v>
      </c>
      <c r="D77" s="1723">
        <f t="shared" si="8"/>
        <v>0</v>
      </c>
      <c r="E77" s="1723">
        <f t="shared" si="8"/>
        <v>-347</v>
      </c>
      <c r="F77" s="1723">
        <f t="shared" si="8"/>
        <v>100000</v>
      </c>
      <c r="G77" s="1723">
        <f t="shared" si="8"/>
        <v>0</v>
      </c>
      <c r="H77" s="1723">
        <f t="shared" si="8"/>
        <v>0</v>
      </c>
      <c r="I77" s="1723">
        <f t="shared" si="8"/>
        <v>-100000</v>
      </c>
      <c r="J77" s="1723">
        <f t="shared" si="8"/>
        <v>0</v>
      </c>
      <c r="K77" s="1723">
        <f t="shared" si="8"/>
        <v>0</v>
      </c>
      <c r="L77" s="347"/>
    </row>
    <row r="78" spans="1:12" ht="21.75" customHeight="1" thickTop="1" thickBot="1" x14ac:dyDescent="0.25">
      <c r="A78" s="2140" t="s">
        <v>618</v>
      </c>
      <c r="B78" s="2141"/>
      <c r="C78" s="1722">
        <f t="shared" ref="C78:K78" si="9">C20+C77</f>
        <v>11584</v>
      </c>
      <c r="D78" s="1722">
        <f t="shared" si="9"/>
        <v>16341</v>
      </c>
      <c r="E78" s="1722">
        <f t="shared" si="9"/>
        <v>1632</v>
      </c>
      <c r="F78" s="1722">
        <f t="shared" si="9"/>
        <v>46945</v>
      </c>
      <c r="G78" s="1722">
        <f t="shared" si="9"/>
        <v>24706</v>
      </c>
      <c r="H78" s="1722">
        <f t="shared" si="9"/>
        <v>0</v>
      </c>
      <c r="I78" s="1722">
        <f t="shared" si="9"/>
        <v>-70099</v>
      </c>
      <c r="J78" s="1722">
        <f t="shared" si="9"/>
        <v>64823</v>
      </c>
      <c r="K78" s="1722">
        <f t="shared" si="9"/>
        <v>-7959</v>
      </c>
      <c r="L78" s="533"/>
    </row>
    <row r="79" spans="1:12" ht="13.5" thickTop="1" x14ac:dyDescent="0.2">
      <c r="A79" s="1516" t="s">
        <v>2073</v>
      </c>
      <c r="B79" s="534"/>
      <c r="C79" s="478">
        <v>3671525</v>
      </c>
      <c r="D79" s="535">
        <v>591674</v>
      </c>
      <c r="E79" s="535">
        <v>38366</v>
      </c>
      <c r="F79" s="535">
        <v>110810</v>
      </c>
      <c r="G79" s="535">
        <v>24157</v>
      </c>
      <c r="H79" s="535"/>
      <c r="I79" s="535">
        <v>308636</v>
      </c>
      <c r="J79" s="535">
        <v>175188</v>
      </c>
      <c r="K79" s="535">
        <v>262350</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08">
        <f>(SUM(C78:C80))</f>
        <v>3683109</v>
      </c>
      <c r="D81" s="1708">
        <f>SUM(D78:D80)</f>
        <v>608015</v>
      </c>
      <c r="E81" s="1708">
        <f t="shared" ref="E81:K81" si="10">SUM(E78:E80)</f>
        <v>39998</v>
      </c>
      <c r="F81" s="1708">
        <f t="shared" si="10"/>
        <v>157755</v>
      </c>
      <c r="G81" s="1708">
        <f t="shared" si="10"/>
        <v>48863</v>
      </c>
      <c r="H81" s="1708">
        <f t="shared" si="10"/>
        <v>0</v>
      </c>
      <c r="I81" s="1708">
        <f t="shared" si="10"/>
        <v>238537</v>
      </c>
      <c r="J81" s="1708">
        <f t="shared" si="10"/>
        <v>240011</v>
      </c>
      <c r="K81" s="1708">
        <f t="shared" si="10"/>
        <v>254391</v>
      </c>
      <c r="L81" s="347"/>
    </row>
    <row r="82" spans="1:12" ht="0.75" customHeight="1" thickTop="1" thickBot="1" x14ac:dyDescent="0.25">
      <c r="A82" s="536" t="s">
        <v>361</v>
      </c>
      <c r="B82" s="537"/>
      <c r="C82" s="538">
        <f>(C81-C79)</f>
        <v>11584</v>
      </c>
      <c r="D82" s="538">
        <f t="shared" ref="D82:K82" si="11">(D81-D79)</f>
        <v>16341</v>
      </c>
      <c r="E82" s="538">
        <f t="shared" si="11"/>
        <v>1632</v>
      </c>
      <c r="F82" s="538">
        <f t="shared" si="11"/>
        <v>46945</v>
      </c>
      <c r="G82" s="538">
        <f t="shared" si="11"/>
        <v>24706</v>
      </c>
      <c r="H82" s="538">
        <f t="shared" si="11"/>
        <v>0</v>
      </c>
      <c r="I82" s="538">
        <f t="shared" si="11"/>
        <v>-70099</v>
      </c>
      <c r="J82" s="538">
        <f t="shared" si="11"/>
        <v>64823</v>
      </c>
      <c r="K82" s="538">
        <f t="shared" si="11"/>
        <v>-7959</v>
      </c>
    </row>
    <row r="83" spans="1:12" ht="14.25" hidden="1" thickTop="1" thickBot="1" x14ac:dyDescent="0.25">
      <c r="A83" s="539" t="s">
        <v>362</v>
      </c>
      <c r="B83" s="464"/>
      <c r="C83" s="540">
        <f>C82/C81</f>
        <v>3.1451689320082573E-3</v>
      </c>
      <c r="D83" s="540">
        <f t="shared" ref="D83:K83" si="12">D82/D81</f>
        <v>2.68759816780836E-2</v>
      </c>
      <c r="E83" s="540">
        <f t="shared" si="12"/>
        <v>4.0802040102005104E-2</v>
      </c>
      <c r="F83" s="540">
        <f t="shared" si="12"/>
        <v>0.29758169313175492</v>
      </c>
      <c r="G83" s="540">
        <f t="shared" si="12"/>
        <v>0.50561774757996847</v>
      </c>
      <c r="H83" s="540" t="e">
        <f t="shared" si="12"/>
        <v>#DIV/0!</v>
      </c>
      <c r="I83" s="540">
        <f t="shared" si="12"/>
        <v>-0.2938705525767491</v>
      </c>
      <c r="J83" s="540">
        <f t="shared" si="12"/>
        <v>0.27008345450833504</v>
      </c>
      <c r="K83" s="540">
        <f t="shared" si="12"/>
        <v>-3.1286484191657721E-2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6" right="0.2" top="0.86" bottom="0.51" header="0.28000000000000003" footer="0.19"/>
  <pageSetup scale="70" firstPageNumber="7" orientation="landscape" useFirstPageNumber="1" r:id="rId1"/>
  <headerFooter alignWithMargins="0">
    <oddHeader xml:space="preserve">&amp;C&amp;"Arial,Bold"&amp;9 Fairfield Public School District 112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6" zoomScaleNormal="96" zoomScaleSheetLayoutView="75" workbookViewId="0">
      <pane ySplit="2" topLeftCell="A75" activePane="bottomLeft" state="frozen"/>
      <selection activeCell="A47" sqref="A47"/>
      <selection pane="bottomLeft" activeCell="C79" sqref="C7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534911</v>
      </c>
      <c r="D5" s="481">
        <v>145356</v>
      </c>
      <c r="E5" s="466">
        <v>294527</v>
      </c>
      <c r="F5" s="548">
        <v>69771</v>
      </c>
      <c r="G5" s="466">
        <v>120460</v>
      </c>
      <c r="H5" s="466"/>
      <c r="I5" s="466">
        <v>29071</v>
      </c>
      <c r="J5" s="467">
        <v>302907</v>
      </c>
      <c r="K5" s="466">
        <v>29071</v>
      </c>
    </row>
    <row r="6" spans="1:12" ht="15" x14ac:dyDescent="0.2">
      <c r="A6" s="463" t="s">
        <v>1761</v>
      </c>
      <c r="B6" s="470">
        <v>1130</v>
      </c>
      <c r="C6" s="466">
        <v>29071</v>
      </c>
      <c r="D6" s="466"/>
      <c r="E6" s="475"/>
      <c r="F6" s="475"/>
      <c r="G6" s="468"/>
      <c r="H6" s="468"/>
      <c r="I6" s="468"/>
      <c r="J6" s="468"/>
      <c r="K6" s="468"/>
    </row>
    <row r="7" spans="1:12" x14ac:dyDescent="0.2">
      <c r="A7" s="463" t="s">
        <v>112</v>
      </c>
      <c r="B7" s="549">
        <v>1140</v>
      </c>
      <c r="C7" s="466">
        <v>11629</v>
      </c>
      <c r="D7" s="466"/>
      <c r="E7" s="468"/>
      <c r="F7" s="467"/>
      <c r="G7" s="467"/>
      <c r="H7" s="467"/>
      <c r="I7" s="468"/>
      <c r="J7" s="468"/>
      <c r="K7" s="468"/>
    </row>
    <row r="8" spans="1:12" x14ac:dyDescent="0.2">
      <c r="A8" s="463" t="s">
        <v>433</v>
      </c>
      <c r="B8" s="470">
        <v>1150</v>
      </c>
      <c r="C8" s="475"/>
      <c r="D8" s="475"/>
      <c r="E8" s="477"/>
      <c r="F8" s="477"/>
      <c r="G8" s="481">
        <v>130501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575611</v>
      </c>
      <c r="D12" s="1727">
        <f t="shared" si="0"/>
        <v>145356</v>
      </c>
      <c r="E12" s="1727">
        <f t="shared" si="0"/>
        <v>294527</v>
      </c>
      <c r="F12" s="1727">
        <f t="shared" si="0"/>
        <v>69771</v>
      </c>
      <c r="G12" s="1727">
        <f t="shared" si="0"/>
        <v>250961</v>
      </c>
      <c r="H12" s="1727">
        <f t="shared" si="0"/>
        <v>0</v>
      </c>
      <c r="I12" s="1727">
        <f t="shared" si="0"/>
        <v>29071</v>
      </c>
      <c r="J12" s="1727">
        <f t="shared" si="0"/>
        <v>302907</v>
      </c>
      <c r="K12" s="1708">
        <f t="shared" si="0"/>
        <v>29071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3349</v>
      </c>
      <c r="D14" s="466">
        <v>846</v>
      </c>
      <c r="E14" s="466">
        <v>1713</v>
      </c>
      <c r="F14" s="466">
        <v>406</v>
      </c>
      <c r="G14" s="466">
        <v>1460</v>
      </c>
      <c r="H14" s="466"/>
      <c r="I14" s="466">
        <v>169</v>
      </c>
      <c r="J14" s="467"/>
      <c r="K14" s="466">
        <v>169</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62713</v>
      </c>
      <c r="D16" s="466"/>
      <c r="E16" s="466"/>
      <c r="F16" s="466"/>
      <c r="G16" s="466">
        <v>2573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66062</v>
      </c>
      <c r="D18" s="1730">
        <f t="shared" ref="D18:K18" si="1">SUM(D14:D17)</f>
        <v>846</v>
      </c>
      <c r="E18" s="1730">
        <f t="shared" si="1"/>
        <v>1713</v>
      </c>
      <c r="F18" s="1730">
        <f t="shared" si="1"/>
        <v>406</v>
      </c>
      <c r="G18" s="1730">
        <f t="shared" si="1"/>
        <v>4033</v>
      </c>
      <c r="H18" s="1730">
        <f t="shared" si="1"/>
        <v>0</v>
      </c>
      <c r="I18" s="1730">
        <f t="shared" si="1"/>
        <v>169</v>
      </c>
      <c r="J18" s="1730">
        <f t="shared" si="1"/>
        <v>0</v>
      </c>
      <c r="K18" s="1731">
        <f t="shared" si="1"/>
        <v>169</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8067</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72150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80217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960</v>
      </c>
      <c r="G42" s="468"/>
      <c r="H42" s="468"/>
      <c r="I42" s="468"/>
      <c r="J42" s="468"/>
      <c r="K42" s="468"/>
    </row>
    <row r="43" spans="1:11" ht="12.75" customHeight="1" x14ac:dyDescent="0.2">
      <c r="A43" s="463" t="s">
        <v>892</v>
      </c>
      <c r="B43" s="470">
        <v>1412</v>
      </c>
      <c r="C43" s="468"/>
      <c r="D43" s="468"/>
      <c r="E43" s="468"/>
      <c r="F43" s="466">
        <v>1300</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2260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13009</v>
      </c>
      <c r="D65" s="466">
        <v>2023</v>
      </c>
      <c r="E65" s="466">
        <v>347</v>
      </c>
      <c r="F65" s="467">
        <v>486</v>
      </c>
      <c r="G65" s="466">
        <v>316</v>
      </c>
      <c r="H65" s="466"/>
      <c r="I65" s="466">
        <v>661</v>
      </c>
      <c r="J65" s="467">
        <v>897</v>
      </c>
      <c r="K65" s="466">
        <v>793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13009</v>
      </c>
      <c r="D67" s="1708">
        <f t="shared" ref="D67:K67" si="2">SUM(D65:D66)</f>
        <v>2023</v>
      </c>
      <c r="E67" s="1708">
        <f t="shared" si="2"/>
        <v>347</v>
      </c>
      <c r="F67" s="1708">
        <f t="shared" si="2"/>
        <v>486</v>
      </c>
      <c r="G67" s="1708">
        <f t="shared" si="2"/>
        <v>316</v>
      </c>
      <c r="H67" s="1708">
        <f t="shared" si="2"/>
        <v>0</v>
      </c>
      <c r="I67" s="1708">
        <f t="shared" si="2"/>
        <v>661</v>
      </c>
      <c r="J67" s="1708">
        <f t="shared" si="2"/>
        <v>897</v>
      </c>
      <c r="K67" s="1708">
        <f t="shared" si="2"/>
        <v>793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56045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9715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535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66295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9094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1965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11059</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9600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3780</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13380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3620</v>
      </c>
      <c r="E95" s="521"/>
      <c r="F95" s="521"/>
      <c r="G95" s="521"/>
      <c r="H95" s="521"/>
      <c r="I95" s="521"/>
      <c r="J95" s="521"/>
      <c r="K95" s="521"/>
    </row>
    <row r="96" spans="1:11" ht="12.75" customHeight="1" x14ac:dyDescent="0.2">
      <c r="A96" s="463" t="s">
        <v>409</v>
      </c>
      <c r="B96" s="470">
        <v>1920</v>
      </c>
      <c r="C96" s="551">
        <v>1100</v>
      </c>
      <c r="D96" s="551">
        <v>500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938</v>
      </c>
      <c r="D98" s="466"/>
      <c r="E98" s="512"/>
      <c r="F98" s="466"/>
      <c r="G98" s="512"/>
      <c r="H98" s="512"/>
      <c r="I98" s="510"/>
      <c r="J98" s="512"/>
      <c r="K98" s="512"/>
    </row>
    <row r="99" spans="1:12" ht="12.75" customHeight="1" x14ac:dyDescent="0.2">
      <c r="A99" s="463" t="s">
        <v>875</v>
      </c>
      <c r="B99" s="470">
        <v>1950</v>
      </c>
      <c r="C99" s="489">
        <v>24471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1990</v>
      </c>
      <c r="D106" s="489"/>
      <c r="E106" s="467"/>
      <c r="F106" s="467"/>
      <c r="G106" s="467"/>
      <c r="H106" s="467"/>
      <c r="I106" s="521"/>
      <c r="J106" s="467"/>
      <c r="K106" s="467"/>
    </row>
    <row r="107" spans="1:12" ht="12.75" customHeight="1" x14ac:dyDescent="0.2">
      <c r="A107" s="463" t="s">
        <v>80</v>
      </c>
      <c r="B107" s="470">
        <v>1999</v>
      </c>
      <c r="C107" s="551">
        <v>441</v>
      </c>
      <c r="D107" s="466">
        <v>765</v>
      </c>
      <c r="E107" s="466"/>
      <c r="F107" s="466">
        <v>2849</v>
      </c>
      <c r="G107" s="466"/>
      <c r="H107" s="466"/>
      <c r="I107" s="466"/>
      <c r="J107" s="467"/>
      <c r="K107" s="466"/>
    </row>
    <row r="108" spans="1:12" ht="12.75" customHeight="1" thickBot="1" x14ac:dyDescent="0.25">
      <c r="A108" s="1728" t="s">
        <v>508</v>
      </c>
      <c r="B108" s="1732"/>
      <c r="C108" s="1727">
        <f>SUM(C95:C107)</f>
        <v>28940</v>
      </c>
      <c r="D108" s="1727">
        <f t="shared" ref="D108:K108" si="3">SUM(D95:D107)</f>
        <v>4885</v>
      </c>
      <c r="E108" s="1727">
        <f t="shared" si="3"/>
        <v>0</v>
      </c>
      <c r="F108" s="1727">
        <f t="shared" si="3"/>
        <v>2849</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854573</v>
      </c>
      <c r="D109" s="1735">
        <f t="shared" si="4"/>
        <v>153110</v>
      </c>
      <c r="E109" s="1735">
        <f t="shared" si="4"/>
        <v>296587</v>
      </c>
      <c r="F109" s="1735">
        <f t="shared" si="4"/>
        <v>75772</v>
      </c>
      <c r="G109" s="1735">
        <f t="shared" si="4"/>
        <v>255310</v>
      </c>
      <c r="H109" s="1735">
        <f t="shared" si="4"/>
        <v>0</v>
      </c>
      <c r="I109" s="1735">
        <f t="shared" si="4"/>
        <v>29901</v>
      </c>
      <c r="J109" s="1735">
        <f t="shared" si="4"/>
        <v>303804</v>
      </c>
      <c r="K109" s="1722">
        <f t="shared" si="4"/>
        <v>30033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3206002</v>
      </c>
      <c r="D117" s="481">
        <v>110000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3206002</v>
      </c>
      <c r="D121" s="1727">
        <f t="shared" si="5"/>
        <v>110000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43369</v>
      </c>
      <c r="D125" s="561"/>
      <c r="E125" s="468"/>
      <c r="F125" s="466"/>
      <c r="G125" s="468"/>
      <c r="H125" s="468"/>
      <c r="I125" s="468"/>
      <c r="J125" s="468"/>
      <c r="K125" s="468"/>
    </row>
    <row r="126" spans="1:11" ht="12.75" customHeight="1" x14ac:dyDescent="0.2">
      <c r="A126" s="463" t="s">
        <v>922</v>
      </c>
      <c r="B126" s="562">
        <v>3110</v>
      </c>
      <c r="C126" s="551">
        <v>68138</v>
      </c>
      <c r="D126" s="466"/>
      <c r="E126" s="468"/>
      <c r="F126" s="466"/>
      <c r="G126" s="468"/>
      <c r="H126" s="468"/>
      <c r="I126" s="468"/>
      <c r="J126" s="468"/>
      <c r="K126" s="468"/>
    </row>
    <row r="127" spans="1:11" ht="12.75" customHeight="1" x14ac:dyDescent="0.2">
      <c r="A127" s="463" t="s">
        <v>107</v>
      </c>
      <c r="B127" s="562">
        <v>3120</v>
      </c>
      <c r="C127" s="466">
        <v>20111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131618</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4003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56164</v>
      </c>
      <c r="G151" s="467"/>
      <c r="H151" s="468"/>
      <c r="I151" s="468"/>
      <c r="J151" s="468"/>
      <c r="K151" s="468"/>
    </row>
    <row r="152" spans="1:11" ht="12.75" customHeight="1" x14ac:dyDescent="0.2">
      <c r="A152" s="463" t="s">
        <v>1117</v>
      </c>
      <c r="B152" s="562">
        <v>3510</v>
      </c>
      <c r="C152" s="551"/>
      <c r="D152" s="466"/>
      <c r="E152" s="561"/>
      <c r="F152" s="466">
        <v>82587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138751</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472833</v>
      </c>
      <c r="D158" s="578"/>
      <c r="E158" s="561"/>
      <c r="F158" s="576">
        <v>7830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2">
        <f t="shared" ref="C172:K172" si="6">SUM(C131,C140,C144,C145:C149,C154,C155:C170,C171)</f>
        <v>609954</v>
      </c>
      <c r="D172" s="1742">
        <f t="shared" si="6"/>
        <v>0</v>
      </c>
      <c r="E172" s="1742">
        <f t="shared" si="6"/>
        <v>0</v>
      </c>
      <c r="F172" s="1742">
        <f t="shared" si="6"/>
        <v>146581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3815956</v>
      </c>
      <c r="D173" s="1735">
        <f>SUM(D121,D172)</f>
        <v>110000</v>
      </c>
      <c r="E173" s="1735">
        <f>SUM(E121,E172)</f>
        <v>0</v>
      </c>
      <c r="F173" s="1735">
        <f t="shared" ref="F173:K173" si="7">SUM(F121,F172)</f>
        <v>146581</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1121</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1121</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53336</v>
      </c>
      <c r="D193" s="468"/>
      <c r="E193" s="561"/>
      <c r="F193" s="553"/>
      <c r="G193" s="585"/>
      <c r="H193" s="468"/>
      <c r="I193" s="468"/>
      <c r="J193" s="468"/>
      <c r="K193" s="468"/>
    </row>
    <row r="194" spans="1:11" ht="12.75" customHeight="1" x14ac:dyDescent="0.2">
      <c r="A194" s="463" t="s">
        <v>1118</v>
      </c>
      <c r="B194" s="470">
        <v>4210</v>
      </c>
      <c r="C194" s="466">
        <v>177187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230523</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192722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192722</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383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383</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v>45705</v>
      </c>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45705</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13369</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4103</v>
      </c>
      <c r="D270" s="576"/>
      <c r="E270" s="468"/>
      <c r="F270" s="576"/>
      <c r="G270" s="576"/>
      <c r="H270" s="468"/>
      <c r="I270" s="468"/>
      <c r="J270" s="468"/>
      <c r="K270" s="468"/>
    </row>
    <row r="271" spans="1:11" ht="12.75" customHeight="1" thickTop="1" thickBot="1" x14ac:dyDescent="0.25">
      <c r="A271" s="463" t="s">
        <v>395</v>
      </c>
      <c r="B271" s="470">
        <v>4992</v>
      </c>
      <c r="C271" s="575">
        <v>102231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544452</v>
      </c>
      <c r="D273" s="1735">
        <f t="shared" si="10"/>
        <v>0</v>
      </c>
      <c r="E273" s="1735">
        <f t="shared" si="10"/>
        <v>45705</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544452</v>
      </c>
      <c r="D274" s="1735">
        <f>SUM(D178,D184,D273)</f>
        <v>0</v>
      </c>
      <c r="E274" s="1735">
        <f>SUM(E178,E273)</f>
        <v>45705</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5214981</v>
      </c>
      <c r="D275" s="1735">
        <f t="shared" si="12"/>
        <v>263110</v>
      </c>
      <c r="E275" s="1735">
        <f t="shared" si="12"/>
        <v>342292</v>
      </c>
      <c r="F275" s="1735">
        <f t="shared" si="12"/>
        <v>222353</v>
      </c>
      <c r="G275" s="1735">
        <f t="shared" si="12"/>
        <v>255310</v>
      </c>
      <c r="H275" s="1735">
        <f t="shared" si="12"/>
        <v>0</v>
      </c>
      <c r="I275" s="1735">
        <f t="shared" si="12"/>
        <v>29901</v>
      </c>
      <c r="J275" s="1735">
        <f t="shared" si="12"/>
        <v>303804</v>
      </c>
      <c r="K275" s="1722">
        <f t="shared" si="12"/>
        <v>30033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64" right="0.2" top="0.8" bottom="0.38" header="0.26" footer="0.17"/>
  <pageSetup scale="70" firstPageNumber="9" orientation="landscape" useFirstPageNumber="1" r:id="rId1"/>
  <headerFooter alignWithMargins="0">
    <oddHeader>&amp;C&amp;"Arial,Bold"&amp;9 Fairfield Public School District 112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89" zoomScaleNormal="89" workbookViewId="0">
      <pane ySplit="2" topLeftCell="A132"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1986242</v>
      </c>
      <c r="D5" s="466">
        <v>395283</v>
      </c>
      <c r="E5" s="466">
        <v>13145</v>
      </c>
      <c r="F5" s="466">
        <v>52238</v>
      </c>
      <c r="G5" s="466">
        <v>16466</v>
      </c>
      <c r="H5" s="466">
        <v>885</v>
      </c>
      <c r="I5" s="467"/>
      <c r="J5" s="467"/>
      <c r="K5" s="1691">
        <f>SUM(C5:J5)</f>
        <v>2464259</v>
      </c>
      <c r="L5" s="466">
        <v>2504590</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c r="D7" s="467"/>
      <c r="E7" s="467"/>
      <c r="F7" s="467"/>
      <c r="G7" s="467"/>
      <c r="H7" s="467"/>
      <c r="I7" s="467"/>
      <c r="J7" s="467"/>
      <c r="K7" s="1691">
        <f t="shared" ref="K7:K32" si="0">SUM(C7:J7)</f>
        <v>0</v>
      </c>
      <c r="L7" s="466">
        <v>0</v>
      </c>
    </row>
    <row r="8" spans="1:14" x14ac:dyDescent="0.2">
      <c r="A8" s="1526" t="s">
        <v>166</v>
      </c>
      <c r="B8" s="615">
        <v>1200</v>
      </c>
      <c r="C8" s="466">
        <v>540886</v>
      </c>
      <c r="D8" s="466">
        <v>106589</v>
      </c>
      <c r="E8" s="466">
        <v>1739</v>
      </c>
      <c r="F8" s="466">
        <v>1224</v>
      </c>
      <c r="G8" s="466"/>
      <c r="H8" s="466">
        <v>48983</v>
      </c>
      <c r="I8" s="467"/>
      <c r="J8" s="467"/>
      <c r="K8" s="1691">
        <f t="shared" si="0"/>
        <v>699421</v>
      </c>
      <c r="L8" s="466">
        <v>675900</v>
      </c>
    </row>
    <row r="9" spans="1:14" x14ac:dyDescent="0.2">
      <c r="A9" s="1526" t="s">
        <v>745</v>
      </c>
      <c r="B9" s="615" t="s">
        <v>1025</v>
      </c>
      <c r="C9" s="467"/>
      <c r="D9" s="467"/>
      <c r="E9" s="467"/>
      <c r="F9" s="467"/>
      <c r="G9" s="467"/>
      <c r="H9" s="467"/>
      <c r="I9" s="467"/>
      <c r="J9" s="467"/>
      <c r="K9" s="1691">
        <f t="shared" si="0"/>
        <v>0</v>
      </c>
      <c r="L9" s="466">
        <v>0</v>
      </c>
    </row>
    <row r="10" spans="1:14" x14ac:dyDescent="0.2">
      <c r="A10" s="1526" t="s">
        <v>746</v>
      </c>
      <c r="B10" s="615">
        <v>1250</v>
      </c>
      <c r="C10" s="466">
        <v>77926</v>
      </c>
      <c r="D10" s="466">
        <v>12868</v>
      </c>
      <c r="E10" s="466">
        <v>34280</v>
      </c>
      <c r="F10" s="466">
        <v>64804</v>
      </c>
      <c r="G10" s="466">
        <v>7434</v>
      </c>
      <c r="H10" s="466"/>
      <c r="I10" s="467"/>
      <c r="J10" s="467"/>
      <c r="K10" s="1691">
        <f t="shared" si="0"/>
        <v>197312</v>
      </c>
      <c r="L10" s="466">
        <v>232953</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c r="D13" s="466"/>
      <c r="E13" s="466"/>
      <c r="F13" s="466"/>
      <c r="G13" s="466"/>
      <c r="H13" s="466"/>
      <c r="I13" s="467"/>
      <c r="J13" s="467"/>
      <c r="K13" s="1691">
        <f t="shared" si="0"/>
        <v>0</v>
      </c>
      <c r="L13" s="466">
        <v>0</v>
      </c>
    </row>
    <row r="14" spans="1:14" x14ac:dyDescent="0.2">
      <c r="A14" s="1526" t="s">
        <v>1020</v>
      </c>
      <c r="B14" s="615">
        <v>1500</v>
      </c>
      <c r="C14" s="466">
        <v>35147</v>
      </c>
      <c r="D14" s="466">
        <v>3177</v>
      </c>
      <c r="E14" s="466">
        <v>14276</v>
      </c>
      <c r="F14" s="466">
        <v>6803</v>
      </c>
      <c r="G14" s="466"/>
      <c r="H14" s="466"/>
      <c r="I14" s="467"/>
      <c r="J14" s="467"/>
      <c r="K14" s="1691">
        <f t="shared" si="0"/>
        <v>59403</v>
      </c>
      <c r="L14" s="466">
        <v>62100</v>
      </c>
    </row>
    <row r="15" spans="1:14" x14ac:dyDescent="0.2">
      <c r="A15" s="1526" t="s">
        <v>1021</v>
      </c>
      <c r="B15" s="615">
        <v>1600</v>
      </c>
      <c r="C15" s="466"/>
      <c r="D15" s="466"/>
      <c r="E15" s="466"/>
      <c r="F15" s="466"/>
      <c r="G15" s="466"/>
      <c r="H15" s="466"/>
      <c r="I15" s="467"/>
      <c r="J15" s="467"/>
      <c r="K15" s="1691">
        <f t="shared" si="0"/>
        <v>0</v>
      </c>
      <c r="L15" s="466">
        <v>0</v>
      </c>
    </row>
    <row r="16" spans="1:14" x14ac:dyDescent="0.2">
      <c r="A16" s="1526" t="s">
        <v>1044</v>
      </c>
      <c r="B16" s="615" t="s">
        <v>444</v>
      </c>
      <c r="C16" s="466">
        <v>4500</v>
      </c>
      <c r="D16" s="466">
        <v>595</v>
      </c>
      <c r="E16" s="466">
        <v>1570</v>
      </c>
      <c r="F16" s="466">
        <v>1909</v>
      </c>
      <c r="G16" s="466"/>
      <c r="H16" s="466"/>
      <c r="I16" s="467"/>
      <c r="J16" s="467"/>
      <c r="K16" s="1691">
        <f t="shared" si="0"/>
        <v>8574</v>
      </c>
      <c r="L16" s="466">
        <v>7825</v>
      </c>
    </row>
    <row r="17" spans="1:12" x14ac:dyDescent="0.2">
      <c r="A17" s="1526" t="s">
        <v>748</v>
      </c>
      <c r="B17" s="615" t="s">
        <v>164</v>
      </c>
      <c r="C17" s="467"/>
      <c r="D17" s="467"/>
      <c r="E17" s="467"/>
      <c r="F17" s="467"/>
      <c r="G17" s="467"/>
      <c r="H17" s="467"/>
      <c r="I17" s="467"/>
      <c r="J17" s="467"/>
      <c r="K17" s="1691">
        <f t="shared" si="0"/>
        <v>0</v>
      </c>
      <c r="L17" s="466">
        <v>0</v>
      </c>
    </row>
    <row r="18" spans="1:12" x14ac:dyDescent="0.2">
      <c r="A18" s="1526" t="s">
        <v>1148</v>
      </c>
      <c r="B18" s="615">
        <v>1800</v>
      </c>
      <c r="C18" s="466"/>
      <c r="D18" s="466"/>
      <c r="E18" s="466"/>
      <c r="F18" s="466"/>
      <c r="G18" s="466"/>
      <c r="H18" s="466"/>
      <c r="I18" s="467"/>
      <c r="J18" s="467"/>
      <c r="K18" s="1691">
        <f t="shared" si="0"/>
        <v>0</v>
      </c>
      <c r="L18" s="466">
        <v>0</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0</v>
      </c>
    </row>
    <row r="22" spans="1:12" x14ac:dyDescent="0.2">
      <c r="A22" s="1527" t="s">
        <v>764</v>
      </c>
      <c r="B22" s="603" t="s">
        <v>751</v>
      </c>
      <c r="C22" s="477"/>
      <c r="D22" s="477"/>
      <c r="E22" s="477"/>
      <c r="F22" s="477"/>
      <c r="G22" s="477"/>
      <c r="H22" s="474"/>
      <c r="I22" s="617"/>
      <c r="J22" s="477"/>
      <c r="K22" s="1691">
        <f t="shared" si="0"/>
        <v>0</v>
      </c>
      <c r="L22" s="471">
        <v>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2644701</v>
      </c>
      <c r="D33" s="1690">
        <f t="shared" ref="D33:L33" si="1">SUM(D5:D32)</f>
        <v>518512</v>
      </c>
      <c r="E33" s="1690">
        <f t="shared" si="1"/>
        <v>65010</v>
      </c>
      <c r="F33" s="1690">
        <f t="shared" si="1"/>
        <v>126978</v>
      </c>
      <c r="G33" s="1690">
        <f t="shared" si="1"/>
        <v>23900</v>
      </c>
      <c r="H33" s="1690">
        <f t="shared" si="1"/>
        <v>49868</v>
      </c>
      <c r="I33" s="1690">
        <f t="shared" si="1"/>
        <v>0</v>
      </c>
      <c r="J33" s="1690">
        <f t="shared" si="1"/>
        <v>0</v>
      </c>
      <c r="K33" s="1690">
        <f t="shared" si="1"/>
        <v>3428969</v>
      </c>
      <c r="L33" s="1690">
        <f t="shared" si="1"/>
        <v>3483368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1">
        <f t="shared" ref="K36:K41" si="2">SUM(C36:J36)</f>
        <v>0</v>
      </c>
      <c r="L36" s="466">
        <v>0</v>
      </c>
    </row>
    <row r="37" spans="1:14" x14ac:dyDescent="0.2">
      <c r="A37" s="1526" t="s">
        <v>1151</v>
      </c>
      <c r="B37" s="615">
        <v>2120</v>
      </c>
      <c r="C37" s="466">
        <v>23086</v>
      </c>
      <c r="D37" s="466">
        <v>6488</v>
      </c>
      <c r="E37" s="466"/>
      <c r="F37" s="466"/>
      <c r="G37" s="466"/>
      <c r="H37" s="466"/>
      <c r="I37" s="467"/>
      <c r="J37" s="467"/>
      <c r="K37" s="1691">
        <f t="shared" si="2"/>
        <v>29574</v>
      </c>
      <c r="L37" s="466">
        <v>37743</v>
      </c>
    </row>
    <row r="38" spans="1:14" x14ac:dyDescent="0.2">
      <c r="A38" s="1526" t="s">
        <v>207</v>
      </c>
      <c r="B38" s="615">
        <v>2130</v>
      </c>
      <c r="C38" s="466">
        <v>45978</v>
      </c>
      <c r="D38" s="466">
        <v>13226</v>
      </c>
      <c r="E38" s="466">
        <v>50</v>
      </c>
      <c r="F38" s="466">
        <v>2493</v>
      </c>
      <c r="G38" s="466"/>
      <c r="H38" s="466"/>
      <c r="I38" s="467"/>
      <c r="J38" s="467"/>
      <c r="K38" s="1691">
        <f t="shared" si="2"/>
        <v>61747</v>
      </c>
      <c r="L38" s="466">
        <v>62266</v>
      </c>
    </row>
    <row r="39" spans="1:14" x14ac:dyDescent="0.2">
      <c r="A39" s="1526" t="s">
        <v>208</v>
      </c>
      <c r="B39" s="615">
        <v>2140</v>
      </c>
      <c r="C39" s="466"/>
      <c r="D39" s="466"/>
      <c r="E39" s="466">
        <v>9943</v>
      </c>
      <c r="F39" s="466"/>
      <c r="G39" s="466"/>
      <c r="H39" s="466"/>
      <c r="I39" s="467"/>
      <c r="J39" s="467"/>
      <c r="K39" s="1691">
        <f t="shared" si="2"/>
        <v>9943</v>
      </c>
      <c r="L39" s="466">
        <v>10800</v>
      </c>
    </row>
    <row r="40" spans="1:14" x14ac:dyDescent="0.2">
      <c r="A40" s="1526" t="s">
        <v>209</v>
      </c>
      <c r="B40" s="615">
        <v>2150</v>
      </c>
      <c r="C40" s="466">
        <v>102409</v>
      </c>
      <c r="D40" s="466">
        <v>19872</v>
      </c>
      <c r="E40" s="466">
        <v>1658</v>
      </c>
      <c r="F40" s="466">
        <v>718</v>
      </c>
      <c r="G40" s="466"/>
      <c r="H40" s="466"/>
      <c r="I40" s="467"/>
      <c r="J40" s="467"/>
      <c r="K40" s="1691">
        <f t="shared" si="2"/>
        <v>124657</v>
      </c>
      <c r="L40" s="466">
        <v>126552</v>
      </c>
    </row>
    <row r="41" spans="1:14" x14ac:dyDescent="0.2">
      <c r="A41" s="1526" t="s">
        <v>1768</v>
      </c>
      <c r="B41" s="615">
        <v>2190</v>
      </c>
      <c r="C41" s="466"/>
      <c r="D41" s="466"/>
      <c r="E41" s="466"/>
      <c r="F41" s="466"/>
      <c r="G41" s="466"/>
      <c r="H41" s="466"/>
      <c r="I41" s="467"/>
      <c r="J41" s="467"/>
      <c r="K41" s="1691">
        <f t="shared" si="2"/>
        <v>0</v>
      </c>
      <c r="L41" s="466">
        <v>0</v>
      </c>
    </row>
    <row r="42" spans="1:14" ht="12.75" customHeight="1" thickBot="1" x14ac:dyDescent="0.25">
      <c r="A42" s="1688" t="s">
        <v>581</v>
      </c>
      <c r="B42" s="1689" t="s">
        <v>740</v>
      </c>
      <c r="C42" s="1690">
        <f>SUM(C36:C41)</f>
        <v>171473</v>
      </c>
      <c r="D42" s="1690">
        <f t="shared" ref="D42:L42" si="3">SUM(D36:D41)</f>
        <v>39586</v>
      </c>
      <c r="E42" s="1690">
        <f t="shared" si="3"/>
        <v>11651</v>
      </c>
      <c r="F42" s="1690">
        <f t="shared" si="3"/>
        <v>3211</v>
      </c>
      <c r="G42" s="1690">
        <f t="shared" si="3"/>
        <v>0</v>
      </c>
      <c r="H42" s="1690">
        <f t="shared" si="3"/>
        <v>0</v>
      </c>
      <c r="I42" s="1690">
        <f t="shared" si="3"/>
        <v>0</v>
      </c>
      <c r="J42" s="1690">
        <f t="shared" si="3"/>
        <v>0</v>
      </c>
      <c r="K42" s="1690">
        <f t="shared" si="3"/>
        <v>225921</v>
      </c>
      <c r="L42" s="1690">
        <f t="shared" si="3"/>
        <v>237361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23200</v>
      </c>
      <c r="D44" s="481">
        <v>4088</v>
      </c>
      <c r="E44" s="481">
        <v>45884</v>
      </c>
      <c r="F44" s="481"/>
      <c r="G44" s="481"/>
      <c r="H44" s="481"/>
      <c r="I44" s="467"/>
      <c r="J44" s="467"/>
      <c r="K44" s="1692">
        <f>SUM(C44:J44)</f>
        <v>73172</v>
      </c>
      <c r="L44" s="481">
        <v>81000</v>
      </c>
    </row>
    <row r="45" spans="1:14" x14ac:dyDescent="0.2">
      <c r="A45" s="1526" t="s">
        <v>869</v>
      </c>
      <c r="B45" s="615">
        <v>2220</v>
      </c>
      <c r="C45" s="466"/>
      <c r="D45" s="466"/>
      <c r="E45" s="466"/>
      <c r="F45" s="466">
        <v>13826</v>
      </c>
      <c r="G45" s="466">
        <v>10757</v>
      </c>
      <c r="H45" s="466"/>
      <c r="I45" s="467"/>
      <c r="J45" s="467"/>
      <c r="K45" s="1692">
        <f>SUM(C45:J45)</f>
        <v>24583</v>
      </c>
      <c r="L45" s="466">
        <v>24000</v>
      </c>
    </row>
    <row r="46" spans="1:14" x14ac:dyDescent="0.2">
      <c r="A46" s="1526" t="s">
        <v>870</v>
      </c>
      <c r="B46" s="615">
        <v>2230</v>
      </c>
      <c r="C46" s="466"/>
      <c r="D46" s="466"/>
      <c r="E46" s="466">
        <v>10431</v>
      </c>
      <c r="F46" s="466"/>
      <c r="G46" s="466"/>
      <c r="H46" s="466"/>
      <c r="I46" s="467"/>
      <c r="J46" s="467"/>
      <c r="K46" s="1692">
        <f>SUM(C46:J46)</f>
        <v>10431</v>
      </c>
      <c r="L46" s="466">
        <v>11000</v>
      </c>
    </row>
    <row r="47" spans="1:14" ht="12.75" customHeight="1" thickBot="1" x14ac:dyDescent="0.25">
      <c r="A47" s="1688" t="s">
        <v>582</v>
      </c>
      <c r="B47" s="1689" t="s">
        <v>32</v>
      </c>
      <c r="C47" s="1690">
        <f>SUM(C44:C46)</f>
        <v>23200</v>
      </c>
      <c r="D47" s="1690">
        <f t="shared" ref="D47:K47" si="4">SUM(D44:D46)</f>
        <v>4088</v>
      </c>
      <c r="E47" s="1690">
        <f t="shared" si="4"/>
        <v>56315</v>
      </c>
      <c r="F47" s="1690">
        <f t="shared" si="4"/>
        <v>13826</v>
      </c>
      <c r="G47" s="1690">
        <f t="shared" si="4"/>
        <v>10757</v>
      </c>
      <c r="H47" s="1690">
        <f t="shared" si="4"/>
        <v>0</v>
      </c>
      <c r="I47" s="1690">
        <f t="shared" si="4"/>
        <v>0</v>
      </c>
      <c r="J47" s="1690">
        <f t="shared" si="4"/>
        <v>0</v>
      </c>
      <c r="K47" s="1690">
        <f t="shared" si="4"/>
        <v>108186</v>
      </c>
      <c r="L47" s="1690">
        <f>SUM(L44:L46)</f>
        <v>116000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13412</v>
      </c>
      <c r="D49" s="481">
        <v>1563</v>
      </c>
      <c r="E49" s="481">
        <v>22225</v>
      </c>
      <c r="F49" s="481">
        <v>3183</v>
      </c>
      <c r="G49" s="481"/>
      <c r="H49" s="481"/>
      <c r="I49" s="467"/>
      <c r="J49" s="467"/>
      <c r="K49" s="1692">
        <f>SUM(C49:J49)</f>
        <v>40383</v>
      </c>
      <c r="L49" s="481">
        <v>24800</v>
      </c>
    </row>
    <row r="50" spans="1:14" x14ac:dyDescent="0.2">
      <c r="A50" s="1526" t="s">
        <v>872</v>
      </c>
      <c r="B50" s="615">
        <v>2320</v>
      </c>
      <c r="C50" s="466">
        <v>102736</v>
      </c>
      <c r="D50" s="466">
        <v>26249</v>
      </c>
      <c r="E50" s="466">
        <v>6098</v>
      </c>
      <c r="F50" s="466"/>
      <c r="G50" s="466"/>
      <c r="H50" s="466"/>
      <c r="I50" s="467"/>
      <c r="J50" s="467"/>
      <c r="K50" s="1692">
        <f>SUM(C50:J50)</f>
        <v>135083</v>
      </c>
      <c r="L50" s="466">
        <v>135080</v>
      </c>
    </row>
    <row r="51" spans="1:14" x14ac:dyDescent="0.2">
      <c r="A51" s="1526" t="s">
        <v>44</v>
      </c>
      <c r="B51" s="615">
        <v>2330</v>
      </c>
      <c r="C51" s="466"/>
      <c r="D51" s="466"/>
      <c r="E51" s="466"/>
      <c r="F51" s="466"/>
      <c r="G51" s="466"/>
      <c r="H51" s="466"/>
      <c r="I51" s="467"/>
      <c r="J51" s="467"/>
      <c r="K51" s="1692">
        <f>SUM(C51:J51)</f>
        <v>0</v>
      </c>
      <c r="L51" s="466">
        <v>0</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116148</v>
      </c>
      <c r="D53" s="1690">
        <f t="shared" ref="D53:L53" si="5">SUM(D49:D52)</f>
        <v>27812</v>
      </c>
      <c r="E53" s="1690">
        <f t="shared" si="5"/>
        <v>28323</v>
      </c>
      <c r="F53" s="1690">
        <f t="shared" si="5"/>
        <v>3183</v>
      </c>
      <c r="G53" s="1690">
        <f t="shared" si="5"/>
        <v>0</v>
      </c>
      <c r="H53" s="1690">
        <f t="shared" si="5"/>
        <v>0</v>
      </c>
      <c r="I53" s="1690">
        <f t="shared" si="5"/>
        <v>0</v>
      </c>
      <c r="J53" s="1690">
        <f t="shared" si="5"/>
        <v>0</v>
      </c>
      <c r="K53" s="1690">
        <f t="shared" si="5"/>
        <v>175466</v>
      </c>
      <c r="L53" s="1690">
        <f t="shared" si="5"/>
        <v>159880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295745</v>
      </c>
      <c r="D55" s="481">
        <v>55743</v>
      </c>
      <c r="E55" s="481">
        <v>62190</v>
      </c>
      <c r="F55" s="481">
        <v>4395</v>
      </c>
      <c r="G55" s="481"/>
      <c r="H55" s="481"/>
      <c r="I55" s="467"/>
      <c r="J55" s="467"/>
      <c r="K55" s="1692">
        <f>SUM(C55:J55)</f>
        <v>418073</v>
      </c>
      <c r="L55" s="481">
        <v>425174</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295745</v>
      </c>
      <c r="D57" s="1694">
        <f t="shared" ref="D57:K57" si="6">SUM(D55:D56)</f>
        <v>55743</v>
      </c>
      <c r="E57" s="1694">
        <f t="shared" si="6"/>
        <v>62190</v>
      </c>
      <c r="F57" s="1694">
        <f t="shared" si="6"/>
        <v>4395</v>
      </c>
      <c r="G57" s="1694">
        <f t="shared" si="6"/>
        <v>0</v>
      </c>
      <c r="H57" s="1694">
        <f t="shared" si="6"/>
        <v>0</v>
      </c>
      <c r="I57" s="1694">
        <f t="shared" si="6"/>
        <v>0</v>
      </c>
      <c r="J57" s="1694">
        <f t="shared" si="6"/>
        <v>0</v>
      </c>
      <c r="K57" s="1694">
        <f t="shared" si="6"/>
        <v>418073</v>
      </c>
      <c r="L57" s="1690">
        <f>SUM(L55:L56)</f>
        <v>425174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v>0</v>
      </c>
      <c r="M59" s="610"/>
      <c r="N59" s="610"/>
    </row>
    <row r="60" spans="1:14" s="343" customFormat="1" x14ac:dyDescent="0.2">
      <c r="A60" s="1526" t="s">
        <v>483</v>
      </c>
      <c r="B60" s="615">
        <v>2520</v>
      </c>
      <c r="C60" s="466">
        <v>62518</v>
      </c>
      <c r="D60" s="466">
        <v>90</v>
      </c>
      <c r="E60" s="466">
        <v>29278</v>
      </c>
      <c r="F60" s="466">
        <v>1936</v>
      </c>
      <c r="G60" s="466"/>
      <c r="H60" s="466"/>
      <c r="I60" s="467"/>
      <c r="J60" s="467"/>
      <c r="K60" s="1692">
        <f t="shared" si="7"/>
        <v>93822</v>
      </c>
      <c r="L60" s="466">
        <v>95400</v>
      </c>
      <c r="M60" s="610"/>
      <c r="N60" s="610"/>
    </row>
    <row r="61" spans="1:14" s="343" customFormat="1" x14ac:dyDescent="0.2">
      <c r="A61" s="1526" t="s">
        <v>206</v>
      </c>
      <c r="B61" s="615">
        <v>2540</v>
      </c>
      <c r="C61" s="466">
        <v>243583</v>
      </c>
      <c r="D61" s="466">
        <v>38604</v>
      </c>
      <c r="E61" s="466">
        <v>23375</v>
      </c>
      <c r="F61" s="466"/>
      <c r="G61" s="466"/>
      <c r="H61" s="466"/>
      <c r="I61" s="467"/>
      <c r="J61" s="467"/>
      <c r="K61" s="1692">
        <f t="shared" si="7"/>
        <v>305562</v>
      </c>
      <c r="L61" s="466">
        <v>301500</v>
      </c>
      <c r="M61" s="610"/>
      <c r="N61" s="610"/>
    </row>
    <row r="62" spans="1:14" s="343" customFormat="1" x14ac:dyDescent="0.2">
      <c r="A62" s="1526" t="s">
        <v>1010</v>
      </c>
      <c r="B62" s="615">
        <v>2550</v>
      </c>
      <c r="C62" s="466">
        <v>16934</v>
      </c>
      <c r="D62" s="466">
        <v>9643</v>
      </c>
      <c r="E62" s="466"/>
      <c r="F62" s="466"/>
      <c r="G62" s="466"/>
      <c r="H62" s="466"/>
      <c r="I62" s="467"/>
      <c r="J62" s="467"/>
      <c r="K62" s="1692">
        <f t="shared" si="7"/>
        <v>26577</v>
      </c>
      <c r="L62" s="466">
        <v>26200</v>
      </c>
      <c r="M62" s="610"/>
      <c r="N62" s="610"/>
    </row>
    <row r="63" spans="1:14" s="610" customFormat="1" x14ac:dyDescent="0.2">
      <c r="A63" s="1526" t="s">
        <v>102</v>
      </c>
      <c r="B63" s="615">
        <v>2560</v>
      </c>
      <c r="C63" s="466"/>
      <c r="D63" s="466"/>
      <c r="E63" s="466">
        <v>279713</v>
      </c>
      <c r="F63" s="466">
        <v>3828</v>
      </c>
      <c r="G63" s="466">
        <v>14491</v>
      </c>
      <c r="H63" s="466"/>
      <c r="I63" s="467"/>
      <c r="J63" s="467"/>
      <c r="K63" s="1692">
        <f t="shared" si="7"/>
        <v>298032</v>
      </c>
      <c r="L63" s="466">
        <v>311800</v>
      </c>
    </row>
    <row r="64" spans="1:14" s="610" customFormat="1" x14ac:dyDescent="0.2">
      <c r="A64" s="1531"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323035</v>
      </c>
      <c r="D65" s="1690">
        <f t="shared" ref="D65:L65" si="8">SUM(D59:D64)</f>
        <v>48337</v>
      </c>
      <c r="E65" s="1690">
        <f t="shared" si="8"/>
        <v>332366</v>
      </c>
      <c r="F65" s="1690">
        <f t="shared" si="8"/>
        <v>5764</v>
      </c>
      <c r="G65" s="1690">
        <f t="shared" si="8"/>
        <v>14491</v>
      </c>
      <c r="H65" s="1690">
        <f t="shared" si="8"/>
        <v>0</v>
      </c>
      <c r="I65" s="1690">
        <f t="shared" si="8"/>
        <v>0</v>
      </c>
      <c r="J65" s="1690">
        <f t="shared" si="8"/>
        <v>0</v>
      </c>
      <c r="K65" s="1690">
        <f t="shared" si="8"/>
        <v>723993</v>
      </c>
      <c r="L65" s="1690">
        <f t="shared" si="8"/>
        <v>734900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c r="D69" s="466"/>
      <c r="E69" s="466"/>
      <c r="F69" s="466"/>
      <c r="G69" s="466"/>
      <c r="H69" s="466"/>
      <c r="I69" s="467"/>
      <c r="J69" s="467"/>
      <c r="K69" s="1692">
        <f>SUM(C69:J69)</f>
        <v>0</v>
      </c>
      <c r="L69" s="466">
        <v>0</v>
      </c>
      <c r="M69" s="610"/>
      <c r="N69" s="610"/>
    </row>
    <row r="70" spans="1:14" s="343" customFormat="1" x14ac:dyDescent="0.2">
      <c r="A70" s="1526" t="s">
        <v>423</v>
      </c>
      <c r="B70" s="615">
        <v>2640</v>
      </c>
      <c r="C70" s="466"/>
      <c r="D70" s="466"/>
      <c r="E70" s="466"/>
      <c r="F70" s="466"/>
      <c r="G70" s="466"/>
      <c r="H70" s="466"/>
      <c r="I70" s="467"/>
      <c r="J70" s="467"/>
      <c r="K70" s="1692">
        <f>SUM(C70:J70)</f>
        <v>0</v>
      </c>
      <c r="L70" s="466">
        <v>0</v>
      </c>
      <c r="M70" s="610"/>
      <c r="N70" s="610"/>
    </row>
    <row r="71" spans="1:14" s="343" customFormat="1" x14ac:dyDescent="0.2">
      <c r="A71" s="1526" t="s">
        <v>424</v>
      </c>
      <c r="B71" s="615">
        <v>2660</v>
      </c>
      <c r="C71" s="466"/>
      <c r="D71" s="466"/>
      <c r="E71" s="466"/>
      <c r="F71" s="466"/>
      <c r="G71" s="466"/>
      <c r="H71" s="466"/>
      <c r="I71" s="467"/>
      <c r="J71" s="467"/>
      <c r="K71" s="1692">
        <f>SUM(C71:J71)</f>
        <v>0</v>
      </c>
      <c r="L71" s="466">
        <v>0</v>
      </c>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v>0</v>
      </c>
      <c r="M73" s="610"/>
      <c r="N73" s="610"/>
    </row>
    <row r="74" spans="1:14" ht="12.75" customHeight="1" thickTop="1" thickBot="1" x14ac:dyDescent="0.25">
      <c r="A74" s="1688" t="s">
        <v>865</v>
      </c>
      <c r="B74" s="1696">
        <v>2000</v>
      </c>
      <c r="C74" s="1697">
        <f>SUM(C42,C47,C53,C57,C65,C72,C73)</f>
        <v>929601</v>
      </c>
      <c r="D74" s="1697">
        <f t="shared" ref="D74:K74" si="10">SUM(D42,D47,D53,D57,D65,D72,D73)</f>
        <v>175566</v>
      </c>
      <c r="E74" s="1697">
        <f t="shared" si="10"/>
        <v>490845</v>
      </c>
      <c r="F74" s="1697">
        <f t="shared" si="10"/>
        <v>30379</v>
      </c>
      <c r="G74" s="1697">
        <f t="shared" si="10"/>
        <v>25248</v>
      </c>
      <c r="H74" s="1697">
        <f t="shared" si="10"/>
        <v>0</v>
      </c>
      <c r="I74" s="1697">
        <f t="shared" si="10"/>
        <v>0</v>
      </c>
      <c r="J74" s="1697">
        <f t="shared" si="10"/>
        <v>0</v>
      </c>
      <c r="K74" s="1697">
        <f t="shared" si="10"/>
        <v>1651639</v>
      </c>
      <c r="L74" s="1697">
        <f>SUM(L42,L47,L53,L57,L65,L72,L73)</f>
        <v>1673315</v>
      </c>
    </row>
    <row r="75" spans="1:14" s="259" customFormat="1" ht="15.75" customHeight="1" thickTop="1" thickBot="1" x14ac:dyDescent="0.25">
      <c r="A75" s="1632" t="s">
        <v>49</v>
      </c>
      <c r="B75" s="1633" t="s">
        <v>596</v>
      </c>
      <c r="C75" s="573">
        <v>19621</v>
      </c>
      <c r="D75" s="573">
        <v>5444</v>
      </c>
      <c r="E75" s="573"/>
      <c r="F75" s="573"/>
      <c r="G75" s="573"/>
      <c r="H75" s="573"/>
      <c r="I75" s="531"/>
      <c r="J75" s="531"/>
      <c r="K75" s="1690">
        <f>SUM(C75:J75)</f>
        <v>25065</v>
      </c>
      <c r="L75" s="576">
        <v>24600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65152</v>
      </c>
      <c r="I78" s="477"/>
      <c r="J78" s="477"/>
      <c r="K78" s="1691">
        <f t="shared" ref="K78:K83" si="11">SUM(C78:J78)</f>
        <v>65152</v>
      </c>
      <c r="L78" s="481">
        <v>0</v>
      </c>
    </row>
    <row r="79" spans="1:14" x14ac:dyDescent="0.2">
      <c r="A79" s="1526" t="s">
        <v>322</v>
      </c>
      <c r="B79" s="615">
        <v>4120</v>
      </c>
      <c r="C79" s="617"/>
      <c r="D79" s="617"/>
      <c r="E79" s="466"/>
      <c r="F79" s="617"/>
      <c r="G79" s="617"/>
      <c r="H79" s="466"/>
      <c r="I79" s="477"/>
      <c r="J79" s="477"/>
      <c r="K79" s="1691">
        <f t="shared" si="11"/>
        <v>0</v>
      </c>
      <c r="L79" s="466">
        <v>60000</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c r="I81" s="477"/>
      <c r="J81" s="477"/>
      <c r="K81" s="1691">
        <f t="shared" si="11"/>
        <v>0</v>
      </c>
      <c r="L81" s="466">
        <v>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0</v>
      </c>
      <c r="F84" s="617"/>
      <c r="G84" s="617"/>
      <c r="H84" s="1690">
        <f>SUM(H78:H83)</f>
        <v>65152</v>
      </c>
      <c r="I84" s="477"/>
      <c r="J84" s="477"/>
      <c r="K84" s="1690">
        <f>SUM(K78:K83)</f>
        <v>65152</v>
      </c>
      <c r="L84" s="1690">
        <f>SUM(L78:L83)</f>
        <v>60000</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c r="I88" s="477"/>
      <c r="J88" s="477"/>
      <c r="K88" s="1697">
        <f t="shared" si="12"/>
        <v>0</v>
      </c>
      <c r="L88" s="530">
        <v>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0</v>
      </c>
      <c r="F102" s="617"/>
      <c r="G102" s="617"/>
      <c r="H102" s="1697">
        <f>SUM(H84,H92,H100,H101)</f>
        <v>65152</v>
      </c>
      <c r="I102" s="477"/>
      <c r="J102" s="477"/>
      <c r="K102" s="1697">
        <f>SUM(K84,K92,K100,K101)</f>
        <v>65152</v>
      </c>
      <c r="L102" s="1697">
        <f>SUM(L84,L92,L100,L101)</f>
        <v>60000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v>32919</v>
      </c>
      <c r="I111" s="468"/>
      <c r="J111" s="468"/>
      <c r="K111" s="1703">
        <f>H111</f>
        <v>32919</v>
      </c>
      <c r="L111" s="532">
        <v>33000</v>
      </c>
      <c r="M111" s="210"/>
      <c r="N111" s="210"/>
    </row>
    <row r="112" spans="1:14" s="598" customFormat="1" ht="12.75" customHeight="1" thickTop="1" thickBot="1" x14ac:dyDescent="0.25">
      <c r="A112" s="1688" t="s">
        <v>659</v>
      </c>
      <c r="B112" s="1689" t="s">
        <v>513</v>
      </c>
      <c r="C112" s="617"/>
      <c r="D112" s="617"/>
      <c r="E112" s="617"/>
      <c r="F112" s="617"/>
      <c r="G112" s="617"/>
      <c r="H112" s="1690">
        <f>SUM(H110:H111)</f>
        <v>32919</v>
      </c>
      <c r="I112" s="468"/>
      <c r="J112" s="468"/>
      <c r="K112" s="1690">
        <f>SUM(K110:K111)</f>
        <v>32919</v>
      </c>
      <c r="L112" s="1697">
        <f>SUM(L110,L111)</f>
        <v>33000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3593923</v>
      </c>
      <c r="D114" s="1690">
        <f t="shared" ref="D114:K114" si="13">SUM(D33,D74,D75,D102,D112,D113)</f>
        <v>699522</v>
      </c>
      <c r="E114" s="1690">
        <f t="shared" si="13"/>
        <v>555855</v>
      </c>
      <c r="F114" s="1690">
        <f t="shared" si="13"/>
        <v>157357</v>
      </c>
      <c r="G114" s="1690">
        <f t="shared" si="13"/>
        <v>49148</v>
      </c>
      <c r="H114" s="1690">
        <f>SUM(H33,H74,H75,H102,H112,H113)</f>
        <v>147939</v>
      </c>
      <c r="I114" s="1690">
        <f t="shared" si="13"/>
        <v>0</v>
      </c>
      <c r="J114" s="1690">
        <f t="shared" si="13"/>
        <v>0</v>
      </c>
      <c r="K114" s="1690">
        <f t="shared" si="13"/>
        <v>5203744</v>
      </c>
      <c r="L114" s="1690">
        <f>SUM(L33,L74,L75,L102,L112,L113)</f>
        <v>5274283</v>
      </c>
    </row>
    <row r="115" spans="1:14" ht="13.5" thickTop="1" x14ac:dyDescent="0.2">
      <c r="A115" s="2174" t="s">
        <v>1053</v>
      </c>
      <c r="B115" s="2175"/>
      <c r="C115" s="619"/>
      <c r="D115" s="619"/>
      <c r="E115" s="619"/>
      <c r="F115" s="619"/>
      <c r="G115" s="619"/>
      <c r="H115" s="619"/>
      <c r="I115" s="619"/>
      <c r="J115" s="619"/>
      <c r="K115" s="1704">
        <f>'Revenues 9-14'!C275-'Expenditures 15-22'!K114</f>
        <v>11237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c r="H123" s="466"/>
      <c r="I123" s="467"/>
      <c r="J123" s="467"/>
      <c r="K123" s="1690">
        <f>SUM(C123:J123)</f>
        <v>0</v>
      </c>
      <c r="L123" s="466">
        <v>0</v>
      </c>
    </row>
    <row r="124" spans="1:14" ht="14.25" thickTop="1" thickBot="1" x14ac:dyDescent="0.25">
      <c r="A124" s="1526" t="s">
        <v>206</v>
      </c>
      <c r="B124" s="615">
        <v>2540</v>
      </c>
      <c r="C124" s="466"/>
      <c r="D124" s="466"/>
      <c r="E124" s="466">
        <v>202437</v>
      </c>
      <c r="F124" s="466">
        <v>38228</v>
      </c>
      <c r="G124" s="466">
        <v>6104</v>
      </c>
      <c r="H124" s="466"/>
      <c r="I124" s="467"/>
      <c r="J124" s="467"/>
      <c r="K124" s="1690">
        <f>SUM(C124:J124)</f>
        <v>246769</v>
      </c>
      <c r="L124" s="466">
        <v>256100</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202437</v>
      </c>
      <c r="F127" s="1690">
        <f t="shared" si="14"/>
        <v>38228</v>
      </c>
      <c r="G127" s="1690">
        <f t="shared" si="14"/>
        <v>6104</v>
      </c>
      <c r="H127" s="1690">
        <f t="shared" si="14"/>
        <v>0</v>
      </c>
      <c r="I127" s="1690">
        <f t="shared" si="14"/>
        <v>0</v>
      </c>
      <c r="J127" s="1690">
        <f t="shared" si="14"/>
        <v>0</v>
      </c>
      <c r="K127" s="1690">
        <f t="shared" si="14"/>
        <v>246769</v>
      </c>
      <c r="L127" s="1690">
        <f t="shared" si="14"/>
        <v>256100</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0</v>
      </c>
      <c r="D129" s="1697">
        <f t="shared" ref="D129:L129" si="15">SUM(D120,D127,D128)</f>
        <v>0</v>
      </c>
      <c r="E129" s="1697">
        <f t="shared" si="15"/>
        <v>202437</v>
      </c>
      <c r="F129" s="1697">
        <f t="shared" si="15"/>
        <v>38228</v>
      </c>
      <c r="G129" s="1697">
        <f t="shared" si="15"/>
        <v>6104</v>
      </c>
      <c r="H129" s="1697">
        <f t="shared" si="15"/>
        <v>0</v>
      </c>
      <c r="I129" s="1697">
        <f t="shared" si="15"/>
        <v>0</v>
      </c>
      <c r="J129" s="1697">
        <f t="shared" si="15"/>
        <v>0</v>
      </c>
      <c r="K129" s="1697">
        <f t="shared" si="15"/>
        <v>246769</v>
      </c>
      <c r="L129" s="1697">
        <f t="shared" si="15"/>
        <v>256100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1957</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0">
        <f>SUM(C129,C130,C139,C149,C150)</f>
        <v>0</v>
      </c>
      <c r="D151" s="1690">
        <f t="shared" ref="D151:K151" si="16">SUM(D129,D130,D139,D149,D150)</f>
        <v>0</v>
      </c>
      <c r="E151" s="1690">
        <f t="shared" si="16"/>
        <v>202437</v>
      </c>
      <c r="F151" s="1690">
        <f t="shared" si="16"/>
        <v>38228</v>
      </c>
      <c r="G151" s="1690">
        <f t="shared" si="16"/>
        <v>6104</v>
      </c>
      <c r="H151" s="1690">
        <f t="shared" si="16"/>
        <v>0</v>
      </c>
      <c r="I151" s="1690">
        <f t="shared" si="16"/>
        <v>0</v>
      </c>
      <c r="J151" s="1690">
        <f t="shared" si="16"/>
        <v>0</v>
      </c>
      <c r="K151" s="1690">
        <f t="shared" si="16"/>
        <v>246769</v>
      </c>
      <c r="L151" s="1690">
        <f>SUM(L129,L130,L139,L149,L150)</f>
        <v>256100</v>
      </c>
    </row>
    <row r="152" spans="1:14" ht="12.75" customHeight="1" thickTop="1" x14ac:dyDescent="0.2">
      <c r="A152" s="2194" t="s">
        <v>1240</v>
      </c>
      <c r="B152" s="2195"/>
      <c r="C152" s="619"/>
      <c r="D152" s="619"/>
      <c r="E152" s="619"/>
      <c r="F152" s="619"/>
      <c r="G152" s="619"/>
      <c r="H152" s="619"/>
      <c r="I152" s="619"/>
      <c r="J152" s="617"/>
      <c r="K152" s="1704">
        <f>'Revenues 9-14'!D275-'Expenditures 15-22'!K151</f>
        <v>16341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1958</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v>0</v>
      </c>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0</v>
      </c>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127513</v>
      </c>
      <c r="I169" s="617"/>
      <c r="J169" s="617"/>
      <c r="K169" s="1691">
        <f>SUM(C169:H169)</f>
        <v>127513</v>
      </c>
      <c r="L169" s="657">
        <v>127513</v>
      </c>
    </row>
    <row r="170" spans="1:14" ht="33.75" customHeight="1" x14ac:dyDescent="0.2">
      <c r="A170" s="670" t="s">
        <v>1769</v>
      </c>
      <c r="B170" s="672" t="s">
        <v>31</v>
      </c>
      <c r="C170" s="617"/>
      <c r="D170" s="617"/>
      <c r="E170" s="617"/>
      <c r="F170" s="617"/>
      <c r="G170" s="617"/>
      <c r="H170" s="569">
        <v>211500</v>
      </c>
      <c r="I170" s="617"/>
      <c r="J170" s="617"/>
      <c r="K170" s="1691">
        <f>SUM(C170:J170)</f>
        <v>211500</v>
      </c>
      <c r="L170" s="569">
        <v>211507</v>
      </c>
    </row>
    <row r="171" spans="1:14" ht="15.75" customHeight="1" x14ac:dyDescent="0.2">
      <c r="A171" s="622" t="s">
        <v>790</v>
      </c>
      <c r="B171" s="673" t="s">
        <v>86</v>
      </c>
      <c r="C171" s="617"/>
      <c r="D171" s="617"/>
      <c r="E171" s="466"/>
      <c r="F171" s="617"/>
      <c r="G171" s="617"/>
      <c r="H171" s="569">
        <v>1300</v>
      </c>
      <c r="I171" s="477"/>
      <c r="J171" s="617"/>
      <c r="K171" s="1691">
        <f>SUM(C171:J171)</f>
        <v>1300</v>
      </c>
      <c r="L171" s="569">
        <v>1300</v>
      </c>
    </row>
    <row r="172" spans="1:14" ht="12.75" customHeight="1" thickBot="1" x14ac:dyDescent="0.25">
      <c r="A172" s="1688" t="s">
        <v>659</v>
      </c>
      <c r="B172" s="1689" t="s">
        <v>513</v>
      </c>
      <c r="C172" s="617"/>
      <c r="D172" s="617"/>
      <c r="E172" s="1697">
        <f>SUM(E168,E169,E170,E171)</f>
        <v>0</v>
      </c>
      <c r="F172" s="617"/>
      <c r="G172" s="617"/>
      <c r="H172" s="1697">
        <f>SUM(H168,H169,H170,H171)</f>
        <v>340313</v>
      </c>
      <c r="I172" s="639"/>
      <c r="J172" s="617"/>
      <c r="K172" s="1697">
        <f>SUM(K168,K169,K170,K171)</f>
        <v>340313</v>
      </c>
      <c r="L172" s="1697">
        <f>SUM(L168,L169,L170,L171)</f>
        <v>340320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340313</v>
      </c>
      <c r="I174" s="639"/>
      <c r="J174" s="617"/>
      <c r="K174" s="1697">
        <f>SUM(K160,K172,K173)</f>
        <v>340313</v>
      </c>
      <c r="L174" s="1697">
        <f>SUM(L160,L172,L173)</f>
        <v>340320</v>
      </c>
    </row>
    <row r="175" spans="1:14" ht="13.5" thickTop="1" x14ac:dyDescent="0.2">
      <c r="A175" s="2174" t="s">
        <v>1053</v>
      </c>
      <c r="B175" s="2175"/>
      <c r="C175" s="617"/>
      <c r="D175" s="617"/>
      <c r="E175" s="617"/>
      <c r="F175" s="617"/>
      <c r="G175" s="617"/>
      <c r="H175" s="619"/>
      <c r="I175" s="617"/>
      <c r="J175" s="617"/>
      <c r="K175" s="1704">
        <f>'Revenues 9-14'!E275-'Expenditures 15-22'!K174</f>
        <v>1979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122132</v>
      </c>
      <c r="D182" s="466">
        <v>31659</v>
      </c>
      <c r="E182" s="466">
        <v>32162</v>
      </c>
      <c r="F182" s="466">
        <v>46254</v>
      </c>
      <c r="G182" s="466">
        <v>1444</v>
      </c>
      <c r="H182" s="466"/>
      <c r="I182" s="467"/>
      <c r="J182" s="467"/>
      <c r="K182" s="1691">
        <f>SUM(C182:J182)</f>
        <v>233651</v>
      </c>
      <c r="L182" s="466">
        <v>224943</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122132</v>
      </c>
      <c r="D184" s="1697">
        <f t="shared" ref="D184:J184" si="17">SUM(D180,D182,D183)</f>
        <v>31659</v>
      </c>
      <c r="E184" s="1697">
        <f t="shared" si="17"/>
        <v>32162</v>
      </c>
      <c r="F184" s="1697">
        <f t="shared" si="17"/>
        <v>46254</v>
      </c>
      <c r="G184" s="1697">
        <f t="shared" si="17"/>
        <v>1444</v>
      </c>
      <c r="H184" s="1697">
        <f t="shared" si="17"/>
        <v>0</v>
      </c>
      <c r="I184" s="1697">
        <f t="shared" si="17"/>
        <v>0</v>
      </c>
      <c r="J184" s="1697">
        <f t="shared" si="17"/>
        <v>0</v>
      </c>
      <c r="K184" s="1697">
        <f>SUM(K180,K182,K183)</f>
        <v>233651</v>
      </c>
      <c r="L184" s="1697">
        <f>SUM(L180, L182:L183)</f>
        <v>224943</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94</v>
      </c>
      <c r="I205" s="617"/>
      <c r="J205" s="617"/>
      <c r="K205" s="1705">
        <f>SUM(H205)</f>
        <v>94</v>
      </c>
      <c r="L205" s="535">
        <v>0</v>
      </c>
    </row>
    <row r="206" spans="1:14" ht="30" customHeight="1" x14ac:dyDescent="0.2">
      <c r="A206" s="682" t="s">
        <v>1770</v>
      </c>
      <c r="B206" s="673" t="s">
        <v>31</v>
      </c>
      <c r="C206" s="617"/>
      <c r="D206" s="617"/>
      <c r="E206" s="617"/>
      <c r="F206" s="617"/>
      <c r="G206" s="617"/>
      <c r="H206" s="466">
        <v>41663</v>
      </c>
      <c r="I206" s="617"/>
      <c r="J206" s="617"/>
      <c r="K206" s="1691">
        <f>SUM(H206)</f>
        <v>41663</v>
      </c>
      <c r="L206" s="466">
        <v>0</v>
      </c>
    </row>
    <row r="207" spans="1:14" ht="15.75" customHeight="1" x14ac:dyDescent="0.2">
      <c r="A207" s="622" t="s">
        <v>790</v>
      </c>
      <c r="B207" s="673" t="s">
        <v>86</v>
      </c>
      <c r="C207" s="617"/>
      <c r="D207" s="617"/>
      <c r="E207" s="617"/>
      <c r="F207" s="617"/>
      <c r="G207" s="617"/>
      <c r="H207" s="467"/>
      <c r="I207" s="617"/>
      <c r="J207" s="617"/>
      <c r="K207" s="1691">
        <f>H207</f>
        <v>0</v>
      </c>
      <c r="L207" s="466">
        <v>41800</v>
      </c>
    </row>
    <row r="208" spans="1:14" ht="12.75" customHeight="1" thickBot="1" x14ac:dyDescent="0.25">
      <c r="A208" s="1706" t="s">
        <v>659</v>
      </c>
      <c r="B208" s="1707" t="s">
        <v>513</v>
      </c>
      <c r="C208" s="617"/>
      <c r="D208" s="617"/>
      <c r="E208" s="617"/>
      <c r="F208" s="617"/>
      <c r="G208" s="617"/>
      <c r="H208" s="1697">
        <f>SUM(H204,H205,H206,H207)</f>
        <v>41757</v>
      </c>
      <c r="I208" s="617"/>
      <c r="J208" s="617"/>
      <c r="K208" s="1697">
        <f>SUM(K204,K205,K206,K207)</f>
        <v>41757</v>
      </c>
      <c r="L208" s="1697">
        <f>SUM(L204,L205,L206,L207)</f>
        <v>41800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122132</v>
      </c>
      <c r="D210" s="1690">
        <f>SUM(D184,D185)</f>
        <v>31659</v>
      </c>
      <c r="E210" s="1690">
        <f>SUM(E184,E185,E196)</f>
        <v>32162</v>
      </c>
      <c r="F210" s="1690">
        <f>SUM(F184,F185)</f>
        <v>46254</v>
      </c>
      <c r="G210" s="1690">
        <f>SUM(G184,G185)</f>
        <v>1444</v>
      </c>
      <c r="H210" s="1690">
        <f>SUM(H184,H185,H196,H208,H209)</f>
        <v>41757</v>
      </c>
      <c r="I210" s="1690">
        <f>SUM(I184,I185)</f>
        <v>0</v>
      </c>
      <c r="J210" s="1690">
        <f>SUM(J184,J185)</f>
        <v>0</v>
      </c>
      <c r="K210" s="1691">
        <f>SUM(K184,K185,K196,K208,K209)</f>
        <v>275408</v>
      </c>
      <c r="L210" s="1690">
        <f>SUM(L184,L185,L196,L208,L209)</f>
        <v>266743</v>
      </c>
    </row>
    <row r="211" spans="1:14" ht="13.5" thickTop="1" x14ac:dyDescent="0.2">
      <c r="A211" s="2174" t="s">
        <v>1053</v>
      </c>
      <c r="B211" s="2175"/>
      <c r="C211" s="619"/>
      <c r="D211" s="619"/>
      <c r="E211" s="619"/>
      <c r="F211" s="619"/>
      <c r="G211" s="619"/>
      <c r="H211" s="619"/>
      <c r="I211" s="617"/>
      <c r="J211" s="617"/>
      <c r="K211" s="1704">
        <f>'Revenues 9-14'!F275-'Expenditures 15-22'!K210</f>
        <v>-53055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49474</v>
      </c>
      <c r="E215" s="617"/>
      <c r="F215" s="617"/>
      <c r="G215" s="617"/>
      <c r="H215" s="617"/>
      <c r="I215" s="617"/>
      <c r="J215" s="617"/>
      <c r="K215" s="1691">
        <f>D215</f>
        <v>49474</v>
      </c>
      <c r="L215" s="466">
        <v>49500</v>
      </c>
    </row>
    <row r="216" spans="1:14" x14ac:dyDescent="0.2">
      <c r="A216" s="1526" t="s">
        <v>165</v>
      </c>
      <c r="B216" s="615" t="s">
        <v>1024</v>
      </c>
      <c r="C216" s="617"/>
      <c r="D216" s="467"/>
      <c r="E216" s="617"/>
      <c r="F216" s="617"/>
      <c r="G216" s="617"/>
      <c r="H216" s="617"/>
      <c r="I216" s="617"/>
      <c r="J216" s="617"/>
      <c r="K216" s="1691">
        <f t="shared" ref="K216:K228" si="19">D216</f>
        <v>0</v>
      </c>
      <c r="L216" s="466">
        <v>0</v>
      </c>
    </row>
    <row r="217" spans="1:14" x14ac:dyDescent="0.2">
      <c r="A217" s="1526" t="s">
        <v>166</v>
      </c>
      <c r="B217" s="615">
        <v>1200</v>
      </c>
      <c r="C217" s="617"/>
      <c r="D217" s="466">
        <v>55479</v>
      </c>
      <c r="E217" s="617"/>
      <c r="F217" s="617"/>
      <c r="G217" s="617"/>
      <c r="H217" s="617"/>
      <c r="I217" s="617"/>
      <c r="J217" s="617"/>
      <c r="K217" s="1691">
        <f t="shared" si="19"/>
        <v>55479</v>
      </c>
      <c r="L217" s="466">
        <v>56000</v>
      </c>
    </row>
    <row r="218" spans="1:14" x14ac:dyDescent="0.2">
      <c r="A218" s="1526" t="s">
        <v>296</v>
      </c>
      <c r="B218" s="615" t="s">
        <v>1025</v>
      </c>
      <c r="C218" s="617"/>
      <c r="D218" s="467"/>
      <c r="E218" s="617"/>
      <c r="F218" s="617"/>
      <c r="G218" s="617"/>
      <c r="H218" s="617"/>
      <c r="I218" s="617"/>
      <c r="J218" s="617"/>
      <c r="K218" s="1691">
        <f t="shared" si="19"/>
        <v>0</v>
      </c>
      <c r="L218" s="466">
        <v>0</v>
      </c>
    </row>
    <row r="219" spans="1:14" x14ac:dyDescent="0.2">
      <c r="A219" s="1526" t="s">
        <v>297</v>
      </c>
      <c r="B219" s="615">
        <v>1250</v>
      </c>
      <c r="C219" s="617"/>
      <c r="D219" s="466">
        <v>12281</v>
      </c>
      <c r="E219" s="617"/>
      <c r="F219" s="617"/>
      <c r="G219" s="617"/>
      <c r="H219" s="617"/>
      <c r="I219" s="617"/>
      <c r="J219" s="617"/>
      <c r="K219" s="1691">
        <f t="shared" si="19"/>
        <v>12281</v>
      </c>
      <c r="L219" s="466">
        <v>12500</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c r="E222" s="617"/>
      <c r="F222" s="617"/>
      <c r="G222" s="617"/>
      <c r="H222" s="617"/>
      <c r="I222" s="617"/>
      <c r="J222" s="617"/>
      <c r="K222" s="1691">
        <f t="shared" si="19"/>
        <v>0</v>
      </c>
      <c r="L222" s="466">
        <v>0</v>
      </c>
    </row>
    <row r="223" spans="1:14" x14ac:dyDescent="0.2">
      <c r="A223" s="1526" t="s">
        <v>1020</v>
      </c>
      <c r="B223" s="615">
        <v>1500</v>
      </c>
      <c r="C223" s="617"/>
      <c r="D223" s="466">
        <v>1467</v>
      </c>
      <c r="E223" s="617"/>
      <c r="F223" s="617"/>
      <c r="G223" s="617"/>
      <c r="H223" s="617"/>
      <c r="I223" s="617"/>
      <c r="J223" s="617"/>
      <c r="K223" s="1691">
        <f t="shared" si="19"/>
        <v>1467</v>
      </c>
      <c r="L223" s="466">
        <v>1500</v>
      </c>
    </row>
    <row r="224" spans="1:14" x14ac:dyDescent="0.2">
      <c r="A224" s="1526" t="s">
        <v>1021</v>
      </c>
      <c r="B224" s="615">
        <v>1600</v>
      </c>
      <c r="C224" s="617"/>
      <c r="D224" s="466"/>
      <c r="E224" s="617"/>
      <c r="F224" s="617"/>
      <c r="G224" s="617"/>
      <c r="H224" s="617"/>
      <c r="I224" s="617"/>
      <c r="J224" s="617"/>
      <c r="K224" s="1691">
        <f t="shared" si="19"/>
        <v>0</v>
      </c>
      <c r="L224" s="466">
        <v>0</v>
      </c>
    </row>
    <row r="225" spans="1:12" x14ac:dyDescent="0.2">
      <c r="A225" s="1526" t="s">
        <v>1044</v>
      </c>
      <c r="B225" s="615">
        <v>1650</v>
      </c>
      <c r="C225" s="617"/>
      <c r="D225" s="466">
        <v>63</v>
      </c>
      <c r="E225" s="617"/>
      <c r="F225" s="617"/>
      <c r="G225" s="617"/>
      <c r="H225" s="617"/>
      <c r="I225" s="617"/>
      <c r="J225" s="617"/>
      <c r="K225" s="1691">
        <f t="shared" si="19"/>
        <v>63</v>
      </c>
      <c r="L225" s="466">
        <v>65</v>
      </c>
    </row>
    <row r="226" spans="1:12" x14ac:dyDescent="0.2">
      <c r="A226" s="1526" t="s">
        <v>748</v>
      </c>
      <c r="B226" s="615" t="s">
        <v>164</v>
      </c>
      <c r="C226" s="617"/>
      <c r="D226" s="467"/>
      <c r="E226" s="617"/>
      <c r="F226" s="617"/>
      <c r="G226" s="617"/>
      <c r="H226" s="617"/>
      <c r="I226" s="617"/>
      <c r="J226" s="617"/>
      <c r="K226" s="1691">
        <f t="shared" si="19"/>
        <v>0</v>
      </c>
      <c r="L226" s="466">
        <v>0</v>
      </c>
    </row>
    <row r="227" spans="1:12" x14ac:dyDescent="0.2">
      <c r="A227" s="1526" t="s">
        <v>1148</v>
      </c>
      <c r="B227" s="615">
        <v>1800</v>
      </c>
      <c r="C227" s="617"/>
      <c r="D227" s="466"/>
      <c r="E227" s="617"/>
      <c r="F227" s="617"/>
      <c r="G227" s="617"/>
      <c r="H227" s="617"/>
      <c r="I227" s="617"/>
      <c r="J227" s="617"/>
      <c r="K227" s="1691">
        <f t="shared" si="19"/>
        <v>0</v>
      </c>
      <c r="L227" s="466">
        <v>0</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118764</v>
      </c>
      <c r="E229" s="617"/>
      <c r="F229" s="617"/>
      <c r="G229" s="617"/>
      <c r="H229" s="617"/>
      <c r="I229" s="617"/>
      <c r="J229" s="617"/>
      <c r="K229" s="1690">
        <f>SUM(K215:K228)</f>
        <v>118764</v>
      </c>
      <c r="L229" s="1690">
        <f>SUM(L215:L228)</f>
        <v>119565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1">
        <f t="shared" ref="K232:K237" si="20">D232</f>
        <v>0</v>
      </c>
      <c r="L232" s="466">
        <v>0</v>
      </c>
    </row>
    <row r="233" spans="1:12" x14ac:dyDescent="0.2">
      <c r="A233" s="1526" t="s">
        <v>1151</v>
      </c>
      <c r="B233" s="615">
        <v>2120</v>
      </c>
      <c r="C233" s="617"/>
      <c r="D233" s="466">
        <v>256</v>
      </c>
      <c r="E233" s="617"/>
      <c r="F233" s="617"/>
      <c r="G233" s="617"/>
      <c r="H233" s="617"/>
      <c r="I233" s="617"/>
      <c r="J233" s="617"/>
      <c r="K233" s="1691">
        <f t="shared" si="20"/>
        <v>256</v>
      </c>
      <c r="L233" s="466">
        <v>275</v>
      </c>
    </row>
    <row r="234" spans="1:12" x14ac:dyDescent="0.2">
      <c r="A234" s="1526" t="s">
        <v>207</v>
      </c>
      <c r="B234" s="615">
        <v>2130</v>
      </c>
      <c r="C234" s="617"/>
      <c r="D234" s="466">
        <v>725</v>
      </c>
      <c r="E234" s="617"/>
      <c r="F234" s="617"/>
      <c r="G234" s="617"/>
      <c r="H234" s="617"/>
      <c r="I234" s="617"/>
      <c r="J234" s="617"/>
      <c r="K234" s="1691">
        <f t="shared" si="20"/>
        <v>725</v>
      </c>
      <c r="L234" s="466">
        <v>725</v>
      </c>
    </row>
    <row r="235" spans="1:12" x14ac:dyDescent="0.2">
      <c r="A235" s="1526" t="s">
        <v>208</v>
      </c>
      <c r="B235" s="615">
        <v>2140</v>
      </c>
      <c r="C235" s="617"/>
      <c r="D235" s="466"/>
      <c r="E235" s="617"/>
      <c r="F235" s="617"/>
      <c r="G235" s="617"/>
      <c r="H235" s="617"/>
      <c r="I235" s="617"/>
      <c r="J235" s="617"/>
      <c r="K235" s="1691">
        <f t="shared" si="20"/>
        <v>0</v>
      </c>
      <c r="L235" s="466">
        <v>0</v>
      </c>
    </row>
    <row r="236" spans="1:12" x14ac:dyDescent="0.2">
      <c r="A236" s="1526" t="s">
        <v>209</v>
      </c>
      <c r="B236" s="615">
        <v>2150</v>
      </c>
      <c r="C236" s="617"/>
      <c r="D236" s="466">
        <v>1465</v>
      </c>
      <c r="E236" s="617"/>
      <c r="F236" s="617"/>
      <c r="G236" s="617"/>
      <c r="H236" s="617"/>
      <c r="I236" s="617"/>
      <c r="J236" s="617"/>
      <c r="K236" s="1691">
        <f t="shared" si="20"/>
        <v>1465</v>
      </c>
      <c r="L236" s="466">
        <v>1475</v>
      </c>
    </row>
    <row r="237" spans="1:12" x14ac:dyDescent="0.2">
      <c r="A237" s="1526" t="s">
        <v>167</v>
      </c>
      <c r="B237" s="615">
        <v>2190</v>
      </c>
      <c r="C237" s="617"/>
      <c r="D237" s="466"/>
      <c r="E237" s="617"/>
      <c r="F237" s="617"/>
      <c r="G237" s="617"/>
      <c r="H237" s="617"/>
      <c r="I237" s="617"/>
      <c r="J237" s="617"/>
      <c r="K237" s="1691">
        <f t="shared" si="20"/>
        <v>0</v>
      </c>
      <c r="L237" s="466">
        <v>0</v>
      </c>
    </row>
    <row r="238" spans="1:12" ht="12.75" customHeight="1" thickBot="1" x14ac:dyDescent="0.25">
      <c r="A238" s="1688" t="s">
        <v>581</v>
      </c>
      <c r="B238" s="1695" t="s">
        <v>740</v>
      </c>
      <c r="C238" s="617"/>
      <c r="D238" s="1690">
        <f>SUM(D232:D237)</f>
        <v>2446</v>
      </c>
      <c r="E238" s="617"/>
      <c r="F238" s="617"/>
      <c r="G238" s="617"/>
      <c r="H238" s="617"/>
      <c r="I238" s="617"/>
      <c r="J238" s="617"/>
      <c r="K238" s="1690">
        <f>SUM(K232:K237)</f>
        <v>2446</v>
      </c>
      <c r="L238" s="1690">
        <f>SUM(L232:L237)</f>
        <v>2475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328</v>
      </c>
      <c r="E240" s="617"/>
      <c r="F240" s="617"/>
      <c r="G240" s="617"/>
      <c r="H240" s="617"/>
      <c r="I240" s="617"/>
      <c r="J240" s="617"/>
      <c r="K240" s="1692">
        <f>D240</f>
        <v>328</v>
      </c>
      <c r="L240" s="481">
        <v>325</v>
      </c>
    </row>
    <row r="241" spans="1:12" x14ac:dyDescent="0.2">
      <c r="A241" s="1526" t="s">
        <v>869</v>
      </c>
      <c r="B241" s="615">
        <v>2220</v>
      </c>
      <c r="C241" s="617"/>
      <c r="D241" s="466"/>
      <c r="E241" s="617"/>
      <c r="F241" s="617"/>
      <c r="G241" s="617"/>
      <c r="H241" s="617"/>
      <c r="I241" s="617"/>
      <c r="J241" s="617"/>
      <c r="K241" s="1692">
        <f>D241</f>
        <v>0</v>
      </c>
      <c r="L241" s="466">
        <v>0</v>
      </c>
    </row>
    <row r="242" spans="1:12" x14ac:dyDescent="0.2">
      <c r="A242" s="1526"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328</v>
      </c>
      <c r="E243" s="617"/>
      <c r="F243" s="617"/>
      <c r="G243" s="617"/>
      <c r="H243" s="617"/>
      <c r="I243" s="617"/>
      <c r="J243" s="617"/>
      <c r="K243" s="1690">
        <f>SUM(K240:K242)</f>
        <v>328</v>
      </c>
      <c r="L243" s="1690">
        <f>SUM(L240:L242)</f>
        <v>325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4176</v>
      </c>
      <c r="E245" s="617"/>
      <c r="F245" s="617"/>
      <c r="G245" s="617"/>
      <c r="H245" s="617"/>
      <c r="I245" s="617"/>
      <c r="J245" s="617"/>
      <c r="K245" s="1692">
        <f>D245</f>
        <v>4176</v>
      </c>
      <c r="L245" s="481">
        <v>250</v>
      </c>
    </row>
    <row r="246" spans="1:12" x14ac:dyDescent="0.2">
      <c r="A246" s="1526" t="s">
        <v>872</v>
      </c>
      <c r="B246" s="615">
        <v>2320</v>
      </c>
      <c r="C246" s="617"/>
      <c r="D246" s="466"/>
      <c r="E246" s="617"/>
      <c r="F246" s="617"/>
      <c r="G246" s="617"/>
      <c r="H246" s="617"/>
      <c r="I246" s="617"/>
      <c r="J246" s="617"/>
      <c r="K246" s="1692">
        <f t="shared" ref="K246:K256" si="21">D246</f>
        <v>0</v>
      </c>
      <c r="L246" s="466">
        <v>1825</v>
      </c>
    </row>
    <row r="247" spans="1:12" x14ac:dyDescent="0.2">
      <c r="A247" s="1526" t="s">
        <v>873</v>
      </c>
      <c r="B247" s="615">
        <v>2330</v>
      </c>
      <c r="C247" s="617"/>
      <c r="D247" s="466"/>
      <c r="E247" s="617"/>
      <c r="F247" s="617"/>
      <c r="G247" s="617"/>
      <c r="H247" s="617"/>
      <c r="I247" s="617"/>
      <c r="J247" s="617"/>
      <c r="K247" s="1692">
        <f t="shared" si="21"/>
        <v>0</v>
      </c>
      <c r="L247" s="466">
        <v>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1908</v>
      </c>
      <c r="B249" s="684" t="s">
        <v>300</v>
      </c>
      <c r="C249" s="617"/>
      <c r="D249" s="474"/>
      <c r="E249" s="617"/>
      <c r="F249" s="617"/>
      <c r="G249" s="617"/>
      <c r="H249" s="617"/>
      <c r="I249" s="617"/>
      <c r="J249" s="617"/>
      <c r="K249" s="1692">
        <f t="shared" si="21"/>
        <v>0</v>
      </c>
      <c r="L249" s="466">
        <v>0</v>
      </c>
    </row>
    <row r="250" spans="1:12" x14ac:dyDescent="0.2">
      <c r="A250" s="1527" t="s">
        <v>1909</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c r="E252" s="617"/>
      <c r="F252" s="617"/>
      <c r="G252" s="617"/>
      <c r="H252" s="617"/>
      <c r="I252" s="617"/>
      <c r="J252" s="617"/>
      <c r="K252" s="1692">
        <f t="shared" si="21"/>
        <v>0</v>
      </c>
      <c r="L252" s="466">
        <v>0</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c r="E254" s="617"/>
      <c r="F254" s="617"/>
      <c r="G254" s="617"/>
      <c r="H254" s="617"/>
      <c r="I254" s="617"/>
      <c r="J254" s="617"/>
      <c r="K254" s="1692">
        <f t="shared" si="21"/>
        <v>0</v>
      </c>
      <c r="L254" s="466">
        <v>0</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4176</v>
      </c>
      <c r="E257" s="617"/>
      <c r="F257" s="617"/>
      <c r="G257" s="617"/>
      <c r="H257" s="617"/>
      <c r="I257" s="617"/>
      <c r="J257" s="617"/>
      <c r="K257" s="1690">
        <f>SUM(K245:K256)</f>
        <v>4176</v>
      </c>
      <c r="L257" s="1690">
        <f>SUM(L245:L256)</f>
        <v>2075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20074</v>
      </c>
      <c r="E259" s="617"/>
      <c r="F259" s="617"/>
      <c r="G259" s="617"/>
      <c r="H259" s="617"/>
      <c r="I259" s="617"/>
      <c r="J259" s="617"/>
      <c r="K259" s="1692">
        <f>D259</f>
        <v>20074</v>
      </c>
      <c r="L259" s="481">
        <v>22200</v>
      </c>
    </row>
    <row r="260" spans="1:14" s="598" customFormat="1" x14ac:dyDescent="0.2">
      <c r="A260" s="1544" t="s">
        <v>1907</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20074</v>
      </c>
      <c r="E261" s="617"/>
      <c r="F261" s="617"/>
      <c r="G261" s="617"/>
      <c r="H261" s="617"/>
      <c r="I261" s="617"/>
      <c r="J261" s="617"/>
      <c r="K261" s="1690">
        <f>SUM(K259:K260)</f>
        <v>20074</v>
      </c>
      <c r="L261" s="1690">
        <f>SUM(L259:L260)</f>
        <v>22200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v>0</v>
      </c>
    </row>
    <row r="264" spans="1:14" x14ac:dyDescent="0.2">
      <c r="A264" s="1526" t="s">
        <v>483</v>
      </c>
      <c r="B264" s="686">
        <v>2520</v>
      </c>
      <c r="C264" s="617"/>
      <c r="D264" s="466">
        <v>12345</v>
      </c>
      <c r="E264" s="617"/>
      <c r="F264" s="617"/>
      <c r="G264" s="617"/>
      <c r="H264" s="617"/>
      <c r="I264" s="617"/>
      <c r="J264" s="617"/>
      <c r="K264" s="1692">
        <f t="shared" ref="K264:K269" si="22">D264</f>
        <v>12345</v>
      </c>
      <c r="L264" s="466">
        <v>13000</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46046</v>
      </c>
      <c r="E266" s="617"/>
      <c r="F266" s="617"/>
      <c r="G266" s="617"/>
      <c r="H266" s="617"/>
      <c r="I266" s="617"/>
      <c r="J266" s="617"/>
      <c r="K266" s="1692">
        <f t="shared" si="22"/>
        <v>46046</v>
      </c>
      <c r="L266" s="466">
        <v>47000</v>
      </c>
    </row>
    <row r="267" spans="1:14" x14ac:dyDescent="0.2">
      <c r="A267" s="1526" t="s">
        <v>1010</v>
      </c>
      <c r="B267" s="615">
        <v>2550</v>
      </c>
      <c r="C267" s="617"/>
      <c r="D267" s="466">
        <v>26207</v>
      </c>
      <c r="E267" s="617"/>
      <c r="F267" s="617"/>
      <c r="G267" s="617"/>
      <c r="H267" s="617"/>
      <c r="I267" s="617"/>
      <c r="J267" s="617"/>
      <c r="K267" s="1692">
        <f t="shared" si="22"/>
        <v>26207</v>
      </c>
      <c r="L267" s="466">
        <v>27000</v>
      </c>
    </row>
    <row r="268" spans="1:14" x14ac:dyDescent="0.2">
      <c r="A268" s="1526" t="s">
        <v>102</v>
      </c>
      <c r="B268" s="615">
        <v>2560</v>
      </c>
      <c r="C268" s="617"/>
      <c r="D268" s="466"/>
      <c r="E268" s="617"/>
      <c r="F268" s="617"/>
      <c r="G268" s="617"/>
      <c r="H268" s="617"/>
      <c r="I268" s="617"/>
      <c r="J268" s="617"/>
      <c r="K268" s="1692">
        <f t="shared" si="22"/>
        <v>0</v>
      </c>
      <c r="L268" s="466">
        <v>0</v>
      </c>
    </row>
    <row r="269" spans="1:14" x14ac:dyDescent="0.2">
      <c r="A269" s="1526"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84598</v>
      </c>
      <c r="E270" s="617"/>
      <c r="F270" s="617"/>
      <c r="G270" s="617"/>
      <c r="H270" s="617"/>
      <c r="I270" s="617"/>
      <c r="J270" s="617"/>
      <c r="K270" s="1690">
        <f>SUM(K263:K269)</f>
        <v>84598</v>
      </c>
      <c r="L270" s="1690">
        <f>SUM(L263:L269)</f>
        <v>87000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c r="E274" s="617"/>
      <c r="F274" s="617"/>
      <c r="G274" s="617"/>
      <c r="H274" s="617"/>
      <c r="I274" s="617"/>
      <c r="J274" s="617"/>
      <c r="K274" s="1692">
        <f>D274</f>
        <v>0</v>
      </c>
      <c r="L274" s="466">
        <v>0</v>
      </c>
    </row>
    <row r="275" spans="1:12" x14ac:dyDescent="0.2">
      <c r="A275" s="1526" t="s">
        <v>423</v>
      </c>
      <c r="B275" s="615">
        <v>2640</v>
      </c>
      <c r="C275" s="617"/>
      <c r="D275" s="466"/>
      <c r="E275" s="617"/>
      <c r="F275" s="617"/>
      <c r="G275" s="617"/>
      <c r="H275" s="617"/>
      <c r="I275" s="617"/>
      <c r="J275" s="617"/>
      <c r="K275" s="1692">
        <f>D275</f>
        <v>0</v>
      </c>
      <c r="L275" s="466">
        <v>0</v>
      </c>
    </row>
    <row r="276" spans="1:12" x14ac:dyDescent="0.2">
      <c r="A276" s="1526" t="s">
        <v>424</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111622</v>
      </c>
      <c r="E279" s="617"/>
      <c r="F279" s="617"/>
      <c r="G279" s="617"/>
      <c r="H279" s="617"/>
      <c r="I279" s="617"/>
      <c r="J279" s="617"/>
      <c r="K279" s="1697">
        <f>SUM(K238,K243,K257,K261,K270,K277,K278)</f>
        <v>111622</v>
      </c>
      <c r="L279" s="1697">
        <f>SUM(L238,L243,L257,L261,L270,L277,L278)</f>
        <v>114075</v>
      </c>
    </row>
    <row r="280" spans="1:12" ht="15.75" customHeight="1" thickTop="1" thickBot="1" x14ac:dyDescent="0.25">
      <c r="A280" s="1646" t="s">
        <v>930</v>
      </c>
      <c r="B280" s="1635">
        <v>3000</v>
      </c>
      <c r="C280" s="617"/>
      <c r="D280" s="576">
        <v>218</v>
      </c>
      <c r="E280" s="617"/>
      <c r="F280" s="617"/>
      <c r="G280" s="617"/>
      <c r="H280" s="617"/>
      <c r="I280" s="617"/>
      <c r="J280" s="617"/>
      <c r="K280" s="1699">
        <f>D280</f>
        <v>218</v>
      </c>
      <c r="L280" s="576">
        <v>225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0">
        <f>SUM(D229,D279,D280,D285)</f>
        <v>230604</v>
      </c>
      <c r="E295" s="617"/>
      <c r="F295" s="617"/>
      <c r="G295" s="617"/>
      <c r="H295" s="1690">
        <f>H293</f>
        <v>0</v>
      </c>
      <c r="I295" s="617"/>
      <c r="J295" s="617"/>
      <c r="K295" s="1690">
        <f>SUM(K229,K279,K280,K285,K293,K294)</f>
        <v>230604</v>
      </c>
      <c r="L295" s="1690">
        <f>SUM(L229,L279,L280,L285,L293,L294)</f>
        <v>233865</v>
      </c>
    </row>
    <row r="296" spans="1:14" ht="13.5" thickTop="1" x14ac:dyDescent="0.2">
      <c r="A296" s="2174" t="s">
        <v>1053</v>
      </c>
      <c r="B296" s="2175"/>
      <c r="C296" s="617"/>
      <c r="D296" s="619"/>
      <c r="E296" s="617"/>
      <c r="F296" s="617"/>
      <c r="G296" s="617"/>
      <c r="H296" s="688"/>
      <c r="I296" s="617"/>
      <c r="J296" s="617"/>
      <c r="K296" s="1704">
        <f>'Revenues 9-14'!G275-'Expenditures 15-22'!K295</f>
        <v>24706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1">
        <f>SUM(C301:J301)</f>
        <v>0</v>
      </c>
      <c r="L301" s="467">
        <v>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85" t="s">
        <v>1053</v>
      </c>
      <c r="B313" s="2186"/>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1908</v>
      </c>
      <c r="B320" s="699" t="s">
        <v>300</v>
      </c>
      <c r="C320" s="467"/>
      <c r="D320" s="467"/>
      <c r="E320" s="467">
        <v>25584</v>
      </c>
      <c r="F320" s="467"/>
      <c r="G320" s="467"/>
      <c r="H320" s="467"/>
      <c r="I320" s="467"/>
      <c r="J320" s="467"/>
      <c r="K320" s="1691">
        <f t="shared" ref="K320:K327" si="24">SUM(C320:J320)</f>
        <v>25584</v>
      </c>
      <c r="L320" s="467">
        <v>30000</v>
      </c>
      <c r="M320" s="666"/>
      <c r="N320" s="666"/>
    </row>
    <row r="321" spans="1:14" s="675" customFormat="1" x14ac:dyDescent="0.2">
      <c r="A321" s="1541" t="s">
        <v>318</v>
      </c>
      <c r="B321" s="698" t="s">
        <v>301</v>
      </c>
      <c r="C321" s="467"/>
      <c r="D321" s="467"/>
      <c r="E321" s="467"/>
      <c r="F321" s="467"/>
      <c r="G321" s="467"/>
      <c r="H321" s="467"/>
      <c r="I321" s="467"/>
      <c r="J321" s="467"/>
      <c r="K321" s="1691">
        <f t="shared" si="24"/>
        <v>0</v>
      </c>
      <c r="L321" s="467">
        <v>1000</v>
      </c>
      <c r="M321" s="666"/>
      <c r="N321" s="666"/>
    </row>
    <row r="322" spans="1:14" s="675" customFormat="1" x14ac:dyDescent="0.2">
      <c r="A322" s="1541" t="s">
        <v>256</v>
      </c>
      <c r="B322" s="698" t="s">
        <v>302</v>
      </c>
      <c r="C322" s="467"/>
      <c r="D322" s="467"/>
      <c r="E322" s="467">
        <v>57733</v>
      </c>
      <c r="F322" s="467"/>
      <c r="G322" s="467"/>
      <c r="H322" s="467"/>
      <c r="I322" s="467"/>
      <c r="J322" s="467"/>
      <c r="K322" s="1691">
        <f t="shared" si="24"/>
        <v>57733</v>
      </c>
      <c r="L322" s="467">
        <v>60000</v>
      </c>
      <c r="M322" s="666"/>
      <c r="N322" s="666"/>
    </row>
    <row r="323" spans="1:14" s="675" customFormat="1" x14ac:dyDescent="0.2">
      <c r="A323" s="1541" t="s">
        <v>726</v>
      </c>
      <c r="B323" s="698" t="s">
        <v>303</v>
      </c>
      <c r="C323" s="467">
        <v>144416</v>
      </c>
      <c r="D323" s="467"/>
      <c r="E323" s="1954"/>
      <c r="F323" s="467"/>
      <c r="G323" s="467"/>
      <c r="H323" s="467"/>
      <c r="I323" s="467"/>
      <c r="J323" s="467"/>
      <c r="K323" s="1691">
        <f>SUM(C323:J323)</f>
        <v>144416</v>
      </c>
      <c r="L323" s="467">
        <v>150000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c r="D325" s="467"/>
      <c r="E325" s="467">
        <v>11248</v>
      </c>
      <c r="F325" s="467"/>
      <c r="G325" s="467"/>
      <c r="H325" s="467"/>
      <c r="I325" s="467"/>
      <c r="J325" s="467"/>
      <c r="K325" s="1691">
        <f t="shared" si="24"/>
        <v>11248</v>
      </c>
      <c r="L325" s="467">
        <v>23000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1">
        <f t="shared" si="24"/>
        <v>0</v>
      </c>
      <c r="L327" s="467">
        <v>10000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144416</v>
      </c>
      <c r="D330" s="1690">
        <f t="shared" ref="D330:J330" si="25">SUM(D319:D329)</f>
        <v>0</v>
      </c>
      <c r="E330" s="1690">
        <f t="shared" si="25"/>
        <v>94565</v>
      </c>
      <c r="F330" s="1690">
        <f t="shared" si="25"/>
        <v>0</v>
      </c>
      <c r="G330" s="1690">
        <f t="shared" si="25"/>
        <v>0</v>
      </c>
      <c r="H330" s="1690">
        <f t="shared" si="25"/>
        <v>0</v>
      </c>
      <c r="I330" s="1690">
        <f t="shared" si="25"/>
        <v>0</v>
      </c>
      <c r="J330" s="1690">
        <f t="shared" si="25"/>
        <v>0</v>
      </c>
      <c r="K330" s="1690">
        <f>SUM(K319:K329)</f>
        <v>238981</v>
      </c>
      <c r="L330" s="1690">
        <f>SUM(L319:L329)</f>
        <v>274000</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144416</v>
      </c>
      <c r="D342" s="1690">
        <f>SUM(D330)</f>
        <v>0</v>
      </c>
      <c r="E342" s="1690">
        <f>SUM(E330)</f>
        <v>94565</v>
      </c>
      <c r="F342" s="1690">
        <f>SUM(F330)</f>
        <v>0</v>
      </c>
      <c r="G342" s="1690">
        <f>SUM(G330)</f>
        <v>0</v>
      </c>
      <c r="H342" s="1690">
        <f>SUM(H330,H334,H340)</f>
        <v>0</v>
      </c>
      <c r="I342" s="1690">
        <f>SUM(I330)</f>
        <v>0</v>
      </c>
      <c r="J342" s="1690">
        <f>SUM(J330)</f>
        <v>0</v>
      </c>
      <c r="K342" s="1690">
        <f>SUM(K330,K334,K340)</f>
        <v>238981</v>
      </c>
      <c r="L342" s="1697">
        <f>SUM(L330,L340,L341)</f>
        <v>274000</v>
      </c>
    </row>
    <row r="343" spans="1:14" ht="12.75" customHeight="1" thickTop="1" x14ac:dyDescent="0.2">
      <c r="A343" s="2187" t="s">
        <v>1053</v>
      </c>
      <c r="B343" s="2188"/>
      <c r="C343" s="617"/>
      <c r="D343" s="617"/>
      <c r="E343" s="617"/>
      <c r="F343" s="617"/>
      <c r="G343" s="617"/>
      <c r="H343" s="617"/>
      <c r="I343" s="617"/>
      <c r="J343" s="617"/>
      <c r="K343" s="1704">
        <f>'Revenues 9-14'!J275-'Expenditures 15-22'!K342</f>
        <v>64823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0</v>
      </c>
    </row>
    <row r="349" spans="1:14" x14ac:dyDescent="0.2">
      <c r="A349" s="1526" t="s">
        <v>206</v>
      </c>
      <c r="B349" s="615">
        <v>2540</v>
      </c>
      <c r="C349" s="466"/>
      <c r="D349" s="466"/>
      <c r="E349" s="466">
        <v>940</v>
      </c>
      <c r="F349" s="466"/>
      <c r="G349" s="466">
        <v>37052</v>
      </c>
      <c r="H349" s="466"/>
      <c r="I349" s="467"/>
      <c r="J349" s="467"/>
      <c r="K349" s="1691">
        <f>SUM(C349:J349)</f>
        <v>37992</v>
      </c>
      <c r="L349" s="466">
        <v>41500</v>
      </c>
    </row>
    <row r="350" spans="1:14" ht="12.75" customHeight="1" thickBot="1" x14ac:dyDescent="0.25">
      <c r="A350" s="1688" t="s">
        <v>743</v>
      </c>
      <c r="B350" s="1689" t="s">
        <v>35</v>
      </c>
      <c r="C350" s="1690">
        <f>SUM(C348:C349)</f>
        <v>0</v>
      </c>
      <c r="D350" s="1690">
        <f t="shared" ref="D350:L350" si="26">SUM(D348:D349)</f>
        <v>0</v>
      </c>
      <c r="E350" s="1690">
        <f t="shared" si="26"/>
        <v>940</v>
      </c>
      <c r="F350" s="1690">
        <f t="shared" si="26"/>
        <v>0</v>
      </c>
      <c r="G350" s="1690">
        <f t="shared" si="26"/>
        <v>37052</v>
      </c>
      <c r="H350" s="1690">
        <f t="shared" si="26"/>
        <v>0</v>
      </c>
      <c r="I350" s="1690">
        <f t="shared" si="26"/>
        <v>0</v>
      </c>
      <c r="J350" s="1690">
        <f t="shared" si="26"/>
        <v>0</v>
      </c>
      <c r="K350" s="1690">
        <f t="shared" si="26"/>
        <v>37992</v>
      </c>
      <c r="L350" s="1690">
        <f t="shared" si="26"/>
        <v>41500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940</v>
      </c>
      <c r="F352" s="1690">
        <f t="shared" si="27"/>
        <v>0</v>
      </c>
      <c r="G352" s="1690">
        <f t="shared" si="27"/>
        <v>37052</v>
      </c>
      <c r="H352" s="1690">
        <f t="shared" si="27"/>
        <v>0</v>
      </c>
      <c r="I352" s="1690">
        <f t="shared" si="27"/>
        <v>0</v>
      </c>
      <c r="J352" s="1690">
        <f t="shared" si="27"/>
        <v>0</v>
      </c>
      <c r="K352" s="1690">
        <f t="shared" si="27"/>
        <v>37992</v>
      </c>
      <c r="L352" s="1690">
        <f t="shared" si="27"/>
        <v>41500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v>0</v>
      </c>
    </row>
    <row r="355" spans="1:14" ht="12.75" customHeight="1" x14ac:dyDescent="0.2">
      <c r="A355" s="1535" t="s">
        <v>1966</v>
      </c>
      <c r="B355" s="691" t="s">
        <v>1959</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940</v>
      </c>
      <c r="F367" s="1690">
        <f t="shared" si="28"/>
        <v>0</v>
      </c>
      <c r="G367" s="1690">
        <f t="shared" si="28"/>
        <v>37052</v>
      </c>
      <c r="H367" s="1690">
        <f t="shared" si="28"/>
        <v>0</v>
      </c>
      <c r="I367" s="1690">
        <f t="shared" si="28"/>
        <v>0</v>
      </c>
      <c r="J367" s="1690">
        <f t="shared" si="28"/>
        <v>0</v>
      </c>
      <c r="K367" s="1690">
        <f t="shared" si="28"/>
        <v>37992</v>
      </c>
      <c r="L367" s="1690">
        <f t="shared" si="28"/>
        <v>41500</v>
      </c>
    </row>
    <row r="368" spans="1:14" ht="13.5" thickTop="1" x14ac:dyDescent="0.2">
      <c r="A368" s="2174" t="s">
        <v>1053</v>
      </c>
      <c r="B368" s="2175"/>
      <c r="C368" s="655"/>
      <c r="D368" s="655"/>
      <c r="E368" s="627"/>
      <c r="F368" s="627"/>
      <c r="G368" s="627"/>
      <c r="H368" s="627"/>
      <c r="I368" s="627"/>
      <c r="J368" s="624"/>
      <c r="K368" s="1691">
        <f>'Revenues 9-14'!K275-'Expenditures 15-22'!K367</f>
        <v>-7959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56999999999999995" right="0.2" top="0.8" bottom="0.38" header="0.26" footer="0.17"/>
  <pageSetup scale="70" firstPageNumber="15" fitToHeight="0" orientation="landscape" useFirstPageNumber="1" r:id="rId1"/>
  <headerFooter alignWithMargins="0">
    <oddHeader>&amp;C&amp;"Arial,Bold"&amp;9 Fairfield Public School District 112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d21dc803-237d-4c68-8692-8d731fd29118"/>
    <ds:schemaRef ds:uri="http://purl.org/dc/terms/"/>
    <ds:schemaRef ds:uri="http://schemas.microsoft.com/office/infopath/2007/PartnerControls"/>
    <ds:schemaRef ds:uri="http://schemas.microsoft.com/sharepoint/v3"/>
    <ds:schemaRef ds:uri="6ce3111e-7420-4802-b50a-75d4e9a0b980"/>
    <ds:schemaRef ds:uri="http://purl.org/dc/dcmityp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4d435f69-8686-490b-bd6d-b153bf22ab50"/>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(3)</vt:lpstr>
      <vt:lpstr>SF&amp;QC Sec-2 (2)</vt:lpstr>
      <vt:lpstr>SF&amp;QC Sec-2 (4)</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2019-01-09T18:44:51Z</cp:lastPrinted>
  <dcterms:created xsi:type="dcterms:W3CDTF">2003-10-29T19:06:34Z</dcterms:created>
  <dcterms:modified xsi:type="dcterms:W3CDTF">2019-01-14T15:16:26Z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