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5345" windowHeight="38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69" i="36" l="1"/>
  <c r="G22" i="17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B5286" i="106" s="1"/>
  <c r="D5286" i="106" s="1"/>
  <c r="C228" i="5"/>
  <c r="B5304" i="106" s="1"/>
  <c r="D5304" i="106" s="1"/>
  <c r="C259" i="5"/>
  <c r="B7761" i="106"/>
  <c r="L127" i="29"/>
  <c r="L129" i="29" s="1"/>
  <c r="L139" i="29"/>
  <c r="L149" i="29"/>
  <c r="I7" i="145"/>
  <c r="I6" i="145"/>
  <c r="D78" i="36"/>
  <c r="K75" i="29"/>
  <c r="F52" i="34" s="1"/>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c r="B5106" i="106"/>
  <c r="D5106" i="106" s="1"/>
  <c r="B5107" i="106"/>
  <c r="D5107" i="106" s="1"/>
  <c r="B5108" i="106"/>
  <c r="D5108" i="106" s="1"/>
  <c r="B5109" i="106"/>
  <c r="D5109" i="106" s="1"/>
  <c r="B5110" i="106"/>
  <c r="D5110" i="106" s="1"/>
  <c r="B5111" i="106"/>
  <c r="D5111" i="106"/>
  <c r="B5113" i="106"/>
  <c r="D5113" i="106" s="1"/>
  <c r="B5114" i="106"/>
  <c r="D5114" i="106"/>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s="1"/>
  <c r="B6308" i="106"/>
  <c r="D6308" i="106"/>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c r="B6320" i="106"/>
  <c r="D6320" i="106" s="1"/>
  <c r="B6321" i="106"/>
  <c r="D6321" i="106" s="1"/>
  <c r="B6322" i="106"/>
  <c r="D6322" i="106" s="1"/>
  <c r="B6323" i="106"/>
  <c r="D6323" i="106" s="1"/>
  <c r="B6324" i="106"/>
  <c r="D6324" i="106" s="1"/>
  <c r="B6325" i="106"/>
  <c r="D6325" i="106"/>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s="1"/>
  <c r="B6355" i="106"/>
  <c r="D6355" i="106" s="1"/>
  <c r="B6356" i="106"/>
  <c r="D6356" i="106" s="1"/>
  <c r="B6358" i="106"/>
  <c r="D6358" i="106" s="1"/>
  <c r="B6359" i="106"/>
  <c r="D6359" i="106" s="1"/>
  <c r="B6360" i="106"/>
  <c r="D6360" i="106"/>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c r="B6371" i="106"/>
  <c r="D6371" i="106" s="1"/>
  <c r="B6372" i="106"/>
  <c r="D6372" i="106" s="1"/>
  <c r="B6373" i="106"/>
  <c r="D6373" i="106" s="1"/>
  <c r="B6374" i="106"/>
  <c r="D6374" i="106" s="1"/>
  <c r="B6375" i="106"/>
  <c r="D6375" i="106" s="1"/>
  <c r="B6376" i="106"/>
  <c r="D6376" i="106"/>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c r="B6387" i="106"/>
  <c r="D6387" i="106" s="1"/>
  <c r="B6388" i="106"/>
  <c r="D6388" i="106"/>
  <c r="B6389" i="106"/>
  <c r="D6389" i="106" s="1"/>
  <c r="B6390" i="106"/>
  <c r="D6390" i="106" s="1"/>
  <c r="B6391" i="106"/>
  <c r="D6391" i="106" s="1"/>
  <c r="B6392" i="106"/>
  <c r="D6392" i="106" s="1"/>
  <c r="B6393" i="106"/>
  <c r="D6393" i="106" s="1"/>
  <c r="B6394" i="106"/>
  <c r="D6394" i="106"/>
  <c r="B6395" i="106"/>
  <c r="D6395" i="106" s="1"/>
  <c r="B6398" i="106"/>
  <c r="D6398" i="106"/>
  <c r="B6399" i="106"/>
  <c r="D6399" i="106" s="1"/>
  <c r="B6401" i="106"/>
  <c r="D6401" i="106" s="1"/>
  <c r="B6402" i="106"/>
  <c r="D6402" i="106" s="1"/>
  <c r="B6403" i="106"/>
  <c r="D6403" i="106" s="1"/>
  <c r="B6404" i="106"/>
  <c r="D6404" i="106" s="1"/>
  <c r="B6405" i="106"/>
  <c r="D6405" i="106"/>
  <c r="B6406" i="106"/>
  <c r="D6406" i="106" s="1"/>
  <c r="B6407" i="106"/>
  <c r="D6407" i="106"/>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c r="B6620" i="106"/>
  <c r="D6620" i="106" s="1"/>
  <c r="B6621" i="106"/>
  <c r="D6621" i="106"/>
  <c r="B6622" i="106"/>
  <c r="D6622" i="106" s="1"/>
  <c r="B6623" i="106"/>
  <c r="D6623" i="106" s="1"/>
  <c r="B6624" i="106"/>
  <c r="D6624" i="106" s="1"/>
  <c r="B6625" i="106"/>
  <c r="D6625" i="106" s="1"/>
  <c r="B6626" i="106"/>
  <c r="D6626" i="106" s="1"/>
  <c r="B6627" i="106"/>
  <c r="D6627" i="106"/>
  <c r="B6628" i="106"/>
  <c r="D6628" i="106" s="1"/>
  <c r="B6629" i="106"/>
  <c r="D6629" i="106"/>
  <c r="B6630" i="106"/>
  <c r="D6630" i="106" s="1"/>
  <c r="B6631" i="106"/>
  <c r="D6631" i="106" s="1"/>
  <c r="B6632" i="106"/>
  <c r="D6632" i="106" s="1"/>
  <c r="B6633" i="106"/>
  <c r="D6633" i="106" s="1"/>
  <c r="B6634" i="106"/>
  <c r="D6634" i="106" s="1"/>
  <c r="B6635" i="106"/>
  <c r="D6635" i="106"/>
  <c r="B6636" i="106"/>
  <c r="D6636" i="106" s="1"/>
  <c r="B6637" i="106"/>
  <c r="D6637" i="106"/>
  <c r="B6638" i="106"/>
  <c r="D6638" i="106" s="1"/>
  <c r="B6639" i="106"/>
  <c r="D6639" i="106" s="1"/>
  <c r="B6640" i="106"/>
  <c r="D6640" i="106" s="1"/>
  <c r="B6641" i="106"/>
  <c r="D6641" i="106" s="1"/>
  <c r="B6642" i="106"/>
  <c r="D6642" i="106" s="1"/>
  <c r="B6643" i="106"/>
  <c r="D6643" i="106"/>
  <c r="B6644" i="106"/>
  <c r="D6644" i="106" s="1"/>
  <c r="B6645" i="106"/>
  <c r="D6645" i="106"/>
  <c r="B6646" i="106"/>
  <c r="D6646" i="106" s="1"/>
  <c r="B6647" i="106"/>
  <c r="D6647" i="106" s="1"/>
  <c r="B6648" i="106"/>
  <c r="D6648" i="106" s="1"/>
  <c r="B6649" i="106"/>
  <c r="D6649" i="106" s="1"/>
  <c r="B6650" i="106"/>
  <c r="D6650" i="106" s="1"/>
  <c r="B6651" i="106"/>
  <c r="D6651" i="106"/>
  <c r="B6652" i="106"/>
  <c r="D6652" i="106" s="1"/>
  <c r="B6653" i="106"/>
  <c r="D6653" i="106"/>
  <c r="B6654" i="106"/>
  <c r="D6654" i="106" s="1"/>
  <c r="B6655" i="106"/>
  <c r="D6655" i="106"/>
  <c r="B6656" i="106"/>
  <c r="D6656" i="106" s="1"/>
  <c r="B6657" i="106"/>
  <c r="D6657" i="106" s="1"/>
  <c r="B6658" i="106"/>
  <c r="D6658" i="106" s="1"/>
  <c r="B6659" i="106"/>
  <c r="D6659" i="106"/>
  <c r="B6660" i="106"/>
  <c r="D6660" i="106" s="1"/>
  <c r="B6661" i="106"/>
  <c r="D6661" i="106"/>
  <c r="B6662" i="106"/>
  <c r="D6662" i="106" s="1"/>
  <c r="B6663" i="106"/>
  <c r="D6663" i="106"/>
  <c r="B6664" i="106"/>
  <c r="D6664" i="106" s="1"/>
  <c r="B6665" i="106"/>
  <c r="D6665" i="106" s="1"/>
  <c r="B6666" i="106"/>
  <c r="D6666" i="106" s="1"/>
  <c r="B6667" i="106"/>
  <c r="D6667" i="106"/>
  <c r="B6668" i="106"/>
  <c r="D6668" i="106" s="1"/>
  <c r="B6669" i="106"/>
  <c r="D6669" i="106"/>
  <c r="B6670" i="106"/>
  <c r="D6670" i="106" s="1"/>
  <c r="B6671" i="106"/>
  <c r="D6671" i="106"/>
  <c r="B6672" i="106"/>
  <c r="D6672" i="106" s="1"/>
  <c r="B6673" i="106"/>
  <c r="D6673" i="106" s="1"/>
  <c r="B6674" i="106"/>
  <c r="D6674" i="106" s="1"/>
  <c r="B6675" i="106"/>
  <c r="D6675" i="106"/>
  <c r="B6676" i="106"/>
  <c r="D6676" i="106" s="1"/>
  <c r="B6677" i="106"/>
  <c r="D6677" i="106"/>
  <c r="B6678" i="106"/>
  <c r="D6678" i="106" s="1"/>
  <c r="B6679" i="106"/>
  <c r="D6679" i="106"/>
  <c r="B6680" i="106"/>
  <c r="D6680" i="106" s="1"/>
  <c r="B6681" i="106"/>
  <c r="D6681" i="106" s="1"/>
  <c r="B6682" i="106"/>
  <c r="D6682" i="106" s="1"/>
  <c r="B6683" i="106"/>
  <c r="D6683" i="106"/>
  <c r="B6684" i="106"/>
  <c r="D6684" i="106" s="1"/>
  <c r="B6685" i="106"/>
  <c r="D6685" i="106"/>
  <c r="B6686" i="106"/>
  <c r="D6686" i="106" s="1"/>
  <c r="B6687" i="106"/>
  <c r="D6687" i="106"/>
  <c r="B6688" i="106"/>
  <c r="D6688" i="106" s="1"/>
  <c r="B6689" i="106"/>
  <c r="D6689" i="106" s="1"/>
  <c r="B6690" i="106"/>
  <c r="D6690" i="106" s="1"/>
  <c r="B6691" i="106"/>
  <c r="D6691" i="106"/>
  <c r="B6692" i="106"/>
  <c r="D6692" i="106" s="1"/>
  <c r="B6693" i="106"/>
  <c r="D6693" i="106"/>
  <c r="B6694" i="106"/>
  <c r="D6694" i="106" s="1"/>
  <c r="B6695" i="106"/>
  <c r="D6695" i="106"/>
  <c r="B6696" i="106"/>
  <c r="D6696" i="106" s="1"/>
  <c r="B6697" i="106"/>
  <c r="D6697" i="106" s="1"/>
  <c r="B6698" i="106"/>
  <c r="D6698" i="106" s="1"/>
  <c r="B6699" i="106"/>
  <c r="D6699" i="106"/>
  <c r="B6700" i="106"/>
  <c r="D6700" i="106" s="1"/>
  <c r="B6701" i="106"/>
  <c r="D6701" i="106"/>
  <c r="B6702" i="106"/>
  <c r="D6702" i="106" s="1"/>
  <c r="B6703" i="106"/>
  <c r="D6703" i="106"/>
  <c r="B6704" i="106"/>
  <c r="D6704" i="106" s="1"/>
  <c r="B6705" i="106"/>
  <c r="D6705" i="106" s="1"/>
  <c r="B6706" i="106"/>
  <c r="D6706" i="106" s="1"/>
  <c r="B6707" i="106"/>
  <c r="D6707" i="106"/>
  <c r="B6708" i="106"/>
  <c r="D6708" i="106" s="1"/>
  <c r="B6709" i="106"/>
  <c r="D6709" i="106"/>
  <c r="B6710" i="106"/>
  <c r="D6710" i="106" s="1"/>
  <c r="B6711" i="106"/>
  <c r="D6711" i="106"/>
  <c r="B6712" i="106"/>
  <c r="D6712" i="106" s="1"/>
  <c r="B6713" i="106"/>
  <c r="D6713" i="106" s="1"/>
  <c r="B6714" i="106"/>
  <c r="D6714" i="106" s="1"/>
  <c r="B6715" i="106"/>
  <c r="D6715" i="106"/>
  <c r="B6716" i="106"/>
  <c r="D6716" i="106" s="1"/>
  <c r="B6717" i="106"/>
  <c r="D6717" i="106"/>
  <c r="B6718" i="106"/>
  <c r="D6718" i="106" s="1"/>
  <c r="B6719" i="106"/>
  <c r="D6719" i="106"/>
  <c r="B6720" i="106"/>
  <c r="D6720" i="106" s="1"/>
  <c r="B6721" i="106"/>
  <c r="D6721" i="106" s="1"/>
  <c r="B6722" i="106"/>
  <c r="D6722" i="106" s="1"/>
  <c r="B6723" i="106"/>
  <c r="D6723" i="106"/>
  <c r="B6724" i="106"/>
  <c r="D6724" i="106" s="1"/>
  <c r="B6725" i="106"/>
  <c r="D6725" i="106"/>
  <c r="B6726" i="106"/>
  <c r="D6726" i="106" s="1"/>
  <c r="B6727" i="106"/>
  <c r="D6727" i="106" s="1"/>
  <c r="B6728" i="106"/>
  <c r="D6728" i="106" s="1"/>
  <c r="B6729" i="106"/>
  <c r="D6729" i="106"/>
  <c r="B6730" i="106"/>
  <c r="D6730" i="106" s="1"/>
  <c r="B6731" i="106"/>
  <c r="D6731" i="106"/>
  <c r="B6732" i="106"/>
  <c r="D6732" i="106" s="1"/>
  <c r="B6733" i="106"/>
  <c r="D6733" i="106"/>
  <c r="B6734" i="106"/>
  <c r="D6734" i="106" s="1"/>
  <c r="B6735" i="106"/>
  <c r="D6735" i="106" s="1"/>
  <c r="B6736" i="106"/>
  <c r="D6736" i="106" s="1"/>
  <c r="B6737" i="106"/>
  <c r="D6737" i="106"/>
  <c r="B6738" i="106"/>
  <c r="D6738" i="106" s="1"/>
  <c r="B6739" i="106"/>
  <c r="D6739" i="106"/>
  <c r="B6740" i="106"/>
  <c r="D6740" i="106" s="1"/>
  <c r="B6741" i="106"/>
  <c r="D6741" i="106"/>
  <c r="B6742" i="106"/>
  <c r="D6742" i="106" s="1"/>
  <c r="B6743" i="106"/>
  <c r="D6743" i="106" s="1"/>
  <c r="B6744" i="106"/>
  <c r="D6744" i="106" s="1"/>
  <c r="B6745" i="106"/>
  <c r="D6745" i="106"/>
  <c r="B6746" i="106"/>
  <c r="D6746" i="106" s="1"/>
  <c r="B6747" i="106"/>
  <c r="D6747" i="106"/>
  <c r="B6748" i="106"/>
  <c r="D6748" i="106" s="1"/>
  <c r="B6749" i="106"/>
  <c r="D6749" i="106"/>
  <c r="B6750" i="106"/>
  <c r="D6750" i="106" s="1"/>
  <c r="B6751" i="106"/>
  <c r="D6751" i="106" s="1"/>
  <c r="B6752" i="106"/>
  <c r="D6752" i="106" s="1"/>
  <c r="B6753" i="106"/>
  <c r="D6753" i="106"/>
  <c r="B6754" i="106"/>
  <c r="D6754" i="106" s="1"/>
  <c r="B6755" i="106"/>
  <c r="D6755" i="106"/>
  <c r="B6756" i="106"/>
  <c r="D6756" i="106" s="1"/>
  <c r="B6757" i="106"/>
  <c r="D6757" i="106"/>
  <c r="B6758" i="106"/>
  <c r="D6758" i="106" s="1"/>
  <c r="B6759" i="106"/>
  <c r="D6759" i="106" s="1"/>
  <c r="B6760" i="106"/>
  <c r="D6760" i="106" s="1"/>
  <c r="B6761" i="106"/>
  <c r="D6761" i="106"/>
  <c r="B6762" i="106"/>
  <c r="D6762" i="106" s="1"/>
  <c r="B6763" i="106"/>
  <c r="D6763" i="106"/>
  <c r="B6764" i="106"/>
  <c r="D6764" i="106" s="1"/>
  <c r="B6765" i="106"/>
  <c r="D6765" i="106"/>
  <c r="B6766" i="106"/>
  <c r="D6766" i="106" s="1"/>
  <c r="B6767" i="106"/>
  <c r="D6767" i="106" s="1"/>
  <c r="B6768" i="106"/>
  <c r="D6768" i="106" s="1"/>
  <c r="B6769" i="106"/>
  <c r="D6769" i="106"/>
  <c r="B6770" i="106"/>
  <c r="D6770" i="106" s="1"/>
  <c r="B6771" i="106"/>
  <c r="D6771" i="106"/>
  <c r="B6772" i="106"/>
  <c r="D6772" i="106" s="1"/>
  <c r="B6773" i="106"/>
  <c r="D6773" i="106"/>
  <c r="B6774" i="106"/>
  <c r="D6774" i="106" s="1"/>
  <c r="B6775" i="106"/>
  <c r="D6775" i="106" s="1"/>
  <c r="B6776" i="106"/>
  <c r="D6776" i="106" s="1"/>
  <c r="B6777" i="106"/>
  <c r="D6777" i="106"/>
  <c r="B6778" i="106"/>
  <c r="D6778" i="106" s="1"/>
  <c r="B6779" i="106"/>
  <c r="D6779" i="106"/>
  <c r="B6780" i="106"/>
  <c r="D6780" i="106" s="1"/>
  <c r="B6781" i="106"/>
  <c r="D6781" i="106"/>
  <c r="B6782" i="106"/>
  <c r="D6782" i="106" s="1"/>
  <c r="B6783" i="106"/>
  <c r="D6783" i="106" s="1"/>
  <c r="B6784" i="106"/>
  <c r="D6784" i="106" s="1"/>
  <c r="B6785" i="106"/>
  <c r="D6785" i="106"/>
  <c r="B6786" i="106"/>
  <c r="D6786" i="106" s="1"/>
  <c r="B6787" i="106"/>
  <c r="D6787" i="106"/>
  <c r="B6788" i="106"/>
  <c r="D6788" i="106" s="1"/>
  <c r="B6789" i="106"/>
  <c r="D6789" i="106"/>
  <c r="B6790" i="106"/>
  <c r="D6790" i="106" s="1"/>
  <c r="B6791" i="106"/>
  <c r="D6791" i="106" s="1"/>
  <c r="B6792" i="106"/>
  <c r="D6792" i="106" s="1"/>
  <c r="B6793" i="106"/>
  <c r="D6793" i="106"/>
  <c r="B6794" i="106"/>
  <c r="D6794" i="106" s="1"/>
  <c r="B6795" i="106"/>
  <c r="D6795" i="106"/>
  <c r="B6796" i="106"/>
  <c r="D6796" i="106" s="1"/>
  <c r="B6797" i="106"/>
  <c r="D6797" i="106"/>
  <c r="B6798" i="106"/>
  <c r="D6798" i="106" s="1"/>
  <c r="B6799" i="106"/>
  <c r="D6799" i="106" s="1"/>
  <c r="B6800" i="106"/>
  <c r="D6800" i="106" s="1"/>
  <c r="B6801" i="106"/>
  <c r="D6801" i="106"/>
  <c r="B6802" i="106"/>
  <c r="D6802" i="106" s="1"/>
  <c r="B6803" i="106"/>
  <c r="D6803" i="106"/>
  <c r="B6804" i="106"/>
  <c r="D6804" i="106" s="1"/>
  <c r="B6805" i="106"/>
  <c r="D6805" i="106"/>
  <c r="B6806" i="106"/>
  <c r="D6806" i="106" s="1"/>
  <c r="B6807" i="106"/>
  <c r="D6807" i="106" s="1"/>
  <c r="B6808" i="106"/>
  <c r="D6808" i="106" s="1"/>
  <c r="B6809" i="106"/>
  <c r="D6809" i="106"/>
  <c r="B6810" i="106"/>
  <c r="D6810" i="106" s="1"/>
  <c r="B6811" i="106"/>
  <c r="D6811" i="106"/>
  <c r="B6812" i="106"/>
  <c r="D6812" i="106" s="1"/>
  <c r="B6813" i="106"/>
  <c r="D6813" i="106"/>
  <c r="B6814" i="106"/>
  <c r="D6814" i="106" s="1"/>
  <c r="B6815" i="106"/>
  <c r="D6815" i="106" s="1"/>
  <c r="B6816" i="106"/>
  <c r="D6816" i="106" s="1"/>
  <c r="B6817" i="106"/>
  <c r="D6817" i="106"/>
  <c r="B6818" i="106"/>
  <c r="D6818" i="106" s="1"/>
  <c r="B6819" i="106"/>
  <c r="D6819" i="106"/>
  <c r="B6820" i="106"/>
  <c r="D6820" i="106" s="1"/>
  <c r="B6821" i="106"/>
  <c r="D6821" i="106"/>
  <c r="B6822" i="106"/>
  <c r="D6822" i="106" s="1"/>
  <c r="B6823" i="106"/>
  <c r="D6823" i="106" s="1"/>
  <c r="B6824" i="106"/>
  <c r="D6824" i="106" s="1"/>
  <c r="B6825" i="106"/>
  <c r="D6825" i="106"/>
  <c r="B6826" i="106"/>
  <c r="D6826" i="106" s="1"/>
  <c r="B6827" i="106"/>
  <c r="D6827" i="106"/>
  <c r="B6828" i="106"/>
  <c r="D6828" i="106" s="1"/>
  <c r="B6829" i="106"/>
  <c r="D6829" i="106"/>
  <c r="B6830" i="106"/>
  <c r="D6830" i="106" s="1"/>
  <c r="B6831" i="106"/>
  <c r="D6831" i="106" s="1"/>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J210" i="29"/>
  <c r="B7072" i="106" s="1"/>
  <c r="D7072"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F26" i="108"/>
  <c r="G26" i="108"/>
  <c r="E27" i="108"/>
  <c r="G27" i="108"/>
  <c r="F31" i="108"/>
  <c r="F36" i="108"/>
  <c r="F37" i="108"/>
  <c r="G28" i="108"/>
  <c r="G29" i="108"/>
  <c r="D31" i="108"/>
  <c r="D36" i="108"/>
  <c r="D37" i="108"/>
  <c r="E31" i="108"/>
  <c r="G31" i="108"/>
  <c r="E33" i="108"/>
  <c r="G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C45" i="34"/>
  <c r="D45" i="34"/>
  <c r="F45" i="34"/>
  <c r="C46" i="34"/>
  <c r="D46" i="34"/>
  <c r="F46" i="34"/>
  <c r="C47" i="34"/>
  <c r="D47" i="34"/>
  <c r="C48" i="34"/>
  <c r="D48" i="34"/>
  <c r="C49" i="34"/>
  <c r="D49" i="34"/>
  <c r="F49" i="34"/>
  <c r="C50" i="34"/>
  <c r="D50" i="34"/>
  <c r="C51" i="34"/>
  <c r="D51" i="34"/>
  <c r="C52" i="34"/>
  <c r="C53" i="34"/>
  <c r="D53" i="34"/>
  <c r="C56" i="34"/>
  <c r="F56" i="34"/>
  <c r="C57" i="34"/>
  <c r="D57" i="34"/>
  <c r="C61" i="34"/>
  <c r="C62" i="34"/>
  <c r="F62" i="34"/>
  <c r="C63" i="34"/>
  <c r="D63" i="34"/>
  <c r="C64" i="34"/>
  <c r="F66" i="34"/>
  <c r="C67" i="34"/>
  <c r="D67" i="34"/>
  <c r="F67" i="34"/>
  <c r="C68" i="34"/>
  <c r="D68" i="34"/>
  <c r="F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F111" i="34" s="1"/>
  <c r="C144" i="5"/>
  <c r="B5165" i="106" s="1"/>
  <c r="D5165" i="106" s="1"/>
  <c r="C154" i="5"/>
  <c r="B5178" i="106" s="1"/>
  <c r="D5178" i="106" s="1"/>
  <c r="D154" i="5"/>
  <c r="B5394" i="106" s="1"/>
  <c r="D5394" i="106" s="1"/>
  <c r="B4357" i="106"/>
  <c r="D4357"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c r="D4951" i="106" s="1"/>
  <c r="C184" i="5"/>
  <c r="F127" i="34" s="1"/>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D14" i="4"/>
  <c r="B2570" i="106" s="1"/>
  <c r="D2570" i="106" s="1"/>
  <c r="F14" i="4"/>
  <c r="B2597" i="106" s="1"/>
  <c r="D2597" i="106" s="1"/>
  <c r="B2633" i="106"/>
  <c r="D2633" i="106" s="1"/>
  <c r="D7" i="118"/>
  <c r="D8" i="118"/>
  <c r="D9" i="118"/>
  <c r="H14" i="118"/>
  <c r="H19" i="118"/>
  <c r="H24" i="118"/>
  <c r="H28" i="118"/>
  <c r="H29" i="118"/>
  <c r="D11" i="37"/>
  <c r="D22" i="37"/>
  <c r="J22" i="37"/>
  <c r="L22" i="37"/>
  <c r="D24" i="37"/>
  <c r="B4270" i="106" s="1"/>
  <c r="D4270" i="106" s="1"/>
  <c r="D4" i="7"/>
  <c r="B1760" i="106" s="1"/>
  <c r="D1760" i="106" s="1"/>
  <c r="D5" i="7"/>
  <c r="B1761" i="106" s="1"/>
  <c r="D1761" i="106" s="1"/>
  <c r="D13" i="7"/>
  <c r="B3726" i="106" s="1"/>
  <c r="D3726" i="106" s="1"/>
  <c r="D9" i="7"/>
  <c r="B1767" i="106" s="1"/>
  <c r="D1767" i="106" s="1"/>
  <c r="F136" i="34"/>
  <c r="B5752" i="106"/>
  <c r="D5752" i="106" s="1"/>
  <c r="B5599" i="106"/>
  <c r="D5599" i="106" s="1"/>
  <c r="H173" i="5"/>
  <c r="B5906" i="106" s="1"/>
  <c r="D5906" i="106" s="1"/>
  <c r="D17" i="7"/>
  <c r="B4104" i="106" s="1"/>
  <c r="D4104" i="106" s="1"/>
  <c r="D12" i="7"/>
  <c r="B1769" i="106" s="1"/>
  <c r="D1769" i="106" s="1"/>
  <c r="F64" i="34" l="1"/>
  <c r="G38" i="108"/>
  <c r="E38" i="108"/>
  <c r="B1996" i="106"/>
  <c r="D1996" i="106" s="1"/>
  <c r="I26" i="12"/>
  <c r="B7741" i="106" s="1"/>
  <c r="D7741" i="106" s="1"/>
  <c r="F34" i="34"/>
  <c r="F27" i="108"/>
  <c r="B5096" i="106"/>
  <c r="D5096" i="106" s="1"/>
  <c r="D15" i="7"/>
  <c r="B1772" i="106" s="1"/>
  <c r="D1772" i="106" s="1"/>
  <c r="H6" i="4"/>
  <c r="B2656" i="106" s="1"/>
  <c r="D2656" i="106" s="1"/>
  <c r="H33" i="118"/>
  <c r="F128" i="34"/>
  <c r="K173" i="5"/>
  <c r="K6" i="4" s="1"/>
  <c r="B3570" i="106" s="1"/>
  <c r="D3570" i="106" s="1"/>
  <c r="F70" i="34"/>
  <c r="E26" i="108"/>
  <c r="F72" i="34"/>
  <c r="D11" i="7"/>
  <c r="B1768" i="106" s="1"/>
  <c r="D1768" i="106" s="1"/>
  <c r="D7" i="7"/>
  <c r="B1763" i="106" s="1"/>
  <c r="D1763" i="106" s="1"/>
  <c r="K28" i="118"/>
  <c r="O27" i="118" s="1"/>
  <c r="O29" i="118" s="1"/>
  <c r="N22" i="3"/>
  <c r="B283" i="106" s="1"/>
  <c r="D283" i="106" s="1"/>
  <c r="G14" i="4"/>
  <c r="B2609" i="106" s="1"/>
  <c r="D2609" i="106" s="1"/>
  <c r="E109" i="5"/>
  <c r="E4" i="4" s="1"/>
  <c r="B2630" i="106" s="1"/>
  <c r="D2630" i="106" s="1"/>
  <c r="F50" i="34"/>
  <c r="F44" i="34"/>
  <c r="D7245" i="106"/>
  <c r="H365" i="29"/>
  <c r="B7242" i="106" s="1"/>
  <c r="D7242" i="106" s="1"/>
  <c r="B1274" i="106"/>
  <c r="D1274" i="106" s="1"/>
  <c r="H109" i="5"/>
  <c r="B6025" i="106" s="1"/>
  <c r="D6025" i="106" s="1"/>
  <c r="B1223" i="106"/>
  <c r="D1223" i="106" s="1"/>
  <c r="E28" i="108"/>
  <c r="F38" i="34"/>
  <c r="D68" i="36"/>
  <c r="D54" i="36"/>
  <c r="L5" i="11"/>
  <c r="B2056" i="106" s="1"/>
  <c r="D2056" i="106" s="1"/>
  <c r="F19" i="7"/>
  <c r="B1807" i="106" s="1"/>
  <c r="D1807" i="106" s="1"/>
  <c r="E29" i="108"/>
  <c r="F28" i="108"/>
  <c r="C14" i="4"/>
  <c r="B2558" i="106" s="1"/>
  <c r="D2558" i="106" s="1"/>
  <c r="G39" i="108"/>
  <c r="G30" i="108"/>
  <c r="E30" i="108"/>
  <c r="F106" i="34"/>
  <c r="C172" i="5"/>
  <c r="B5214" i="106" s="1"/>
  <c r="D5214" i="106" s="1"/>
  <c r="G172" i="5"/>
  <c r="G173" i="5" s="1"/>
  <c r="H4" i="4"/>
  <c r="B2655" i="106" s="1"/>
  <c r="D2655" i="106" s="1"/>
  <c r="B1746" i="106"/>
  <c r="D1746" i="106" s="1"/>
  <c r="D109" i="5"/>
  <c r="B5356" i="106" s="1"/>
  <c r="D5356" i="106" s="1"/>
  <c r="C109" i="5"/>
  <c r="B5121" i="106" s="1"/>
  <c r="D5121" i="106" s="1"/>
  <c r="D52" i="36"/>
  <c r="K274" i="5"/>
  <c r="F130" i="34"/>
  <c r="F131" i="34"/>
  <c r="B7041" i="106"/>
  <c r="D7041" i="106" s="1"/>
  <c r="B4363" i="106"/>
  <c r="D4363" i="106" s="1"/>
  <c r="I173" i="5"/>
  <c r="B4216" i="106" s="1"/>
  <c r="D4216" i="106" s="1"/>
  <c r="B5725" i="106"/>
  <c r="D5725" i="106" s="1"/>
  <c r="G109" i="5"/>
  <c r="L367" i="29"/>
  <c r="I342" i="29"/>
  <c r="B7222" i="106" s="1"/>
  <c r="D7222" i="106" s="1"/>
  <c r="L342" i="29"/>
  <c r="B7235" i="106"/>
  <c r="D7235" i="106" s="1"/>
  <c r="C342" i="29"/>
  <c r="B7216" i="106" s="1"/>
  <c r="D7216" i="106" s="1"/>
  <c r="B6191" i="106"/>
  <c r="D6191" i="106" s="1"/>
  <c r="J41" i="3"/>
  <c r="B6216" i="106" s="1"/>
  <c r="D6216" i="106" s="1"/>
  <c r="B3649" i="106"/>
  <c r="D3649" i="106" s="1"/>
  <c r="G367" i="29"/>
  <c r="K350" i="29"/>
  <c r="F77" i="4"/>
  <c r="B3255" i="106" s="1"/>
  <c r="D3255" i="106" s="1"/>
  <c r="F21" i="8"/>
  <c r="K184" i="29"/>
  <c r="F13" i="4" s="1"/>
  <c r="B2596" i="106" s="1"/>
  <c r="D2596" i="106" s="1"/>
  <c r="K24" i="12"/>
  <c r="B3647" i="106"/>
  <c r="D3647" i="106" s="1"/>
  <c r="B3621" i="106"/>
  <c r="D3621" i="106" s="1"/>
  <c r="C367" i="29"/>
  <c r="L15" i="11"/>
  <c r="B3459" i="106" s="1"/>
  <c r="D3459" i="106" s="1"/>
  <c r="L13" i="11"/>
  <c r="B2060" i="106" s="1"/>
  <c r="D2060" i="106" s="1"/>
  <c r="G210" i="29"/>
  <c r="K285" i="29"/>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I6" i="4" l="1"/>
  <c r="B5011" i="106" s="1"/>
  <c r="D5011" i="106" s="1"/>
  <c r="F41" i="108"/>
  <c r="G43" i="108" s="1"/>
  <c r="H8" i="4"/>
  <c r="L16" i="11"/>
  <c r="B2061" i="106" s="1"/>
  <c r="D2061" i="106" s="1"/>
  <c r="B2031" i="106"/>
  <c r="D2031" i="106" s="1"/>
  <c r="K342" i="29"/>
  <c r="F13" i="34" s="1"/>
  <c r="L114" i="29"/>
  <c r="C114" i="29"/>
  <c r="B757" i="106" s="1"/>
  <c r="D757" i="106" s="1"/>
  <c r="C173" i="5"/>
  <c r="B5223" i="106" s="1"/>
  <c r="D5223" i="106" s="1"/>
  <c r="F275" i="5"/>
  <c r="B5720" i="106" s="1"/>
  <c r="D5720" i="106" s="1"/>
  <c r="B5653" i="106"/>
  <c r="D5653" i="106" s="1"/>
  <c r="B5778" i="106"/>
  <c r="D5778" i="106" s="1"/>
  <c r="G6" i="4"/>
  <c r="B2604" i="106" s="1"/>
  <c r="D2604" i="106" s="1"/>
  <c r="B5770" i="106"/>
  <c r="D5770" i="106" s="1"/>
  <c r="D4" i="4"/>
  <c r="B2564" i="106" s="1"/>
  <c r="D2564" i="106" s="1"/>
  <c r="D19" i="7"/>
  <c r="B1775" i="106" s="1"/>
  <c r="D1775" i="106" s="1"/>
  <c r="C4" i="4"/>
  <c r="B2551" i="106" s="1"/>
  <c r="D2551" i="106" s="1"/>
  <c r="D51" i="36"/>
  <c r="D44" i="36"/>
  <c r="B1365" i="106"/>
  <c r="D1365" i="106" s="1"/>
  <c r="F65" i="34"/>
  <c r="B1879" i="106"/>
  <c r="D1879" i="106" s="1"/>
  <c r="H22" i="37"/>
  <c r="B6024" i="106"/>
  <c r="D6024" i="106" s="1"/>
  <c r="G4" i="4"/>
  <c r="B2603" i="106" s="1"/>
  <c r="D2603" i="106" s="1"/>
  <c r="F73" i="34"/>
  <c r="G15" i="4"/>
  <c r="B6032" i="106" s="1"/>
  <c r="D6032" i="106" s="1"/>
  <c r="B7733" i="106"/>
  <c r="D7733" i="106" s="1"/>
  <c r="K26" i="12"/>
  <c r="B7743" i="106" s="1"/>
  <c r="D7743" i="106" s="1"/>
  <c r="B3670" i="106"/>
  <c r="D3670" i="106" s="1"/>
  <c r="K352" i="29"/>
  <c r="K367" i="29" s="1"/>
  <c r="H367" i="29"/>
  <c r="B3660" i="106" s="1"/>
  <c r="D366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B7224" i="106" l="1"/>
  <c r="D7224" i="106" s="1"/>
  <c r="J17" i="4"/>
  <c r="J19" i="4" s="1"/>
  <c r="B6229" i="106" s="1"/>
  <c r="D6229" i="106" s="1"/>
  <c r="G41" i="108"/>
  <c r="G44" i="108" s="1"/>
  <c r="G45" i="108" s="1"/>
  <c r="C6" i="4"/>
  <c r="B2553" i="106" s="1"/>
  <c r="D2553" i="106" s="1"/>
  <c r="F8" i="4"/>
  <c r="D8" i="146" s="1"/>
  <c r="E41" i="108"/>
  <c r="E44" i="108" s="1"/>
  <c r="E45" i="108"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J20" i="4" l="1"/>
  <c r="J78" i="4" s="1"/>
  <c r="B6227" i="106"/>
  <c r="D6227" i="106" s="1"/>
  <c r="F76" i="34"/>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6230" i="106" l="1"/>
  <c r="D623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<sst xmlns="http://schemas.openxmlformats.org/spreadsheetml/2006/main" count="5085" uniqueCount="2128">
  <si>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</si>
  <si>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</si>
  <si>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</si>
  <si>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</si>
  <si>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</si>
  <si>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</si>
  <si>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</si>
  <si>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</si>
  <si>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</si>
  <si>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</si>
  <si>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</si>
  <si>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</si>
  <si>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</si>
  <si>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</si>
  <si>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</si>
  <si>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</si>
  <si>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</si>
  <si>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</si>
  <si>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</si>
  <si>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</si>
  <si>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</si>
  <si>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</si>
  <si>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</si>
  <si>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</si>
  <si>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</si>
  <si>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</si>
  <si>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</si>
  <si>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</si>
  <si>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</si>
  <si>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</si>
  <si>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</si>
  <si>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</si>
  <si>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</si>
  <si>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</si>
  <si>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</si>
  <si>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</si>
  <si>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</si>
  <si>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</si>
  <si>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</si>
  <si>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</si>
  <si>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</si>
  <si>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</si>
  <si>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</si>
  <si>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</si>
  <si>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</si>
  <si>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</si>
  <si>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</si>
  <si>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</si>
  <si>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</si>
  <si>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</si>
  <si>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</si>
  <si>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</si>
  <si>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</si>
  <si>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</si>
  <si>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</si>
  <si>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</si>
  <si>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</si>
  <si>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</si>
  <si>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</si>
  <si>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</si>
  <si>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</si>
  <si>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</si>
  <si>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</si>
  <si>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</si>
  <si>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</si>
  <si>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</si>
  <si>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</si>
  <si>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</si>
  <si>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</si>
  <si>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</si>
  <si>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</si>
  <si>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</si>
  <si>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</si>
  <si>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</si>
  <si>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</si>
  <si>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</si>
  <si>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</si>
  <si>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</si>
  <si>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</si>
  <si>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</si>
  <si>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</si>
  <si>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</si>
  <si>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</si>
  <si>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</si>
  <si>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</si>
  <si>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</si>
  <si>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</si>
  <si>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</si>
  <si>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</si>
  <si>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</si>
  <si>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</si>
  <si>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</si>
  <si>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</si>
  <si>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</si>
  <si>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</si>
  <si>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</si>
  <si>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</si>
  <si>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</si>
  <si>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</si>
  <si>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</si>
  <si>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</si>
  <si>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</si>
  <si>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</si>
  <si>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</si>
  <si>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</si>
  <si>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</si>
  <si>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</si>
  <si>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</si>
  <si>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</si>
  <si>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</si>
  <si>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</si>
  <si>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</si>
  <si>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</si>
  <si>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</si>
  <si>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</si>
  <si>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</si>
  <si>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</si>
  <si>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</si>
  <si>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</si>
  <si>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</si>
  <si>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</si>
  <si>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</si>
  <si>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</si>
  <si>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</si>
  <si>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</si>
  <si>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</si>
  <si>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</si>
  <si>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</si>
  <si>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</si>
  <si>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</si>
  <si>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</si>
  <si>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</si>
  <si>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</si>
  <si>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</si>
  <si>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</si>
  <si>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</si>
  <si>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</si>
  <si>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</si>
  <si>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</si>
  <si>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</si>
  <si>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</si>
  <si>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</si>
  <si>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</si>
  <si>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</si>
  <si>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</si>
  <si>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</si>
  <si>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</si>
  <si>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</si>
  <si>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</si>
  <si>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</si>
  <si>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</si>
  <si>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</si>
  <si>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</si>
  <si>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</si>
  <si>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</si>
  <si>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</si>
  <si>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</si>
  <si>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</si>
  <si>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</si>
  <si>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</si>
  <si>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</si>
  <si>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</si>
  <si>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</si>
  <si>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</si>
  <si>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</si>
  <si>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</si>
  <si>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</si>
  <si>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</si>
  <si>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</si>
  <si>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</si>
  <si>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</si>
  <si>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</si>
  <si>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</si>
  <si>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</si>
  <si>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</si>
  <si>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</si>
  <si>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</si>
  <si>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</si>
  <si>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</si>
  <si>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</si>
  <si>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</si>
  <si>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</si>
  <si>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</si>
  <si>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</si>
  <si>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</si>
  <si>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</si>
  <si>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</si>
  <si>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</si>
  <si>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</si>
  <si>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</si>
  <si>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</si>
  <si>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</si>
  <si>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</si>
  <si>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</si>
  <si>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</si>
  <si>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</si>
  <si>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</si>
  <si>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</si>
  <si>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</si>
  <si>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</si>
  <si>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</si>
  <si>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</si>
  <si>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</si>
  <si>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</si>
  <si>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</si>
  <si>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</si>
  <si>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</si>
  <si>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</si>
  <si>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</si>
  <si>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</si>
  <si>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</si>
  <si>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</si>
  <si>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</si>
  <si>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</si>
  <si>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</si>
  <si>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</si>
  <si>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</si>
  <si>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</si>
  <si>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</si>
  <si>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</si>
  <si>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</si>
  <si>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</si>
  <si>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</si>
  <si>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</si>
  <si>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</si>
  <si>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</si>
  <si>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</si>
  <si>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</si>
  <si>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</si>
  <si>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</si>
  <si>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</si>
  <si>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</si>
  <si>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</si>
  <si>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</si>
  <si>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</si>
  <si>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</si>
  <si>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</si>
  <si>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</si>
  <si>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</si>
  <si>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</si>
  <si>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</si>
  <si>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</si>
  <si>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</si>
  <si>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</si>
  <si>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</si>
  <si>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</si>
  <si>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</si>
  <si>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</si>
  <si>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</si>
  <si>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</si>
  <si>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</si>
  <si>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</si>
  <si>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</si>
  <si>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</si>
  <si>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</si>
  <si>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</si>
  <si>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</si>
  <si>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</si>
  <si>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</si>
  <si>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</si>
  <si>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</si>
  <si>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</si>
  <si>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</si>
  <si>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</si>
  <si>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</si>
  <si>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</si>
  <si>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</si>
  <si>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</si>
  <si>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</si>
  <si>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</si>
  <si>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</si>
  <si>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</si>
  <si>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</si>
  <si>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</si>
  <si>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</si>
  <si>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</si>
  <si>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</si>
  <si>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</si>
  <si>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</si>
  <si>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</si>
  <si>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</si>
  <si>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</si>
  <si>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</si>
  <si>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</si>
  <si>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</si>
  <si>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</si>
  <si>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</si>
  <si>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</si>
  <si>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</si>
  <si>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</si>
  <si>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</si>
  <si>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</si>
  <si>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</si>
  <si>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</si>
  <si>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</si>
  <si>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</si>
  <si>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</si>
  <si>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</si>
  <si>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</si>
  <si>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</si>
  <si>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</si>
  <si>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</si>
  <si>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</si>
  <si>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</si>
  <si>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</si>
  <si>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</si>
  <si>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</si>
  <si>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</si>
  <si>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</si>
  <si>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</si>
  <si>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</si>
  <si>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</si>
  <si>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</si>
  <si>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</si>
  <si>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</si>
  <si>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</si>
  <si>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</si>
  <si>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</si>
  <si>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</si>
  <si>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</si>
  <si>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</si>
  <si>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</si>
  <si>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</si>
  <si>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</si>
  <si>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</si>
  <si>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</si>
  <si>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</si>
  <si>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</si>
  <si>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</si>
  <si>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</si>
  <si>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</si>
  <si>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</si>
  <si>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</si>
  <si>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</si>
  <si>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</si>
  <si>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</si>
  <si>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</si>
  <si>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</si>
  <si>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</si>
  <si>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</si>
  <si>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</si>
  <si>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</si>
  <si>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</si>
  <si>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</si>
  <si>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</si>
  <si>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</si>
  <si>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</si>
  <si>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</si>
  <si>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</si>
  <si>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</si>
  <si>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</si>
  <si>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</si>
  <si>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</si>
  <si>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</si>
  <si>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</si>
  <si>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</si>
  <si>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</si>
  <si>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</si>
  <si>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</si>
  <si>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</si>
  <si>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</si>
  <si>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</si>
  <si>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</si>
  <si>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</si>
  <si>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</si>
  <si>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</si>
  <si>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</si>
  <si>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</si>
  <si>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</si>
  <si>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</si>
  <si>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</si>
  <si>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</si>
  <si>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</si>
  <si>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</si>
  <si>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</si>
  <si>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</si>
  <si>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</si>
  <si>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</si>
  <si>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</si>
  <si>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</si>
  <si>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</si>
  <si>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</si>
  <si>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</si>
  <si>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</si>
  <si>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</si>
  <si>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</si>
  <si>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</si>
  <si>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</si>
  <si>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</si>
  <si>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</si>
  <si>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</si>
  <si>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</si>
  <si>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</si>
  <si>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</si>
  <si>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</si>
  <si>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</si>
  <si>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</si>
  <si>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</si>
  <si>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</si>
  <si>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</si>
  <si>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</si>
  <si>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</si>
  <si>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</si>
  <si>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</si>
  <si>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</si>
  <si>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</si>
  <si>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</si>
  <si>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</si>
  <si>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</si>
  <si>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</si>
  <si>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</si>
  <si>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</si>
  <si>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</si>
  <si>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</si>
  <si>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</si>
  <si>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</si>
  <si>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</si>
  <si>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</si>
  <si>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</si>
  <si>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</si>
  <si>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</si>
  <si>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</si>
  <si>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</si>
  <si>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</si>
  <si>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</si>
  <si>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</si>
  <si>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</si>
  <si>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</si>
  <si>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</si>
  <si>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</si>
  <si>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</si>
  <si>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</si>
  <si>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</si>
  <si>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</si>
  <si>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</si>
  <si>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</si>
  <si>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</si>
  <si>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</si>
  <si>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</si>
  <si>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</si>
  <si>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</si>
  <si>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</si>
  <si>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</si>
  <si>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</si>
  <si>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</si>
  <si>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</si>
  <si>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</si>
  <si>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</si>
  <si>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</si>
  <si>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</si>
  <si>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</si>
  <si>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</si>
  <si>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</si>
  <si>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</si>
  <si>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</si>
  <si>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</si>
  <si>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</si>
  <si>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</si>
  <si>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</si>
  <si>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</si>
  <si>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</si>
  <si>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</si>
  <si>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</si>
  <si>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</si>
  <si>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</si>
  <si>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</si>
  <si>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</si>
  <si>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</si>
  <si>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</si>
  <si>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</si>
  <si>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</si>
  <si>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</si>
  <si>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</si>
  <si>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</si>
  <si>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</si>
  <si>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</si>
  <si>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</si>
  <si>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</si>
  <si>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</si>
  <si>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</si>
  <si>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</si>
  <si>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</si>
  <si>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</si>
  <si>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</si>
  <si>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</si>
  <si>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</si>
  <si>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</si>
  <si>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</si>
  <si>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</si>
  <si>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</si>
  <si>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</si>
  <si>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</si>
  <si>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</si>
  <si>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</si>
  <si>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</si>
  <si>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</si>
  <si>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</si>
  <si>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</si>
  <si>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</si>
  <si>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</si>
  <si>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</si>
  <si>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</si>
  <si>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</si>
  <si>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</si>
  <si>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</si>
  <si>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</si>
  <si>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</si>
  <si>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</si>
  <si>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</si>
  <si>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</si>
  <si>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</si>
  <si>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</si>
  <si>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</si>
  <si>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</si>
  <si>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</si>
  <si>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</si>
  <si>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</si>
  <si>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</si>
  <si>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</si>
  <si>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</si>
  <si>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</si>
  <si>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</si>
  <si>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</si>
  <si>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</si>
  <si>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</si>
  <si>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</si>
  <si>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</si>
  <si>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</si>
  <si>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</si>
  <si>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</si>
  <si>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</si>
  <si>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</si>
  <si>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</si>
  <si>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</si>
  <si>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</si>
  <si>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</si>
  <si>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</si>
  <si>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</si>
  <si>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</si>
  <si>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</si>
  <si>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</si>
  <si>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</si>
  <si>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</si>
  <si>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</si>
  <si>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</si>
  <si>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</si>
  <si>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</si>
  <si>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</si>
  <si>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</si>
  <si>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</si>
  <si>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</si>
  <si>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</si>
  <si>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</si>
  <si>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</si>
  <si>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</si>
  <si>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</si>
  <si>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</si>
  <si>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</si>
  <si>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</si>
  <si>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</si>
  <si>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</si>
  <si>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</si>
  <si>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</si>
  <si>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</si>
  <si>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</si>
  <si>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</si>
  <si>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</si>
  <si>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</si>
  <si>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</si>
  <si>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</si>
  <si>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</si>
  <si>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</si>
  <si>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</si>
  <si>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</si>
  <si>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</si>
  <si>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</si>
  <si>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</si>
  <si>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</si>
  <si>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</si>
  <si>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</si>
  <si>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</si>
  <si>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</si>
  <si>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</si>
  <si>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</si>
  <si>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</si>
  <si>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</si>
  <si>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</si>
  <si>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</si>
  <si>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</si>
  <si>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</si>
  <si>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</si>
  <si>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</si>
  <si>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</si>
  <si>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</si>
  <si>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</si>
  <si>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</si>
  <si>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</si>
  <si>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</si>
  <si>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</si>
  <si>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</si>
  <si>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</si>
  <si>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</si>
  <si>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</si>
  <si>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</si>
  <si>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</si>
  <si>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</si>
  <si>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</si>
  <si>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</si>
  <si>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</si>
  <si>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</si>
  <si>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</si>
  <si>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</si>
  <si>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</si>
  <si>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</si>
  <si>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</si>
  <si>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</si>
  <si>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</si>
  <si>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</si>
  <si>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</si>
  <si>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</si>
  <si>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</si>
  <si>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</si>
  <si>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</si>
  <si>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</si>
  <si>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</si>
  <si>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</si>
  <si>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</si>
  <si>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</si>
  <si>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</si>
  <si>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</si>
  <si>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</si>
  <si>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</si>
  <si>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</si>
  <si>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</si>
  <si>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</si>
  <si>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</si>
  <si>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</si>
  <si>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</si>
  <si>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</si>
  <si>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</si>
  <si>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</si>
  <si>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</si>
  <si>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</si>
  <si>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</si>
  <si>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</si>
  <si>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</si>
  <si>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</si>
  <si>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</si>
  <si>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</si>
  <si>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</si>
  <si>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</si>
  <si>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</si>
  <si>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</si>
  <si>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</si>
  <si>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</si>
  <si>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</si>
  <si>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</si>
  <si>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</si>
  <si>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</si>
  <si>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</si>
  <si>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</si>
  <si>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</si>
  <si>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</si>
  <si>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</si>
  <si>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</si>
  <si>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</si>
  <si>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</si>
  <si>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</si>
  <si>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</si>
  <si>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</si>
  <si>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</si>
  <si>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</si>
  <si>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</si>
  <si>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</si>
  <si>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</si>
  <si>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</si>
  <si>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</si>
  <si>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</si>
  <si>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</si>
  <si>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</si>
  <si>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</si>
  <si>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</si>
  <si>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</si>
  <si>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</si>
  <si>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</si>
  <si>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</si>
  <si>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</si>
  <si>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</si>
  <si>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</si>
  <si>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</si>
  <si>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</si>
  <si>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</si>
  <si>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</si>
  <si>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</si>
  <si>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</si>
  <si>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</si>
  <si>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</si>
  <si>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</si>
  <si>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</si>
  <si>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</si>
  <si>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</si>
  <si>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</si>
  <si>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</si>
  <si>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</si>
  <si>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</si>
  <si>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</si>
  <si>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</si>
  <si>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</si>
  <si>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</si>
  <si>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</si>
  <si>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</si>
  <si>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</si>
  <si>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</si>
  <si>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</si>
  <si>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</si>
  <si>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</si>
  <si>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</si>
  <si>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</si>
  <si>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</si>
  <si>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</si>
  <si>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</si>
  <si>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</si>
  <si>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</si>
  <si>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</si>
  <si>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</si>
  <si>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</si>
  <si>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</si>
  <si>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</si>
  <si>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</si>
  <si>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</si>
  <si>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</si>
  <si>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</si>
  <si>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</si>
  <si>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</si>
  <si>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</si>
  <si>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</si>
  <si>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</si>
  <si>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</si>
  <si>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</si>
  <si>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</si>
  <si>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</si>
  <si>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</si>
  <si>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</si>
  <si>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</si>
  <si>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</si>
  <si>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</si>
  <si>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</si>
  <si>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</si>
  <si>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</si>
  <si>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</si>
  <si>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</si>
  <si>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</si>
  <si>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</si>
  <si>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</si>
  <si>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</si>
  <si>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</si>
  <si>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</si>
  <si>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</si>
  <si>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</si>
  <si>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</si>
  <si>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</si>
  <si>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</si>
  <si>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</si>
  <si>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</si>
  <si>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</si>
  <si>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</si>
  <si>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</si>
  <si>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</si>
  <si>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</si>
  <si>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</si>
  <si>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</si>
  <si>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</si>
  <si>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</si>
  <si>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</si>
  <si>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</si>
  <si>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</si>
  <si>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</si>
  <si>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</si>
  <si>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</si>
  <si>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</si>
  <si>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</si>
  <si>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</si>
  <si>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</si>
  <si>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</si>
  <si>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</si>
  <si>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</si>
  <si>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</si>
  <si>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</si>
  <si>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</si>
  <si>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</si>
  <si>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</si>
  <si>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</si>
  <si>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</si>
  <si>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</si>
  <si>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</si>
  <si>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</si>
  <si>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</si>
  <si>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</si>
  <si>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</si>
  <si>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</si>
  <si>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</si>
  <si>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</si>
  <si>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</si>
  <si>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</si>
  <si>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</si>
  <si>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</si>
  <si>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</si>
  <si>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</si>
  <si>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</si>
  <si>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</si>
  <si>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</si>
  <si>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</si>
  <si>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</si>
  <si>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</si>
  <si>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</si>
  <si>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</si>
  <si>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</si>
  <si>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</si>
  <si>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</si>
  <si>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</si>
  <si>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</si>
  <si>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</si>
  <si>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</si>
  <si>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</si>
  <si>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</si>
  <si>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</si>
  <si>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</si>
  <si>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</si>
  <si>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</si>
  <si>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</si>
  <si>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</si>
  <si>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</si>
  <si>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</si>
  <si>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</si>
  <si>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</si>
  <si>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</si>
  <si>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</si>
  <si>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</si>
  <si>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</si>
  <si>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</si>
  <si>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</si>
  <si>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</si>
  <si>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</si>
  <si>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</si>
  <si>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</si>
  <si>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</si>
  <si>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</si>
  <si>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</si>
  <si>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</si>
  <si>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</si>
  <si>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</si>
  <si>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</si>
  <si>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</si>
  <si>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</si>
  <si>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</si>
  <si>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</si>
  <si>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</si>
  <si>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</si>
  <si>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</si>
  <si>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</si>
  <si>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</si>
  <si>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</si>
  <si>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</si>
  <si>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</si>
  <si>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</si>
  <si>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</si>
  <si>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</si>
  <si>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</si>
  <si>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</si>
  <si>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</si>
  <si>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</si>
  <si>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</si>
  <si>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</si>
  <si>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</si>
  <si>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</si>
  <si>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</si>
  <si>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</si>
  <si>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</si>
  <si>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</si>
  <si>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</si>
  <si>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</si>
  <si>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</si>
  <si>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</si>
  <si>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</si>
  <si>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</si>
  <si>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</si>
  <si>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</si>
  <si>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</si>
  <si>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</si>
  <si>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</si>
  <si>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</si>
  <si>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</si>
  <si>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</si>
  <si>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</si>
  <si>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</si>
  <si>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</si>
  <si>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</si>
  <si>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</si>
  <si>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</si>
  <si>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</si>
  <si>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</si>
  <si>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</si>
  <si>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</si>
  <si>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</si>
  <si>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</si>
  <si>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</si>
  <si>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</si>
  <si>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</si>
  <si>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</si>
  <si>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</si>
  <si>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</si>
  <si>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</si>
  <si>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</si>
  <si>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</si>
  <si>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</si>
  <si>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</si>
  <si>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</si>
  <si>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</si>
  <si>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</si>
  <si>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</si>
  <si>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</si>
  <si>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</si>
  <si>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</si>
  <si>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</si>
  <si>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</si>
  <si>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</si>
  <si>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</si>
  <si>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</si>
  <si>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</si>
  <si>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</si>
  <si>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</si>
  <si>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</si>
  <si>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</si>
  <si>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</si>
  <si>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</si>
  <si>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</si>
  <si>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</si>
  <si>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</si>
  <si>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</si>
  <si>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</si>
  <si>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</si>
  <si>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</si>
  <si>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</si>
  <si>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</si>
  <si>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</si>
  <si>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</si>
  <si>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</si>
  <si>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</si>
  <si>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</si>
  <si>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</si>
  <si>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</si>
  <si>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</si>
  <si>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</si>
  <si>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</si>
  <si>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</si>
  <si>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</si>
  <si>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</si>
  <si>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</si>
  <si>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</si>
  <si>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</si>
  <si>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</si>
  <si>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</si>
  <si>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</si>
  <si>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</si>
  <si>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</si>
  <si>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</si>
  <si>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</si>
  <si>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</si>
  <si>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</si>
  <si>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</si>
  <si>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</si>
  <si>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</si>
  <si>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</si>
  <si>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</si>
  <si>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</si>
  <si>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</si>
  <si>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</si>
  <si>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</si>
  <si>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</si>
  <si>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</si>
  <si>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</si>
  <si>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</si>
  <si>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</si>
  <si>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</si>
  <si>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</si>
  <si>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</si>
  <si>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</si>
  <si>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</si>
  <si>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</si>
  <si>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</si>
  <si>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</si>
  <si>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</si>
  <si>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</si>
  <si>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</si>
  <si>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</si>
  <si>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</si>
  <si>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</si>
  <si>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</si>
  <si>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</si>
  <si>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</si>
  <si>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</si>
  <si>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</si>
  <si>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</si>
  <si>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</si>
  <si>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</si>
  <si>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</si>
  <si>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</si>
  <si>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</si>
  <si>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</si>
  <si>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</si>
  <si>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</si>
  <si>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</si>
  <si>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</si>
  <si>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</si>
  <si>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</si>
  <si>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</si>
  <si>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</si>
  <si>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</si>
  <si>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</si>
  <si>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</si>
  <si>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</si>
  <si>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</si>
  <si>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</si>
  <si>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</si>
  <si>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</si>
  <si>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</si>
  <si>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</si>
  <si>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</si>
  <si>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</si>
  <si>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</si>
  <si>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</si>
  <si>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</si>
  <si>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</si>
  <si>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</si>
  <si>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</si>
  <si>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</si>
  <si>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</si>
  <si>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</si>
  <si>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</si>
  <si>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</si>
  <si>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</si>
  <si>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</si>
  <si>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</si>
  <si>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</si>
  <si>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</si>
  <si>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</si>
  <si>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</si>
  <si>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</si>
  <si>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</si>
  <si>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</si>
  <si>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</si>
  <si>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</si>
  <si>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</si>
  <si>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</si>
  <si>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</si>
  <si>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</si>
  <si>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</si>
  <si>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</si>
  <si>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</si>
  <si>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</si>
  <si>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</si>
  <si>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</si>
  <si>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</si>
  <si>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</si>
  <si>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</si>
  <si>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</si>
  <si>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</si>
  <si>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</si>
  <si>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</si>
  <si>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</si>
  <si>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</si>
  <si>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</si>
  <si>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</si>
  <si>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</si>
  <si>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</si>
  <si>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</si>
  <si>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</si>
  <si>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</si>
  <si>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</si>
  <si>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</si>
  <si>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</si>
  <si>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</si>
  <si>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</si>
  <si>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</si>
  <si>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</si>
  <si>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</si>
  <si>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</si>
  <si>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</si>
  <si>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</si>
  <si>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</si>
  <si>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</si>
  <si>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</si>
  <si>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</si>
  <si>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</si>
  <si>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</si>
  <si>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</si>
  <si>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</si>
  <si>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</si>
  <si>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</si>
  <si>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</si>
  <si>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</si>
  <si>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</si>
  <si>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</si>
  <si>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</si>
  <si>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</si>
  <si>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</si>
  <si>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</si>
  <si>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</si>
  <si>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</si>
  <si>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</si>
  <si>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</si>
  <si>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</si>
  <si>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</si>
  <si>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</si>
  <si>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</si>
  <si>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</si>
  <si>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</si>
  <si>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</si>
  <si>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</si>
  <si>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</si>
  <si>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</si>
  <si>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</si>
  <si>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</si>
  <si>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</si>
  <si>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</si>
  <si>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</si>
  <si>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</si>
  <si>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</si>
  <si>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</si>
  <si>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</si>
  <si>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</si>
  <si>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</si>
  <si>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</si>
  <si>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</si>
  <si>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</si>
  <si>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</si>
  <si>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</si>
  <si>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</si>
  <si>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</si>
  <si>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</si>
  <si>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</si>
  <si>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</si>
  <si>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</si>
  <si>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</si>
  <si>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</si>
  <si>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</si>
  <si>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</si>
  <si>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</si>
  <si>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</si>
  <si>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</si>
  <si>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</si>
  <si>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</si>
  <si>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</si>
  <si>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</si>
  <si>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</si>
  <si>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</si>
  <si>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</si>
  <si>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</si>
  <si>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</si>
  <si>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</si>
  <si>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</si>
  <si>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</si>
  <si>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</si>
  <si>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</si>
  <si>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</si>
  <si>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</si>
  <si>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</si>
  <si>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</si>
  <si>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</si>
  <si>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</si>
  <si>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</si>
  <si>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</si>
  <si>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</si>
  <si>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</si>
  <si>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</si>
  <si>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</si>
  <si>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</si>
  <si>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</si>
  <si>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</si>
  <si>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</si>
  <si>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</si>
  <si>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</si>
  <si>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</si>
  <si>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</si>
  <si>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</si>
  <si>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</si>
  <si>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</si>
  <si>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</si>
  <si>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</si>
  <si>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</si>
  <si>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</si>
  <si>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</si>
  <si>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</si>
  <si>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</si>
  <si>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</si>
  <si>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</si>
  <si>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</si>
  <si>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</si>
  <si>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</si>
  <si>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</si>
  <si>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</si>
  <si>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</si>
  <si>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</si>
  <si>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</si>
  <si>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</si>
  <si>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</si>
  <si>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</si>
  <si>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</si>
  <si>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</si>
  <si>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</si>
  <si>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</si>
  <si>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</si>
  <si>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</si>
  <si>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</si>
  <si>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</si>
  <si>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</si>
  <si>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</si>
  <si>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</si>
  <si>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</si>
  <si>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</si>
  <si>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</si>
  <si>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</si>
  <si>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</si>
  <si>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</si>
  <si>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</si>
  <si>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</si>
  <si>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</si>
  <si>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</si>
  <si>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</si>
  <si>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</si>
  <si>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</si>
  <si>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</si>
  <si>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</si>
  <si>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</si>
  <si>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</si>
  <si>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</si>
  <si>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</si>
  <si>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</si>
  <si>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</si>
  <si>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</si>
  <si>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</si>
  <si>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</si>
  <si>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</si>
  <si>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</si>
  <si>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</si>
  <si>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</si>
  <si>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</si>
  <si>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</si>
  <si>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</si>
  <si>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</si>
  <si>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</si>
  <si>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</si>
  <si>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</si>
  <si>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</si>
  <si>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</si>
  <si>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</si>
  <si>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</si>
  <si>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</si>
  <si>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</si>
  <si>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</si>
  <si>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</si>
  <si>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</si>
  <si>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</si>
  <si>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</si>
  <si>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</si>
  <si>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</si>
  <si>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</si>
  <si>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</si>
  <si>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</si>
  <si>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</si>
  <si>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</si>
  <si>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</si>
  <si>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</si>
  <si>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</si>
  <si>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</si>
  <si>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</si>
  <si>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</si>
  <si>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</si>
  <si>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</si>
  <si>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</si>
  <si>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</si>
  <si>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</si>
  <si>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</si>
  <si>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</si>
  <si>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</si>
  <si>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</si>
  <si>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</si>
  <si>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</si>
  <si>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</si>
  <si>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</si>
  <si>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</si>
  <si>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</si>
  <si>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</si>
  <si>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</si>
  <si>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</si>
  <si>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</si>
  <si>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</si>
  <si>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</si>
  <si>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</si>
  <si>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</si>
  <si>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</si>
  <si>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</si>
  <si>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</si>
  <si>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</si>
  <si>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</si>
  <si>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</si>
  <si>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</si>
  <si>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</si>
  <si>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</si>
  <si>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</si>
  <si>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</si>
  <si>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</si>
  <si>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</si>
  <si>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</si>
  <si>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</si>
  <si>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</si>
  <si>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</si>
  <si>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</si>
  <si>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</si>
  <si>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</si>
  <si>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</si>
  <si>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</si>
  <si>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</si>
  <si>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</si>
  <si>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</si>
  <si>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</si>
  <si>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</si>
  <si>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</si>
  <si>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</si>
  <si>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</si>
  <si>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</si>
  <si>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</si>
  <si>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</si>
  <si>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</si>
  <si>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</si>
  <si>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</si>
  <si>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</si>
  <si>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</si>
  <si>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</si>
  <si>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</si>
  <si>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</si>
  <si>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</si>
  <si>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</si>
  <si>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</si>
  <si>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</si>
  <si>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</si>
  <si>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</si>
  <si>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</si>
  <si>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</si>
  <si>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</si>
  <si>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</si>
  <si>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</si>
  <si>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</si>
  <si>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</si>
  <si>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</si>
  <si>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</si>
  <si>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</si>
  <si>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</si>
  <si>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</si>
  <si>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</si>
  <si>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</si>
  <si>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</si>
  <si>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</si>
  <si>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</si>
  <si>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</si>
  <si>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</si>
  <si>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</si>
  <si>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</si>
  <si>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</si>
  <si>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</si>
  <si>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</si>
  <si>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</si>
  <si>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</si>
  <si>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</si>
  <si>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</si>
  <si>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</si>
  <si>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</si>
  <si>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</si>
  <si>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</si>
  <si>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</si>
  <si>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</si>
  <si>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</si>
  <si>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</si>
  <si>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</si>
  <si>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</si>
  <si>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</si>
  <si>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</si>
  <si>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</si>
  <si>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</si>
  <si>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</si>
  <si>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</si>
  <si>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</si>
  <si>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</si>
  <si>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</si>
  <si>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</si>
  <si>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</si>
  <si>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</si>
  <si>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</si>
  <si>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</si>
  <si>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</si>
  <si>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</si>
  <si>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</si>
  <si>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</si>
  <si>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</si>
  <si>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</si>
  <si>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</si>
  <si>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</si>
  <si>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</si>
  <si>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</si>
  <si>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</si>
  <si>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</si>
  <si>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</si>
  <si>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</si>
  <si>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</si>
  <si>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</si>
  <si>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</si>
  <si>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</si>
  <si>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</si>
  <si>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</si>
  <si>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</si>
  <si>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</si>
  <si>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</si>
  <si>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</si>
  <si>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</si>
  <si>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</si>
  <si>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</si>
  <si>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</si>
  <si>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</si>
  <si>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</si>
  <si>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</si>
  <si>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</si>
  <si>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</si>
  <si>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</si>
  <si>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</si>
  <si>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</si>
  <si>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</si>
  <si>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</si>
  <si>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</si>
  <si>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</si>
  <si>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</si>
  <si>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</si>
  <si>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</si>
  <si>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</si>
  <si>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</si>
  <si>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</si>
  <si>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</si>
  <si>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</si>
  <si>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</si>
  <si>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</si>
  <si>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</si>
  <si>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</si>
  <si>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</si>
  <si>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</si>
  <si>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</si>
  <si>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</si>
  <si>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</si>
  <si>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</si>
  <si>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</si>
  <si>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</si>
  <si>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</si>
  <si>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</si>
  <si>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</si>
  <si>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</si>
  <si>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</si>
  <si>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</si>
  <si>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</si>
  <si>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</si>
  <si>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</si>
  <si>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</si>
  <si>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</si>
  <si>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</si>
  <si>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</si>
  <si>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</si>
  <si>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</si>
  <si>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</si>
  <si>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</si>
  <si>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</si>
  <si>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</si>
  <si>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</si>
  <si>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</si>
  <si>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</si>
  <si>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</si>
  <si>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</si>
  <si>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</si>
  <si>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</si>
  <si>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</si>
  <si>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</si>
  <si>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</si>
  <si>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</si>
  <si>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</si>
  <si>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</si>
  <si>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</si>
  <si>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</si>
  <si>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</si>
  <si>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</si>
  <si>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</si>
  <si>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</si>
  <si>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</si>
  <si>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</si>
  <si>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</si>
  <si>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</si>
  <si>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</si>
  <si>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</si>
  <si>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</si>
  <si>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</si>
  <si>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</si>
  <si>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</si>
  <si>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</si>
  <si>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</si>
  <si>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</si>
  <si>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</si>
  <si>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</si>
  <si>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</si>
  <si>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</si>
  <si>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</si>
  <si>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</si>
  <si>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</si>
  <si>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</si>
  <si>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</si>
  <si>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</si>
  <si>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</si>
  <si>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</si>
  <si>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</si>
  <si>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</si>
  <si>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</si>
  <si>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</si>
  <si>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</si>
  <si>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</si>
  <si>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</si>
  <si>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</si>
  <si>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</si>
  <si>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</si>
  <si>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</si>
  <si>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</si>
  <si>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</si>
  <si>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</si>
  <si>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</si>
  <si>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</si>
  <si>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</si>
  <si>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</si>
  <si>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</si>
  <si>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</si>
  <si>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</si>
  <si>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</si>
  <si>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</si>
  <si>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</si>
  <si>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</si>
  <si>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</si>
  <si>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</si>
  <si>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</si>
  <si>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</si>
  <si>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</si>
  <si>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</si>
  <si>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</si>
  <si>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</si>
  <si>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</si>
  <si>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</si>
  <si>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</si>
  <si>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</si>
  <si>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</si>
  <si>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</si>
  <si>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</si>
  <si>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</si>
  <si>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</si>
  <si>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</si>
  <si>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</si>
  <si>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</si>
  <si>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</si>
  <si>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</si>
  <si>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</si>
  <si>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</si>
  <si>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</si>
  <si>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</si>
  <si>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</si>
  <si>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</si>
  <si>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</si>
  <si>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</si>
  <si>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</si>
  <si>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</si>
  <si>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</si>
  <si>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</si>
  <si>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</si>
  <si>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</si>
  <si>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</si>
  <si>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</si>
  <si>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</si>
  <si>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</si>
  <si>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</si>
  <si>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</si>
  <si>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</si>
  <si>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</si>
  <si>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</si>
  <si>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</si>
  <si>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</si>
  <si>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</si>
  <si>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</si>
  <si>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</si>
  <si>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</si>
  <si>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</si>
  <si>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</si>
  <si>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</si>
  <si>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</si>
  <si>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</si>
  <si>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</si>
  <si>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</si>
  <si>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</si>
  <si>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</si>
  <si>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</si>
  <si>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</si>
  <si>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</si>
  <si>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</si>
  <si>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</si>
  <si>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</si>
  <si>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</si>
  <si>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</si>
  <si>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</si>
  <si>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</si>
  <si>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</si>
  <si>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</si>
  <si>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</si>
  <si>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</si>
  <si>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</si>
  <si>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</si>
  <si>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</si>
  <si>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</si>
  <si>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</si>
  <si>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</si>
  <si>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</si>
  <si>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</si>
  <si>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</si>
  <si>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</si>
  <si>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</si>
  <si>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</si>
  <si>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</si>
  <si>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</si>
  <si>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</si>
  <si>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</si>
  <si>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</si>
  <si>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</si>
  <si>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</si>
  <si>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</si>
  <si>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</si>
  <si>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</si>
  <si>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</si>
  <si>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</si>
  <si>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</si>
  <si>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</si>
  <si>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</si>
  <si>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</si>
  <si>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</si>
  <si>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</si>
  <si>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</si>
  <si>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</si>
  <si>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</si>
  <si>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</si>
  <si>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</si>
  <si>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</si>
  <si>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</si>
  <si>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</si>
  <si>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</si>
  <si>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</si>
  <si>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</si>
  <si>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</si>
  <si>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</si>
  <si>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</si>
  <si>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</si>
  <si>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</si>
  <si>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</si>
  <si>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</si>
  <si>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</si>
  <si>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</si>
  <si>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</si>
  <si>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</si>
  <si>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</si>
  <si>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</si>
  <si>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</si>
  <si>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</si>
  <si>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</si>
  <si>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</si>
  <si>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</si>
  <si>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</si>
  <si>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</si>
  <si>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</si>
  <si>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</si>
  <si>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</si>
  <si>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</si>
  <si>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</si>
  <si>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</si>
  <si>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</si>
  <si>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</si>
  <si>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</si>
  <si>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</si>
  <si>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</si>
  <si>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</si>
  <si>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</si>
  <si>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</si>
  <si>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</si>
  <si>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</si>
  <si>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</si>
  <si>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</si>
  <si>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</si>
  <si>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</si>
  <si>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</si>
  <si>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</si>
  <si>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</si>
  <si>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</si>
  <si>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</si>
  <si>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</si>
  <si>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</si>
  <si>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</si>
  <si>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</si>
  <si>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</si>
  <si>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</si>
  <si>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</si>
  <si>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</si>
  <si>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</si>
  <si>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</si>
  <si>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</si>
  <si>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</si>
  <si>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</si>
  <si>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</si>
  <si>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</si>
  <si>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</si>
  <si>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</si>
  <si>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</si>
  <si>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</si>
  <si>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</si>
  <si>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</si>
  <si>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</si>
  <si>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</si>
  <si>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</si>
  <si>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</si>
  <si>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</si>
  <si>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</si>
  <si>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</si>
  <si>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</si>
  <si>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</si>
  <si>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</si>
  <si>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</si>
  <si>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</si>
  <si>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</si>
  <si>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</si>
  <si>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</si>
  <si>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</si>
  <si>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</si>
  <si>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</si>
  <si>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</si>
  <si>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</si>
  <si>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</si>
  <si>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</si>
  <si>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</si>
  <si>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</si>
  <si>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</si>
  <si>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</si>
  <si>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</si>
  <si>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</si>
  <si>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</si>
  <si>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</si>
  <si>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</si>
  <si>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</si>
  <si>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</si>
  <si>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</si>
  <si>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</si>
  <si>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</si>
  <si>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</si>
  <si>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</si>
  <si>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</si>
  <si>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</si>
  <si>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</si>
  <si>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</si>
  <si>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</si>
  <si>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</si>
  <si>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</si>
  <si>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</si>
  <si>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</si>
  <si>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</si>
  <si>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</si>
  <si>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</si>
  <si>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</si>
  <si>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</si>
  <si>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</si>
  <si>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</si>
  <si>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</si>
  <si>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</si>
  <si>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</si>
  <si>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</si>
  <si>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</si>
  <si>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</si>
  <si>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</si>
  <si>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</si>
  <si>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</si>
  <si>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</si>
  <si>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</si>
  <si>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</si>
  <si>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</si>
  <si>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</si>
  <si>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</si>
  <si>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</si>
  <si>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</si>
  <si>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</si>
  <si>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</si>
  <si>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</si>
  <si>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</si>
  <si>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</si>
  <si>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</si>
  <si>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</si>
  <si>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</si>
  <si>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</si>
  <si>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</si>
  <si>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</si>
  <si>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</si>
  <si>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</si>
  <si>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</si>
  <si>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</si>
  <si>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</si>
  <si>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</si>
  <si>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</si>
  <si>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</si>
  <si>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</si>
  <si>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</si>
  <si>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</si>
  <si>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</si>
  <si>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</si>
  <si>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</si>
  <si>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</si>
  <si>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</si>
  <si>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</si>
  <si>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</si>
  <si>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</si>
  <si>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</si>
  <si>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</si>
  <si>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</si>
  <si>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</si>
  <si>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</si>
  <si>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</si>
  <si>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</si>
  <si>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</si>
  <si>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</si>
  <si>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</si>
  <si>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</si>
  <si>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</si>
  <si>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</si>
  <si>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</si>
  <si>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</si>
  <si>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</si>
  <si>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</si>
  <si>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</si>
  <si>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</si>
  <si>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</si>
  <si>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</si>
  <si>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</si>
  <si>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</si>
  <si>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</si>
  <si>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</si>
  <si>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</si>
  <si>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</si>
  <si>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</si>
  <si>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</si>
  <si>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</si>
  <si>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</si>
  <si>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</si>
  <si>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</si>
  <si>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</si>
  <si>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</si>
  <si>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</si>
  <si>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</si>
  <si>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</si>
  <si>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</si>
  <si>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</si>
  <si>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</si>
  <si>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</si>
  <si>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</si>
  <si>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</si>
  <si>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</si>
  <si>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</si>
  <si>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</si>
  <si>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</si>
  <si>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</si>
  <si>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</si>
  <si>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</si>
  <si>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</si>
  <si>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</si>
  <si>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</si>
  <si>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</si>
  <si>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</si>
  <si>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</si>
  <si>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</si>
  <si>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</si>
  <si>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</si>
  <si>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</si>
  <si>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</si>
  <si>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</si>
  <si>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</si>
  <si>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</si>
  <si>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</si>
  <si>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</si>
  <si>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</si>
  <si>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</si>
  <si>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</si>
  <si>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</si>
  <si>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</si>
  <si>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</si>
  <si>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</si>
  <si>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</si>
  <si>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</si>
  <si>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</si>
  <si>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</si>
  <si>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</si>
  <si>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</si>
  <si>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</si>
  <si>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</si>
  <si>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</si>
  <si>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</si>
  <si>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</si>
  <si>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</si>
  <si>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</si>
  <si>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</si>
  <si>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</si>
  <si>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</si>
  <si>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</si>
  <si>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</si>
  <si>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</si>
  <si>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</si>
  <si>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</si>
  <si>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</si>
  <si>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</si>
  <si>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</si>
  <si>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</si>
  <si>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</si>
  <si>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</si>
  <si>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</si>
  <si>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</si>
  <si>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</si>
  <si>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</si>
  <si>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</si>
  <si>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</si>
  <si>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</si>
  <si>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</si>
  <si>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</si>
  <si>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</si>
  <si>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</si>
  <si>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</si>
  <si>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</si>
  <si>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</si>
  <si>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</si>
  <si>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</si>
  <si>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</si>
  <si>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</si>
  <si>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</si>
  <si>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</si>
  <si>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</si>
  <si>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</si>
  <si>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</si>
  <si>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</si>
  <si>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</si>
  <si>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</si>
  <si>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</si>
  <si>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</si>
  <si>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</si>
  <si>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</si>
  <si>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</si>
  <si>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</si>
  <si>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</si>
  <si>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</si>
  <si>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</si>
  <si>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</si>
  <si>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</si>
  <si>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</si>
  <si>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</si>
  <si>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</si>
  <si>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</si>
  <si>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</si>
  <si>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</si>
  <si>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</si>
  <si>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</si>
  <si>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</si>
  <si>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</si>
  <si>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</si>
  <si>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</si>
  <si>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</si>
  <si>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</si>
  <si>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</si>
  <si>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</si>
  <si>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</si>
  <si>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</si>
  <si>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</si>
  <si>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</si>
  <si>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</si>
  <si>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</si>
  <si>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</si>
  <si>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</si>
  <si>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</si>
  <si>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</si>
  <si>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</si>
  <si>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</si>
  <si>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</si>
  <si>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</si>
  <si>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</si>
  <si>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</si>
  <si>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</si>
  <si>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</si>
  <si>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</si>
  <si>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</si>
  <si>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</si>
  <si>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</si>
  <si>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</si>
  <si>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</si>
  <si>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</si>
  <si>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</si>
  <si>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</si>
  <si>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</si>
  <si>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</si>
  <si>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</si>
  <si>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</si>
  <si>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</si>
  <si>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</si>
  <si>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</si>
  <si>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</si>
  <si>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</si>
  <si>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</si>
  <si>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</si>
  <si>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</si>
  <si>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</si>
  <si>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</si>
  <si>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</si>
  <si>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</si>
  <si>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</si>
  <si>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</si>
  <si>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</si>
  <si>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</si>
  <si>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</si>
  <si>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</si>
  <si>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</si>
  <si>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</si>
  <si>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</si>
  <si>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</si>
  <si>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</si>
  <si>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</si>
  <si>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</si>
  <si>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</si>
  <si>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</si>
  <si>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</si>
  <si>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</si>
  <si>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</si>
  <si>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</si>
  <si>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</si>
  <si>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</si>
  <si>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</si>
  <si>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</si>
  <si>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</si>
  <si>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</si>
  <si>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</si>
  <si>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</si>
  <si>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</si>
  <si>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</si>
  <si>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</si>
  <si>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</si>
  <si>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</si>
  <si>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</si>
  <si>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</si>
  <si>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</si>
  <si>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</si>
  <si>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</si>
  <si>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</si>
  <si>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</si>
  <si>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</si>
  <si>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</si>
  <si>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</si>
  <si>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</si>
  <si>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</si>
  <si>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</si>
  <si>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</si>
  <si>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</si>
  <si>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</si>
  <si>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</si>
  <si>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</si>
  <si>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</si>
  <si>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</si>
  <si>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20-093-3480-26</t>
  </si>
  <si>
    <t>Watler Accounting, CPA, PC</t>
  </si>
  <si>
    <t>Wabash</t>
  </si>
  <si>
    <t>Janet L. Storey, CPA</t>
  </si>
  <si>
    <t>Wabash CUSD #348</t>
  </si>
  <si>
    <t>528 N. Market St.</t>
  </si>
  <si>
    <t>218 W. 13th Street</t>
  </si>
  <si>
    <t>Mt. Carmel</t>
  </si>
  <si>
    <t xml:space="preserve">IL </t>
  </si>
  <si>
    <t>618-262-5446</t>
  </si>
  <si>
    <t>618-262-8921</t>
  </si>
  <si>
    <t>Mt. Carmel, IL</t>
  </si>
  <si>
    <t>65-016025</t>
  </si>
  <si>
    <t>jls@watler.com</t>
  </si>
  <si>
    <t>618-262-4181</t>
  </si>
  <si>
    <t>618-262-7912</t>
  </si>
  <si>
    <t>84.01A</t>
  </si>
  <si>
    <t>84.367A</t>
  </si>
  <si>
    <t>DEPARTMENT OF EDUCATION</t>
  </si>
  <si>
    <t>DEPARTMENT OF HEALTH &amp; HUMAN SERVICES</t>
  </si>
  <si>
    <t>Medicaid Matching Funds - WOVSED</t>
  </si>
  <si>
    <t>DEPARTMENT OF AGRICULTURE</t>
  </si>
  <si>
    <t>Watler Accounting. CPA'S, PC</t>
  </si>
  <si>
    <t xml:space="preserve">       </t>
  </si>
  <si>
    <t>10.555A</t>
  </si>
  <si>
    <t>84.667A</t>
  </si>
  <si>
    <t>Medicaid Matching Funds</t>
  </si>
  <si>
    <t>Unmodified</t>
  </si>
  <si>
    <t>Watler Accounting CPA's, PC</t>
  </si>
  <si>
    <t>General Obligatioin - Certificate Series 2017</t>
  </si>
  <si>
    <t>General Obligation - School Bonds Series 2018</t>
  </si>
  <si>
    <t>IMRF Pension Plan</t>
  </si>
  <si>
    <t>General Obligation - Series 2014</t>
  </si>
  <si>
    <t>Auto Leases</t>
  </si>
  <si>
    <t>cbleyer@wabash348.com</t>
  </si>
  <si>
    <t>Charles Bleyer</t>
  </si>
  <si>
    <t>X</t>
  </si>
  <si>
    <t xml:space="preserve">The School District had three funds with expenditures in excess of appropriation. </t>
  </si>
  <si>
    <t xml:space="preserve">All expenditures made by the School District should be appropriated for. </t>
  </si>
  <si>
    <t>Because expenditures exceeded appropriations in cerain funds, the School District was not in compliance with State statutes.</t>
  </si>
  <si>
    <t xml:space="preserve">The School District should develop a method to more accurately budget for expenditures.  In addition, the School District should follow State statutes regarding budget amendments. These statutes are located in chapter 55 of the Illinois Compiled Statutes. </t>
  </si>
  <si>
    <t>Management will review chapter 55 of the Illinois Compiled Statutes and develop procedures to ensure compliance with State statutes.  Anticipated date of completion is March 31, 2019.</t>
  </si>
  <si>
    <t>2017-1</t>
  </si>
  <si>
    <t>None</t>
  </si>
  <si>
    <t>N/A</t>
  </si>
  <si>
    <t>2016-1</t>
  </si>
  <si>
    <t>ations                Management reviewed procedures</t>
  </si>
  <si>
    <t xml:space="preserve"> One fund with expenditures in excess of appropri</t>
  </si>
  <si>
    <t>Not applicable</t>
  </si>
  <si>
    <t>Non Cash - Commodities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</si>
</sst>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49" fontId="1" fillId="0" borderId="158" xfId="17" applyNumberFormat="1" applyFont="1" applyBorder="1" applyAlignment="1" applyProtection="1">
      <alignment horizontal="center"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103910</xdr:colOff>
          <xdr:row>0</xdr:row>
          <xdr:rowOff>147204</xdr:rowOff>
        </xdr:from>
        <xdr:to>
          <xdr:col>1</xdr:col>
          <xdr:colOff>1015712</xdr:colOff>
          <xdr:row>5</xdr:row>
          <xdr:rowOff>106506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B6" sqref="B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2077</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06" t="s">
        <v>2078</v>
      </c>
      <c r="B13" s="2007"/>
      <c r="C13" s="2007"/>
      <c r="D13" s="2007"/>
      <c r="E13" s="2007"/>
      <c r="F13" s="2007"/>
      <c r="G13" s="2007"/>
      <c r="H13" s="2008"/>
      <c r="I13" s="31"/>
      <c r="J13" s="30"/>
      <c r="K13" s="28"/>
      <c r="L13" s="30"/>
      <c r="M13" s="30"/>
      <c r="N13" s="30"/>
      <c r="O13" s="30"/>
      <c r="P13" s="30"/>
      <c r="Q13" s="30"/>
      <c r="R13" s="30"/>
      <c r="S13" s="30"/>
      <c r="T13" s="2011" t="s">
        <v>2079</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2080</v>
      </c>
      <c r="B15" s="2009"/>
      <c r="C15" s="2009"/>
      <c r="D15" s="2009"/>
      <c r="E15" s="2009"/>
      <c r="F15" s="2009"/>
      <c r="G15" s="2009"/>
      <c r="H15" s="2010"/>
      <c r="T15" s="1972" t="s">
        <v>2081</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2082</v>
      </c>
      <c r="B17" s="2034"/>
      <c r="C17" s="2034"/>
      <c r="D17" s="2034"/>
      <c r="E17" s="2034"/>
      <c r="F17" s="2034"/>
      <c r="G17" s="2034"/>
      <c r="H17" s="2035"/>
      <c r="T17" s="2021" t="s">
        <v>2083</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2084</v>
      </c>
      <c r="B19" s="2005"/>
      <c r="C19" s="2005"/>
      <c r="D19" s="2005"/>
      <c r="E19" s="2005"/>
      <c r="F19" s="2005"/>
      <c r="G19" s="2005"/>
      <c r="H19" s="2003"/>
      <c r="I19" s="30"/>
      <c r="J19" s="99"/>
      <c r="K19" s="40"/>
      <c r="L19" s="38"/>
      <c r="M19" s="112" t="s">
        <v>333</v>
      </c>
      <c r="P19" s="27"/>
      <c r="Q19" s="27"/>
      <c r="R19" s="27"/>
      <c r="S19" s="31"/>
      <c r="T19" s="2004" t="s">
        <v>2085</v>
      </c>
      <c r="U19" s="2002"/>
      <c r="V19" s="2002"/>
      <c r="W19" s="2003"/>
      <c r="X19" s="2019" t="s">
        <v>2086</v>
      </c>
      <c r="Y19" s="2020"/>
      <c r="Z19" s="2017">
        <v>62863</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2089</v>
      </c>
      <c r="B21" s="2002"/>
      <c r="C21" s="2002"/>
      <c r="D21" s="2002"/>
      <c r="E21" s="2002"/>
      <c r="F21" s="2002"/>
      <c r="G21" s="2002"/>
      <c r="H21" s="2003"/>
      <c r="I21" s="2027" t="s">
        <v>699</v>
      </c>
      <c r="J21" s="1990"/>
      <c r="K21" s="1990"/>
      <c r="L21" s="1990"/>
      <c r="M21" s="1990"/>
      <c r="N21" s="1990"/>
      <c r="O21" s="1990"/>
      <c r="P21" s="1990"/>
      <c r="Q21" s="1990"/>
      <c r="R21" s="1990"/>
      <c r="S21" s="1991"/>
      <c r="T21" s="1969" t="s">
        <v>2087</v>
      </c>
      <c r="U21" s="1970"/>
      <c r="V21" s="1970"/>
      <c r="W21" s="1970"/>
      <c r="X21" s="1983" t="s">
        <v>2088</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2112</v>
      </c>
      <c r="B23" s="2025"/>
      <c r="C23" s="2025"/>
      <c r="D23" s="2025"/>
      <c r="E23" s="2025"/>
      <c r="F23" s="2025"/>
      <c r="G23" s="2025"/>
      <c r="H23" s="2026"/>
      <c r="T23" s="1964" t="s">
        <v>2090</v>
      </c>
      <c r="U23" s="1965"/>
      <c r="V23" s="1965"/>
      <c r="W23" s="1965"/>
      <c r="X23" s="1980">
        <v>44469</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62863</v>
      </c>
      <c r="B25" s="2002"/>
      <c r="C25" s="2002"/>
      <c r="D25" s="2002"/>
      <c r="E25" s="2002"/>
      <c r="F25" s="2002"/>
      <c r="G25" s="2002"/>
      <c r="H25" s="2003"/>
      <c r="I25" s="113"/>
      <c r="J25" s="2068"/>
      <c r="K25" s="2068"/>
      <c r="L25" s="2068"/>
      <c r="M25" s="2068"/>
      <c r="N25" s="2068"/>
      <c r="O25" s="2068"/>
      <c r="P25" s="2068"/>
      <c r="Q25" s="2068"/>
      <c r="R25" s="2068"/>
      <c r="S25" s="2069"/>
      <c r="T25" s="1961" t="s">
        <v>2091</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2113</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2112</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2092</v>
      </c>
      <c r="B42" s="2051"/>
      <c r="C42" s="2052"/>
      <c r="D42" s="2065" t="s">
        <v>2093</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E11" sqref="E1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1904</v>
      </c>
      <c r="B2" s="1550" t="s">
        <v>2034</v>
      </c>
      <c r="C2" s="715" t="s">
        <v>1909</v>
      </c>
      <c r="D2" s="715" t="s">
        <v>1910</v>
      </c>
      <c r="E2" s="715" t="s">
        <v>1911</v>
      </c>
      <c r="F2" s="715" t="s">
        <v>1912</v>
      </c>
    </row>
    <row r="3" spans="1:6" ht="12" customHeight="1" x14ac:dyDescent="0.2">
      <c r="A3" s="2204"/>
      <c r="B3" s="1547"/>
      <c r="C3" s="1548"/>
      <c r="D3" s="1549" t="s">
        <v>274</v>
      </c>
      <c r="E3" s="1548"/>
      <c r="F3" s="1549" t="s">
        <v>275</v>
      </c>
    </row>
    <row r="4" spans="1:6" ht="13.7" customHeight="1" x14ac:dyDescent="0.2">
      <c r="A4" s="716" t="s">
        <v>1217</v>
      </c>
      <c r="B4" s="1771">
        <f>'Revenues 9-14'!C5</f>
        <v>2435395</v>
      </c>
      <c r="C4" s="1546"/>
      <c r="D4" s="1774">
        <f>B4-C4</f>
        <v>2435395</v>
      </c>
      <c r="E4" s="1546">
        <v>2518500</v>
      </c>
      <c r="F4" s="1774">
        <f>E4-C4</f>
        <v>2518500</v>
      </c>
    </row>
    <row r="5" spans="1:6" ht="13.7" customHeight="1" x14ac:dyDescent="0.2">
      <c r="A5" s="716" t="s">
        <v>925</v>
      </c>
      <c r="B5" s="1772">
        <f>'Revenues 9-14'!D5</f>
        <v>661788</v>
      </c>
      <c r="C5" s="585"/>
      <c r="D5" s="1775">
        <f t="shared" ref="D5:D18" si="0">B5-C5</f>
        <v>661788</v>
      </c>
      <c r="E5" s="585">
        <v>679785</v>
      </c>
      <c r="F5" s="1775">
        <f>E5-C5</f>
        <v>679785</v>
      </c>
    </row>
    <row r="6" spans="1:6" ht="13.7" customHeight="1" x14ac:dyDescent="0.2">
      <c r="A6" s="716" t="s">
        <v>431</v>
      </c>
      <c r="B6" s="1772">
        <f>'Revenues 9-14'!E5</f>
        <v>709688</v>
      </c>
      <c r="C6" s="585"/>
      <c r="D6" s="1775">
        <f t="shared" si="0"/>
        <v>709688</v>
      </c>
      <c r="E6" s="585">
        <v>695055</v>
      </c>
      <c r="F6" s="1775">
        <f t="shared" ref="F6:F18" si="1">E6-C6</f>
        <v>695055</v>
      </c>
    </row>
    <row r="7" spans="1:6" ht="13.7" customHeight="1" x14ac:dyDescent="0.2">
      <c r="A7" s="716" t="s">
        <v>157</v>
      </c>
      <c r="B7" s="1772">
        <f>'Revenues 9-14'!F5</f>
        <v>264794</v>
      </c>
      <c r="C7" s="585"/>
      <c r="D7" s="1775">
        <f t="shared" si="0"/>
        <v>264794</v>
      </c>
      <c r="E7" s="585">
        <v>273000</v>
      </c>
      <c r="F7" s="1775">
        <f t="shared" si="1"/>
        <v>273000</v>
      </c>
    </row>
    <row r="8" spans="1:6" ht="13.7" customHeight="1" x14ac:dyDescent="0.2">
      <c r="A8" s="716" t="s">
        <v>1241</v>
      </c>
      <c r="B8" s="1772">
        <f>'Revenues 9-14'!G5</f>
        <v>306639</v>
      </c>
      <c r="C8" s="585"/>
      <c r="D8" s="1775">
        <f t="shared" si="0"/>
        <v>306639</v>
      </c>
      <c r="E8" s="585">
        <v>315159</v>
      </c>
      <c r="F8" s="1775">
        <f t="shared" si="1"/>
        <v>315159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66231</v>
      </c>
      <c r="C10" s="585"/>
      <c r="D10" s="1775">
        <f t="shared" si="0"/>
        <v>66231</v>
      </c>
      <c r="E10" s="585">
        <v>67980</v>
      </c>
      <c r="F10" s="1775">
        <f t="shared" si="1"/>
        <v>67980</v>
      </c>
    </row>
    <row r="11" spans="1:6" x14ac:dyDescent="0.2">
      <c r="A11" s="716" t="s">
        <v>429</v>
      </c>
      <c r="B11" s="1772">
        <f>'Revenues 9-14'!J5</f>
        <v>418170</v>
      </c>
      <c r="C11" s="585"/>
      <c r="D11" s="1775">
        <f t="shared" si="0"/>
        <v>418170</v>
      </c>
      <c r="E11" s="585">
        <v>423877</v>
      </c>
      <c r="F11" s="1775">
        <f t="shared" si="1"/>
        <v>423877</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66231</v>
      </c>
      <c r="C13" s="585"/>
      <c r="D13" s="1775">
        <f t="shared" si="0"/>
        <v>66231</v>
      </c>
      <c r="E13" s="585">
        <v>67980</v>
      </c>
      <c r="F13" s="1775">
        <f t="shared" si="1"/>
        <v>67980</v>
      </c>
    </row>
    <row r="14" spans="1:6" ht="13.7" customHeight="1" x14ac:dyDescent="0.2">
      <c r="A14" s="716" t="s">
        <v>430</v>
      </c>
      <c r="B14" s="1772">
        <f>SUM('Revenues 9-14'!C7:D7,'Revenues 9-14'!F7:H7)</f>
        <v>53037</v>
      </c>
      <c r="C14" s="585"/>
      <c r="D14" s="1775">
        <f t="shared" si="0"/>
        <v>53037</v>
      </c>
      <c r="E14" s="585">
        <v>54383</v>
      </c>
      <c r="F14" s="1775">
        <f t="shared" si="1"/>
        <v>54383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280923</v>
      </c>
      <c r="C16" s="585"/>
      <c r="D16" s="1775">
        <f t="shared" si="0"/>
        <v>280923</v>
      </c>
      <c r="E16" s="585">
        <v>288804</v>
      </c>
      <c r="F16" s="1775">
        <f t="shared" si="1"/>
        <v>288804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5262896</v>
      </c>
      <c r="C19" s="1773">
        <f>SUM(C4:C18)</f>
        <v>0</v>
      </c>
      <c r="D19" s="1773">
        <f>SUM(D4:D18)</f>
        <v>5262896</v>
      </c>
      <c r="E19" s="1773">
        <f>SUM(E4:E18)</f>
        <v>5384523</v>
      </c>
      <c r="F19" s="1773">
        <f>SUM(F4:F18)</f>
        <v>5384523</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1" colorId="8" zoomScale="110" zoomScaleNormal="110" workbookViewId="0">
      <selection activeCell="H49" sqref="H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1904</v>
      </c>
      <c r="B2" s="2219"/>
      <c r="C2" s="1909" t="s">
        <v>2035</v>
      </c>
      <c r="D2" s="724" t="s">
        <v>2042</v>
      </c>
      <c r="E2" s="724" t="s">
        <v>2043</v>
      </c>
      <c r="F2" s="1909" t="s">
        <v>2036</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7">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7" t="s">
        <v>652</v>
      </c>
      <c r="B15" s="2208"/>
      <c r="C15" s="1777">
        <f>SUM(C6:C14)</f>
        <v>0</v>
      </c>
      <c r="D15" s="1777">
        <f>SUM(D6:D14)</f>
        <v>0</v>
      </c>
      <c r="E15" s="1777">
        <f>SUM(E6:E14)</f>
        <v>0</v>
      </c>
      <c r="F15" s="1777">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7">
        <f>SUM(C17+D17)-E17</f>
        <v>0</v>
      </c>
    </row>
    <row r="18" spans="1:11" ht="12.75" customHeight="1" thickTop="1" thickBot="1" x14ac:dyDescent="0.25">
      <c r="A18" s="2230" t="s">
        <v>6</v>
      </c>
      <c r="B18" s="2231"/>
      <c r="C18" s="727"/>
      <c r="D18" s="585"/>
      <c r="E18" s="727"/>
      <c r="F18" s="1777">
        <f>SUM(C18+D18)-E18</f>
        <v>0</v>
      </c>
    </row>
    <row r="19" spans="1:11" ht="12.75" customHeight="1" thickTop="1" thickBot="1" x14ac:dyDescent="0.25">
      <c r="A19" s="2230" t="s">
        <v>406</v>
      </c>
      <c r="B19" s="2231"/>
      <c r="C19" s="727"/>
      <c r="D19" s="585"/>
      <c r="E19" s="727"/>
      <c r="F19" s="1777">
        <f>SUM(C19+D19)-E19</f>
        <v>0</v>
      </c>
    </row>
    <row r="20" spans="1:11" ht="12.75" customHeight="1" thickTop="1" thickBot="1" x14ac:dyDescent="0.25">
      <c r="A20" s="2230" t="s">
        <v>468</v>
      </c>
      <c r="B20" s="2231"/>
      <c r="C20" s="727"/>
      <c r="D20" s="585"/>
      <c r="E20" s="727"/>
      <c r="F20" s="1777">
        <f>SUM(C20+D20)-E20</f>
        <v>0</v>
      </c>
    </row>
    <row r="21" spans="1:11" ht="14.25" thickTop="1" thickBot="1" x14ac:dyDescent="0.25">
      <c r="A21" s="2207" t="s">
        <v>653</v>
      </c>
      <c r="B21" s="2208"/>
      <c r="C21" s="1777">
        <f>SUM(C17:C20)</f>
        <v>0</v>
      </c>
      <c r="D21" s="1777">
        <f>SUM(D17:D20)</f>
        <v>0</v>
      </c>
      <c r="E21" s="1777">
        <f>SUM(E17:E20)</f>
        <v>0</v>
      </c>
      <c r="F21" s="1777">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7">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7">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7">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10" t="s">
        <v>604</v>
      </c>
      <c r="D30" s="1910" t="s">
        <v>1771</v>
      </c>
      <c r="E30" s="1910" t="s">
        <v>2037</v>
      </c>
      <c r="F30" s="1910" t="s">
        <v>2038</v>
      </c>
      <c r="G30" s="1910" t="s">
        <v>2041</v>
      </c>
      <c r="H30" s="1910" t="s">
        <v>2039</v>
      </c>
      <c r="I30" s="1910" t="s">
        <v>2040</v>
      </c>
      <c r="J30" s="1911" t="s">
        <v>2</v>
      </c>
      <c r="K30" s="732"/>
    </row>
    <row r="31" spans="1:11" ht="12" customHeight="1" x14ac:dyDescent="0.2">
      <c r="A31" s="733" t="s">
        <v>2107</v>
      </c>
      <c r="B31" s="734">
        <v>42961</v>
      </c>
      <c r="C31" s="735">
        <v>1000000</v>
      </c>
      <c r="D31" s="736">
        <v>1</v>
      </c>
      <c r="E31" s="735">
        <v>1000000</v>
      </c>
      <c r="F31" s="735"/>
      <c r="G31" s="735"/>
      <c r="H31" s="735"/>
      <c r="I31" s="1778">
        <f>((E31+F31)-H31)+G31</f>
        <v>1000000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t="s">
        <v>2108</v>
      </c>
      <c r="B33" s="734">
        <v>43157</v>
      </c>
      <c r="C33" s="735">
        <v>2596000</v>
      </c>
      <c r="D33" s="736">
        <v>1</v>
      </c>
      <c r="E33" s="735"/>
      <c r="F33" s="735">
        <v>2596000</v>
      </c>
      <c r="G33" s="735"/>
      <c r="H33" s="735"/>
      <c r="I33" s="1778">
        <f t="shared" ref="I33:I48" si="1">((E33+F33)-H33)+G33</f>
        <v>2596000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t="s">
        <v>2109</v>
      </c>
      <c r="B35" s="734"/>
      <c r="C35" s="739"/>
      <c r="D35" s="736"/>
      <c r="E35" s="739">
        <v>758252</v>
      </c>
      <c r="F35" s="739"/>
      <c r="G35" s="739"/>
      <c r="H35" s="739"/>
      <c r="I35" s="1778">
        <f t="shared" si="1"/>
        <v>758252</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t="s">
        <v>2110</v>
      </c>
      <c r="B37" s="734">
        <v>41709</v>
      </c>
      <c r="C37" s="467">
        <v>2450000</v>
      </c>
      <c r="D37" s="741">
        <v>1</v>
      </c>
      <c r="E37" s="467">
        <v>675300</v>
      </c>
      <c r="F37" s="467"/>
      <c r="G37" s="467"/>
      <c r="H37" s="467">
        <v>675300</v>
      </c>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t="s">
        <v>2111</v>
      </c>
      <c r="B39" s="734"/>
      <c r="C39" s="735"/>
      <c r="D39" s="742"/>
      <c r="E39" s="743">
        <v>84592</v>
      </c>
      <c r="F39" s="743"/>
      <c r="G39" s="743"/>
      <c r="H39" s="743">
        <v>84592</v>
      </c>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6046000</v>
      </c>
      <c r="D49" s="746"/>
      <c r="E49" s="1778">
        <f t="shared" ref="E49:J49" si="2">SUM(E31:E48)</f>
        <v>2518144</v>
      </c>
      <c r="F49" s="1778">
        <f t="shared" si="2"/>
        <v>2596000</v>
      </c>
      <c r="G49" s="1778">
        <f t="shared" si="2"/>
        <v>0</v>
      </c>
      <c r="H49" s="1778">
        <f t="shared" si="2"/>
        <v>759892</v>
      </c>
      <c r="I49" s="1778">
        <f t="shared" si="2"/>
        <v>4354252</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1775</v>
      </c>
      <c r="B2" s="2238"/>
      <c r="C2" s="2238"/>
      <c r="D2" s="2238"/>
      <c r="E2" s="2239"/>
      <c r="F2" s="762" t="s">
        <v>960</v>
      </c>
      <c r="G2" s="763" t="s">
        <v>1772</v>
      </c>
      <c r="H2" s="763" t="s">
        <v>430</v>
      </c>
      <c r="I2" s="763" t="s">
        <v>1220</v>
      </c>
      <c r="J2" s="763" t="s">
        <v>1918</v>
      </c>
      <c r="K2" s="763" t="s">
        <v>140</v>
      </c>
    </row>
    <row r="3" spans="1:11" x14ac:dyDescent="0.2">
      <c r="A3" s="2240" t="s">
        <v>1697</v>
      </c>
      <c r="B3" s="2241"/>
      <c r="C3" s="2241"/>
      <c r="D3" s="2241"/>
      <c r="E3" s="2242"/>
      <c r="F3" s="764"/>
      <c r="G3" s="765"/>
      <c r="H3" s="765"/>
      <c r="I3" s="765"/>
      <c r="J3" s="766"/>
      <c r="K3" s="766"/>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1" t="s">
        <v>1919</v>
      </c>
      <c r="B10" s="2234"/>
      <c r="C10" s="2234"/>
      <c r="D10" s="2234"/>
      <c r="E10" s="2263"/>
      <c r="F10" s="784" t="s">
        <v>917</v>
      </c>
      <c r="G10" s="783"/>
      <c r="H10" s="785"/>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9"/>
      <c r="G12" s="1780">
        <f>SUM(G5:G11)</f>
        <v>0</v>
      </c>
      <c r="H12" s="1780">
        <f>SUM(H5:H11)</f>
        <v>0</v>
      </c>
      <c r="I12" s="1780">
        <f>SUM(I5:I11)</f>
        <v>0</v>
      </c>
      <c r="J12" s="1780">
        <f>SUM(J5:J11)</f>
        <v>0</v>
      </c>
      <c r="K12" s="1780">
        <f>SUM(K5:K11)</f>
        <v>0</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c r="I14" s="772"/>
      <c r="J14" s="774"/>
      <c r="K14" s="766"/>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1915</v>
      </c>
      <c r="B19" s="2269"/>
      <c r="C19" s="2269"/>
      <c r="D19" s="2269"/>
      <c r="E19" s="2270"/>
      <c r="F19" s="790" t="s">
        <v>990</v>
      </c>
      <c r="G19" s="783"/>
      <c r="H19" s="783"/>
      <c r="I19" s="783"/>
      <c r="J19" s="766"/>
      <c r="K19" s="796"/>
    </row>
    <row r="20" spans="1:11" x14ac:dyDescent="0.2">
      <c r="A20" s="2248" t="s">
        <v>1920</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81"/>
      <c r="G21" s="793"/>
      <c r="H21" s="797"/>
      <c r="I21" s="797"/>
      <c r="J21" s="1782">
        <f>SUM(J18:J20)</f>
        <v>0</v>
      </c>
      <c r="K21" s="794"/>
    </row>
    <row r="22" spans="1:11" ht="13.5" thickTop="1" x14ac:dyDescent="0.2">
      <c r="A22" s="2234" t="s">
        <v>1921</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3"/>
      <c r="G23" s="1780">
        <f>SUM(G14:G16,G21,G22)</f>
        <v>0</v>
      </c>
      <c r="H23" s="1780">
        <f>SUM(H14:H16,H21,H22)</f>
        <v>0</v>
      </c>
      <c r="I23" s="1780">
        <f>SUM(I14:I16,I21,I22)</f>
        <v>0</v>
      </c>
      <c r="J23" s="1780">
        <f>SUM(J14:J16,J21,J22)</f>
        <v>0</v>
      </c>
      <c r="K23" s="1780">
        <f>SUM(K14:K16,K21,K22)</f>
        <v>0</v>
      </c>
    </row>
    <row r="24" spans="1:11" ht="14.25" thickTop="1" thickBot="1" x14ac:dyDescent="0.25">
      <c r="A24" s="2255" t="s">
        <v>2023</v>
      </c>
      <c r="B24" s="2254"/>
      <c r="C24" s="2254"/>
      <c r="D24" s="2254"/>
      <c r="E24" s="225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110" zoomScaleNormal="110" workbookViewId="0">
      <selection activeCell="M5" sqref="M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2032</v>
      </c>
      <c r="B1" s="2274"/>
      <c r="C1" s="2275"/>
      <c r="D1" s="827"/>
      <c r="E1" s="828"/>
      <c r="F1" s="828"/>
      <c r="G1" s="829"/>
      <c r="H1" s="830"/>
      <c r="I1" s="831"/>
      <c r="J1" s="2271"/>
      <c r="K1" s="2272"/>
      <c r="L1" s="2272"/>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561878</v>
      </c>
      <c r="D5" s="842">
        <v>1</v>
      </c>
      <c r="E5" s="842"/>
      <c r="F5" s="1782">
        <f>(C5+D5)-E5</f>
        <v>561879</v>
      </c>
      <c r="G5" s="838"/>
      <c r="H5" s="843"/>
      <c r="I5" s="843"/>
      <c r="J5" s="843"/>
      <c r="K5" s="794"/>
      <c r="L5" s="1791">
        <f>F5-K5</f>
        <v>561879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18419969</v>
      </c>
      <c r="D8" s="845">
        <v>671524</v>
      </c>
      <c r="E8" s="845">
        <v>205876</v>
      </c>
      <c r="F8" s="1782">
        <f>(C8+D8)-E8</f>
        <v>18885617</v>
      </c>
      <c r="G8" s="844">
        <v>50</v>
      </c>
      <c r="H8" s="766">
        <v>9742713</v>
      </c>
      <c r="I8" s="766">
        <v>442834</v>
      </c>
      <c r="J8" s="766">
        <v>60005</v>
      </c>
      <c r="K8" s="1791">
        <f>(H8+I8)-J8</f>
        <v>10125542</v>
      </c>
      <c r="L8" s="1791">
        <f>F8-K8</f>
        <v>8760075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324208</v>
      </c>
      <c r="D10" s="847"/>
      <c r="E10" s="847"/>
      <c r="F10" s="1786">
        <f>(C10+D10)-E10</f>
        <v>324208</v>
      </c>
      <c r="G10" s="844">
        <v>20</v>
      </c>
      <c r="H10" s="848">
        <v>246507</v>
      </c>
      <c r="I10" s="848">
        <v>11659</v>
      </c>
      <c r="J10" s="848"/>
      <c r="K10" s="1791">
        <f>(H10+I10)-J10</f>
        <v>258166</v>
      </c>
      <c r="L10" s="1791">
        <f>F10-K10</f>
        <v>66042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1740613</v>
      </c>
      <c r="D12" s="845"/>
      <c r="E12" s="845"/>
      <c r="F12" s="1782">
        <f>(C12+D12)-E12</f>
        <v>1740613</v>
      </c>
      <c r="G12" s="844">
        <v>10</v>
      </c>
      <c r="H12" s="766">
        <v>1685571</v>
      </c>
      <c r="I12" s="766">
        <v>9167</v>
      </c>
      <c r="J12" s="766"/>
      <c r="K12" s="1791">
        <f>(H12+I12)-J12</f>
        <v>1694738</v>
      </c>
      <c r="L12" s="1791">
        <f>F12-K12</f>
        <v>45875</v>
      </c>
    </row>
    <row r="13" spans="1:14" ht="14.25" thickTop="1" thickBot="1" x14ac:dyDescent="0.25">
      <c r="A13" s="849" t="s">
        <v>1184</v>
      </c>
      <c r="B13" s="841">
        <v>252</v>
      </c>
      <c r="C13" s="845">
        <v>1962986</v>
      </c>
      <c r="D13" s="845">
        <v>78522</v>
      </c>
      <c r="E13" s="845"/>
      <c r="F13" s="1782">
        <f>(C13+D13)-E13</f>
        <v>2041508</v>
      </c>
      <c r="G13" s="844">
        <v>5</v>
      </c>
      <c r="H13" s="766">
        <v>1856033</v>
      </c>
      <c r="I13" s="766">
        <v>34992</v>
      </c>
      <c r="J13" s="766"/>
      <c r="K13" s="1791">
        <f>(H13+I13)-J13</f>
        <v>1891025</v>
      </c>
      <c r="L13" s="1791">
        <f>F13-K13</f>
        <v>150483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23009654</v>
      </c>
      <c r="D16" s="1782">
        <f>SUM(D3,D5:D6,D8:D10,D12:D15)</f>
        <v>750047</v>
      </c>
      <c r="E16" s="1782">
        <f>SUM(E3,E5:E6,E8:E10,E12:E15)</f>
        <v>205876</v>
      </c>
      <c r="F16" s="1782">
        <f>SUM(F3,F5:F6,F8:F10,F12:F15)</f>
        <v>23553825</v>
      </c>
      <c r="G16" s="844"/>
      <c r="H16" s="1782">
        <f>SUM(H3,H6,H8:H10,H12:H14,)</f>
        <v>13530824</v>
      </c>
      <c r="I16" s="1782">
        <f>SUM(I3,I6,I8:I10,I12:I14,)</f>
        <v>498652</v>
      </c>
      <c r="J16" s="1782">
        <f>SUM(J3,J6,J8:J10,J12:J14,)</f>
        <v>60005</v>
      </c>
      <c r="K16" s="1782">
        <f>(H16+I16)-J16</f>
        <v>13969471</v>
      </c>
      <c r="L16" s="1782">
        <f>F16-K16</f>
        <v>9584354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498652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1698</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10937296</v>
      </c>
      <c r="G8" s="866"/>
    </row>
    <row r="9" spans="1:7" x14ac:dyDescent="0.2">
      <c r="A9" s="870" t="s">
        <v>480</v>
      </c>
      <c r="B9" s="871" t="s">
        <v>1987</v>
      </c>
      <c r="C9" s="872"/>
      <c r="D9" s="870" t="s">
        <v>522</v>
      </c>
      <c r="E9" s="869"/>
      <c r="F9" s="1935">
        <f>'Expenditures 15-22'!K151</f>
        <v>1986136</v>
      </c>
      <c r="G9" s="873"/>
    </row>
    <row r="10" spans="1:7" x14ac:dyDescent="0.2">
      <c r="A10" s="870" t="s">
        <v>520</v>
      </c>
      <c r="B10" s="871" t="s">
        <v>1988</v>
      </c>
      <c r="C10" s="872"/>
      <c r="D10" s="870" t="s">
        <v>522</v>
      </c>
      <c r="E10" s="869"/>
      <c r="F10" s="1935">
        <f>'Expenditures 15-22'!K174</f>
        <v>760869</v>
      </c>
      <c r="G10" s="873"/>
    </row>
    <row r="11" spans="1:7" x14ac:dyDescent="0.2">
      <c r="A11" s="870" t="s">
        <v>481</v>
      </c>
      <c r="B11" s="871" t="s">
        <v>1989</v>
      </c>
      <c r="C11" s="872"/>
      <c r="D11" s="870" t="s">
        <v>522</v>
      </c>
      <c r="E11" s="869"/>
      <c r="F11" s="1935">
        <f>'Expenditures 15-22'!K210</f>
        <v>787081</v>
      </c>
      <c r="G11" s="873"/>
    </row>
    <row r="12" spans="1:7" x14ac:dyDescent="0.2">
      <c r="A12" s="870" t="s">
        <v>482</v>
      </c>
      <c r="B12" s="871" t="s">
        <v>1990</v>
      </c>
      <c r="C12" s="872"/>
      <c r="D12" s="870" t="s">
        <v>522</v>
      </c>
      <c r="E12" s="869"/>
      <c r="F12" s="1935">
        <f>'Expenditures 15-22'!K295</f>
        <v>560034</v>
      </c>
      <c r="G12" s="873"/>
    </row>
    <row r="13" spans="1:7" x14ac:dyDescent="0.2">
      <c r="A13" s="870" t="s">
        <v>108</v>
      </c>
      <c r="B13" s="871" t="s">
        <v>1991</v>
      </c>
      <c r="C13" s="872"/>
      <c r="D13" s="870" t="s">
        <v>522</v>
      </c>
      <c r="E13" s="869"/>
      <c r="F13" s="1935">
        <f>'Expenditures 15-22'!K342</f>
        <v>308942</v>
      </c>
      <c r="G13" s="874"/>
    </row>
    <row r="14" spans="1:7" ht="12" customHeight="1" thickBot="1" x14ac:dyDescent="0.25">
      <c r="A14" s="1792"/>
      <c r="B14" s="1793"/>
      <c r="C14" s="1794"/>
      <c r="D14" s="1795" t="s">
        <v>522</v>
      </c>
      <c r="E14" s="1796" t="s">
        <v>1015</v>
      </c>
      <c r="F14" s="1797">
        <f>SUM(F8:F13)</f>
        <v>15340358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9-14'!D148,F148)</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211668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104437</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128734</v>
      </c>
      <c r="G52" s="866"/>
    </row>
    <row r="53" spans="1:7" x14ac:dyDescent="0.2">
      <c r="A53" s="870" t="s">
        <v>479</v>
      </c>
      <c r="B53" s="870" t="s">
        <v>1551</v>
      </c>
      <c r="C53" s="890">
        <f>'Expenditures 15-22'!B102</f>
        <v>4000</v>
      </c>
      <c r="D53" s="889" t="str">
        <f>'Expenditures 15-22'!A102</f>
        <v>Total Payments to Other Govt Units</v>
      </c>
      <c r="E53" s="869"/>
      <c r="F53" s="1939">
        <f>'Expenditures 15-22'!K102</f>
        <v>498343</v>
      </c>
      <c r="G53" s="866"/>
    </row>
    <row r="54" spans="1:7" x14ac:dyDescent="0.2">
      <c r="A54" s="870" t="s">
        <v>479</v>
      </c>
      <c r="B54" s="870" t="s">
        <v>1552</v>
      </c>
      <c r="C54" s="890" t="s">
        <v>1039</v>
      </c>
      <c r="D54" s="886" t="s">
        <v>1157</v>
      </c>
      <c r="E54" s="869"/>
      <c r="F54" s="1939">
        <f>'Expenditures 15-22'!G114</f>
        <v>39631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9">
        <f>'Expenditures 15-22'!K139</f>
        <v>0</v>
      </c>
      <c r="G57" s="866"/>
    </row>
    <row r="58" spans="1:7" x14ac:dyDescent="0.2">
      <c r="A58" s="870" t="s">
        <v>480</v>
      </c>
      <c r="B58" s="870" t="s">
        <v>1993</v>
      </c>
      <c r="C58" s="887" t="s">
        <v>1039</v>
      </c>
      <c r="D58" s="886" t="s">
        <v>1157</v>
      </c>
      <c r="E58" s="869"/>
      <c r="F58" s="1941">
        <f>'Expenditures 15-22'!G151</f>
        <v>195</v>
      </c>
      <c r="G58" s="866"/>
    </row>
    <row r="59" spans="1:7" x14ac:dyDescent="0.2">
      <c r="A59" s="894" t="s">
        <v>480</v>
      </c>
      <c r="B59" s="857" t="s">
        <v>1994</v>
      </c>
      <c r="C59" s="895" t="s">
        <v>1039</v>
      </c>
      <c r="D59" s="857" t="s">
        <v>309</v>
      </c>
      <c r="F59" s="1942">
        <f>'Expenditures 15-22'!I151</f>
        <v>0</v>
      </c>
      <c r="G59" s="866"/>
    </row>
    <row r="60" spans="1:7" x14ac:dyDescent="0.2">
      <c r="A60" s="894" t="s">
        <v>520</v>
      </c>
      <c r="B60" s="857" t="s">
        <v>1995</v>
      </c>
      <c r="C60" s="895">
        <v>4000</v>
      </c>
      <c r="D60" s="857" t="s">
        <v>330</v>
      </c>
      <c r="F60" s="1940">
        <f>'Expenditures 15-22'!K160</f>
        <v>0</v>
      </c>
      <c r="G60" s="866"/>
    </row>
    <row r="61" spans="1:7" x14ac:dyDescent="0.2">
      <c r="A61" s="896" t="s">
        <v>520</v>
      </c>
      <c r="B61" s="896" t="s">
        <v>1996</v>
      </c>
      <c r="C61" s="897" t="str">
        <f>'Expenditures 15-22'!B170</f>
        <v>5300</v>
      </c>
      <c r="D61" s="898" t="s">
        <v>329</v>
      </c>
      <c r="E61" s="880"/>
      <c r="F61" s="1939">
        <f>'Expenditures 15-22'!K170</f>
        <v>675300</v>
      </c>
      <c r="G61" s="866"/>
    </row>
    <row r="62" spans="1:7" x14ac:dyDescent="0.2">
      <c r="A62" s="870" t="s">
        <v>481</v>
      </c>
      <c r="B62" s="870" t="s">
        <v>1997</v>
      </c>
      <c r="C62" s="887">
        <f>'Expenditures 15-22'!B185</f>
        <v>3000</v>
      </c>
      <c r="D62" s="877" t="s">
        <v>469</v>
      </c>
      <c r="E62" s="869"/>
      <c r="F62" s="1939">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1999</v>
      </c>
      <c r="C64" s="897" t="str">
        <f>'Expenditures 15-22'!B206</f>
        <v>5300</v>
      </c>
      <c r="D64" s="893" t="s">
        <v>329</v>
      </c>
      <c r="E64" s="869"/>
      <c r="F64" s="1939">
        <f>'Expenditures 15-22'!K206</f>
        <v>170545</v>
      </c>
      <c r="G64" s="866"/>
    </row>
    <row r="65" spans="1:8" x14ac:dyDescent="0.2">
      <c r="A65" s="870" t="s">
        <v>481</v>
      </c>
      <c r="B65" s="870" t="s">
        <v>2000</v>
      </c>
      <c r="C65" s="887" t="s">
        <v>1039</v>
      </c>
      <c r="D65" s="886" t="s">
        <v>1157</v>
      </c>
      <c r="E65" s="869"/>
      <c r="F65" s="1939">
        <f>'Expenditures 15-22'!G210</f>
        <v>5774</v>
      </c>
      <c r="G65" s="866"/>
    </row>
    <row r="66" spans="1:8" x14ac:dyDescent="0.2">
      <c r="A66" s="870" t="s">
        <v>481</v>
      </c>
      <c r="B66" s="870" t="s">
        <v>2001</v>
      </c>
      <c r="C66" s="887" t="s">
        <v>1039</v>
      </c>
      <c r="D66" s="886" t="s">
        <v>309</v>
      </c>
      <c r="E66" s="869"/>
      <c r="F66" s="1939">
        <f>'Expenditures 15-22'!I210</f>
        <v>0</v>
      </c>
      <c r="G66" s="866"/>
    </row>
    <row r="67" spans="1:8" x14ac:dyDescent="0.2">
      <c r="A67" s="870" t="s">
        <v>482</v>
      </c>
      <c r="B67" s="870" t="s">
        <v>2002</v>
      </c>
      <c r="C67" s="887" t="str">
        <f>'Expenditures 15-22'!B216</f>
        <v>1125</v>
      </c>
      <c r="D67" s="893" t="str">
        <f>'Expenditures 15-22'!A216</f>
        <v>Pre-K Programs</v>
      </c>
      <c r="E67" s="869"/>
      <c r="F67" s="1939">
        <f>'Expenditures 15-22'!K216</f>
        <v>10083</v>
      </c>
      <c r="G67" s="866"/>
    </row>
    <row r="68" spans="1:8" x14ac:dyDescent="0.2">
      <c r="A68" s="870" t="s">
        <v>482</v>
      </c>
      <c r="B68" s="870" t="s">
        <v>1555</v>
      </c>
      <c r="C68" s="887" t="str">
        <f>'Expenditures 15-22'!B218</f>
        <v>1225</v>
      </c>
      <c r="D68" s="893" t="str">
        <f>'Expenditures 15-22'!A218</f>
        <v>Special Education Programs - Pre-K</v>
      </c>
      <c r="E68" s="869"/>
      <c r="F68" s="1939">
        <f>'Expenditures 15-22'!K218</f>
        <v>996</v>
      </c>
      <c r="G68" s="866"/>
    </row>
    <row r="69" spans="1:8" x14ac:dyDescent="0.2">
      <c r="A69" s="870" t="s">
        <v>482</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2004</v>
      </c>
      <c r="C70" s="887">
        <f>'Expenditures 15-22'!B221</f>
        <v>1300</v>
      </c>
      <c r="D70" s="888" t="str">
        <f>'Expenditures 15-22'!A221</f>
        <v>Adult/Continuing Education Programs</v>
      </c>
      <c r="E70" s="869"/>
      <c r="F70" s="1939">
        <f>'Expenditures 15-22'!K221</f>
        <v>0</v>
      </c>
      <c r="G70" s="866"/>
    </row>
    <row r="71" spans="1:8" x14ac:dyDescent="0.2">
      <c r="A71" s="870" t="s">
        <v>482</v>
      </c>
      <c r="B71" s="870" t="s">
        <v>2005</v>
      </c>
      <c r="C71" s="887">
        <f>'Expenditures 15-22'!B224</f>
        <v>1600</v>
      </c>
      <c r="D71" s="888" t="str">
        <f>'Expenditures 15-22'!A224</f>
        <v>Summer School Programs</v>
      </c>
      <c r="E71" s="869"/>
      <c r="F71" s="1939">
        <f>'Expenditures 15-22'!K224</f>
        <v>0</v>
      </c>
      <c r="G71" s="866"/>
    </row>
    <row r="72" spans="1:8" x14ac:dyDescent="0.2">
      <c r="A72" s="870" t="s">
        <v>482</v>
      </c>
      <c r="B72" s="870" t="s">
        <v>2006</v>
      </c>
      <c r="C72" s="887">
        <f>'Expenditures 15-22'!B280</f>
        <v>3000</v>
      </c>
      <c r="D72" s="877" t="s">
        <v>469</v>
      </c>
      <c r="E72" s="869"/>
      <c r="F72" s="1939">
        <f>'Expenditures 15-22'!K280</f>
        <v>14001</v>
      </c>
      <c r="G72" s="866"/>
    </row>
    <row r="73" spans="1:8" x14ac:dyDescent="0.2">
      <c r="A73" s="870" t="s">
        <v>482</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2008</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1859707</v>
      </c>
      <c r="G76" s="866"/>
    </row>
    <row r="77" spans="1:8" s="894" customFormat="1" ht="12" customHeight="1" thickTop="1" thickBot="1" x14ac:dyDescent="0.25">
      <c r="A77" s="1801"/>
      <c r="B77" s="1798"/>
      <c r="C77" s="1794"/>
      <c r="D77" s="1799" t="s">
        <v>2010</v>
      </c>
      <c r="E77" s="1796"/>
      <c r="F77" s="1802">
        <f>(F14-F76)</f>
        <v>13480651</v>
      </c>
      <c r="G77" s="870"/>
    </row>
    <row r="78" spans="1:8" s="894" customFormat="1" ht="12" customHeight="1" thickTop="1" x14ac:dyDescent="0.2">
      <c r="A78" s="1803"/>
      <c r="B78" s="1798"/>
      <c r="C78" s="1794"/>
      <c r="D78" s="1799" t="s">
        <v>2056</v>
      </c>
      <c r="E78" s="1796"/>
      <c r="F78" s="899">
        <v>1385.48</v>
      </c>
      <c r="G78" s="900"/>
      <c r="H78" s="870"/>
    </row>
    <row r="79" spans="1:8" s="894" customFormat="1" ht="12" customHeight="1" thickBot="1" x14ac:dyDescent="0.25">
      <c r="A79" s="1804"/>
      <c r="B79" s="1798"/>
      <c r="C79" s="1794"/>
      <c r="D79" s="1799" t="s">
        <v>2011</v>
      </c>
      <c r="E79" s="1796" t="s">
        <v>1015</v>
      </c>
      <c r="F79" s="1805">
        <f>IF(F78&gt;0,F77/F78," Complete Line 78")</f>
        <v>9729.9499090567897</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91006</v>
      </c>
      <c r="G94" s="913"/>
    </row>
    <row r="95" spans="1:7" x14ac:dyDescent="0.2">
      <c r="A95" s="909" t="s">
        <v>142</v>
      </c>
      <c r="B95" s="909" t="s">
        <v>177</v>
      </c>
      <c r="C95" s="911">
        <v>1700</v>
      </c>
      <c r="D95" s="919" t="str">
        <f>'Revenues 9-14'!A82</f>
        <v>Total District/School Activity Income</v>
      </c>
      <c r="E95" s="907"/>
      <c r="F95" s="1811">
        <f>SUM('Revenues 9-14'!C82,'Revenues 9-14'!D82)</f>
        <v>82008</v>
      </c>
      <c r="G95" s="913"/>
    </row>
    <row r="96" spans="1:7" x14ac:dyDescent="0.2">
      <c r="A96" s="909" t="s">
        <v>479</v>
      </c>
      <c r="B96" s="909" t="s">
        <v>178</v>
      </c>
      <c r="C96" s="911">
        <f>'Revenues 9-14'!B84</f>
        <v>1811</v>
      </c>
      <c r="D96" s="912" t="str">
        <f>'Revenues 9-14'!A84</f>
        <v>Rentals - Regular Textbooks</v>
      </c>
      <c r="E96" s="907"/>
      <c r="F96" s="1811">
        <f>'Revenues 9-14'!C84</f>
        <v>34598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1150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88428</v>
      </c>
      <c r="G104" s="913"/>
    </row>
    <row r="105" spans="1:7" x14ac:dyDescent="0.2">
      <c r="A105" s="909" t="s">
        <v>524</v>
      </c>
      <c r="B105" s="909" t="s">
        <v>842</v>
      </c>
      <c r="C105" s="914">
        <v>3100</v>
      </c>
      <c r="D105" s="920" t="str">
        <f>'Revenues 9-14'!A131</f>
        <v>Total Special Education</v>
      </c>
      <c r="E105" s="907"/>
      <c r="F105" s="1811">
        <f>SUM('Revenues 9-14'!C131:D131,'Revenues 9-14'!F131)</f>
        <v>440404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53507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2867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19327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404509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2005</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373191</v>
      </c>
      <c r="G129" s="931"/>
    </row>
    <row r="130" spans="1:7" x14ac:dyDescent="0.2">
      <c r="A130" s="928" t="s">
        <v>689</v>
      </c>
      <c r="B130" s="928" t="s">
        <v>804</v>
      </c>
      <c r="C130" s="933">
        <v>4300</v>
      </c>
      <c r="D130" s="934" t="str">
        <f>'Revenues 9-14'!A211</f>
        <v>Total Title I</v>
      </c>
      <c r="E130" s="907"/>
      <c r="F130" s="1811">
        <f>SUM('Revenues 9-14'!C211,'Revenues 9-14'!D211,'Revenues 9-14'!F211,'Revenues 9-14'!G211)</f>
        <v>474103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2294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30930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140774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2241101</v>
      </c>
    </row>
    <row r="179" spans="1:7" ht="12" customHeight="1" x14ac:dyDescent="0.2">
      <c r="A179" s="1792"/>
      <c r="B179" s="1806"/>
      <c r="C179" s="1807"/>
      <c r="D179" s="1808" t="s">
        <v>2013</v>
      </c>
      <c r="E179" s="1809"/>
      <c r="F179" s="1811">
        <f>'PCTC-OEPP 27-28'!F77-F178</f>
        <v>11239550</v>
      </c>
    </row>
    <row r="180" spans="1:7" ht="12" customHeight="1" x14ac:dyDescent="0.2">
      <c r="A180" s="1792"/>
      <c r="B180" s="1806"/>
      <c r="C180" s="1807"/>
      <c r="D180" s="1808" t="s">
        <v>1923</v>
      </c>
      <c r="E180" s="1809"/>
      <c r="F180" s="1811">
        <f>'Cap Outlay Deprec 26'!I18</f>
        <v>498652</v>
      </c>
    </row>
    <row r="181" spans="1:7" ht="12" customHeight="1" x14ac:dyDescent="0.2">
      <c r="A181" s="1792"/>
      <c r="B181" s="1806"/>
      <c r="C181" s="1807"/>
      <c r="D181" s="1808" t="s">
        <v>2014</v>
      </c>
      <c r="E181" s="1809"/>
      <c r="F181" s="1811">
        <f>F179+F180</f>
        <v>11738202</v>
      </c>
    </row>
    <row r="182" spans="1:7" ht="12" customHeight="1" x14ac:dyDescent="0.2">
      <c r="A182" s="1792"/>
      <c r="B182" s="1812"/>
      <c r="C182" s="1807"/>
      <c r="D182" s="1808" t="str">
        <f>D78</f>
        <v>9 Month ADA from District Average Daily Attendance/Prior General State Aid Inquiry 2017-2018</v>
      </c>
      <c r="E182" s="1809"/>
      <c r="F182" s="1813">
        <f>'PCTC-OEPP 27-28'!F78</f>
        <v>1385.48</v>
      </c>
      <c r="G182" s="931"/>
    </row>
    <row r="183" spans="1:7" ht="12" customHeight="1" thickBot="1" x14ac:dyDescent="0.25">
      <c r="A183" s="1792"/>
      <c r="B183" s="1812"/>
      <c r="C183" s="1807"/>
      <c r="D183" s="1808" t="s">
        <v>2015</v>
      </c>
      <c r="E183" s="1809" t="s">
        <v>1626</v>
      </c>
      <c r="F183" s="1814">
        <f>F181/F182</f>
        <v>8472.2998527586115</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8" sqref="A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1924</v>
      </c>
      <c r="B4" s="2291"/>
      <c r="C4" s="2291"/>
      <c r="D4" s="2291"/>
      <c r="E4" s="2291"/>
      <c r="F4" s="2291"/>
      <c r="G4" s="2292"/>
    </row>
    <row r="5" spans="1:7" x14ac:dyDescent="0.25">
      <c r="A5" s="2293"/>
      <c r="B5" s="2294"/>
      <c r="C5" s="2294"/>
      <c r="D5" s="2294"/>
      <c r="E5" s="2294"/>
      <c r="F5" s="2294"/>
      <c r="G5" s="2295"/>
    </row>
    <row r="6" spans="1:7" ht="18.75" x14ac:dyDescent="0.25">
      <c r="A6" s="1556" t="s">
        <v>1925</v>
      </c>
      <c r="B6" s="1557"/>
      <c r="C6" s="1557"/>
      <c r="D6" s="1557"/>
      <c r="E6" s="1557"/>
      <c r="F6" s="1557"/>
      <c r="G6" s="1558"/>
    </row>
    <row r="7" spans="1:7" ht="30.75" customHeight="1" x14ac:dyDescent="0.25">
      <c r="A7" s="2296" t="s">
        <v>2072</v>
      </c>
      <c r="B7" s="2297"/>
      <c r="C7" s="2297"/>
      <c r="D7" s="2297"/>
      <c r="E7" s="2297"/>
      <c r="F7" s="2297"/>
      <c r="G7" s="2298"/>
    </row>
    <row r="8" spans="1:7" ht="15.75" customHeight="1" x14ac:dyDescent="0.25">
      <c r="A8" s="2299" t="s">
        <v>2021</v>
      </c>
      <c r="B8" s="2300"/>
      <c r="C8" s="2300"/>
      <c r="D8" s="2300"/>
      <c r="E8" s="2300"/>
      <c r="F8" s="2300"/>
      <c r="G8" s="2301"/>
    </row>
    <row r="9" spans="1:7" ht="35.25" customHeight="1" x14ac:dyDescent="0.25">
      <c r="A9" s="2296" t="s">
        <v>2075</v>
      </c>
      <c r="B9" s="2297"/>
      <c r="C9" s="2297"/>
      <c r="D9" s="2297"/>
      <c r="E9" s="2297"/>
      <c r="F9" s="2297"/>
      <c r="G9" s="2298"/>
    </row>
    <row r="10" spans="1:7" ht="15" customHeight="1" x14ac:dyDescent="0.25">
      <c r="A10" s="1559" t="s">
        <v>1926</v>
      </c>
      <c r="B10" s="1560"/>
      <c r="C10" s="1560"/>
      <c r="D10" s="1560"/>
      <c r="E10" s="1560"/>
      <c r="F10" s="1560"/>
      <c r="G10" s="1561"/>
    </row>
    <row r="11" spans="1:7" ht="17.25" customHeight="1" x14ac:dyDescent="0.25">
      <c r="A11" s="2296" t="s">
        <v>2074</v>
      </c>
      <c r="B11" s="2297"/>
      <c r="C11" s="2297"/>
      <c r="D11" s="2297"/>
      <c r="E11" s="2297"/>
      <c r="F11" s="2297"/>
      <c r="G11" s="2298"/>
    </row>
    <row r="12" spans="1:7" ht="15" customHeight="1" x14ac:dyDescent="0.25">
      <c r="A12" s="1559" t="s">
        <v>1931</v>
      </c>
      <c r="B12" s="1560"/>
      <c r="C12" s="1560"/>
      <c r="D12" s="1560"/>
      <c r="E12" s="1560"/>
      <c r="F12" s="1560"/>
      <c r="G12" s="1561"/>
    </row>
    <row r="13" spans="1:7" ht="32.25" customHeight="1" x14ac:dyDescent="0.25">
      <c r="A13" s="2287" t="s">
        <v>1932</v>
      </c>
      <c r="B13" s="2288"/>
      <c r="C13" s="2288"/>
      <c r="D13" s="2288"/>
      <c r="E13" s="2288"/>
      <c r="F13" s="2288"/>
      <c r="G13" s="2289"/>
    </row>
    <row r="14" spans="1:7" x14ac:dyDescent="0.25">
      <c r="A14" s="1683" t="s">
        <v>1940</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2126</v>
      </c>
      <c r="B17" s="1960" t="s">
        <v>2121</v>
      </c>
      <c r="C17" s="1958" t="s">
        <v>2122</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956"/>
      <c r="B116" s="1957"/>
      <c r="C116" s="1958"/>
      <c r="D116" s="1959"/>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1777</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7" t="s">
        <v>1943</v>
      </c>
      <c r="B11" s="2308"/>
      <c r="C11" s="2308"/>
      <c r="D11" s="230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8278942</v>
      </c>
      <c r="F19" s="1822"/>
      <c r="G19" s="1824">
        <f>'Expenditures 15-22'!K33-SUM('Expenditures 15-22'!G33,'Expenditures 15-22'!I33)+'Expenditures 15-22'!D229</f>
        <v>8278942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782329</v>
      </c>
      <c r="F21" s="1825"/>
      <c r="G21" s="1828">
        <f>'Expenditures 15-22'!K42-SUM('Expenditures 15-22'!G42,'Expenditures 15-22'!I42)+'Expenditures 15-22'!K120-SUM('Expenditures 15-22'!G120,'Expenditures 15-22'!I120)+'Expenditures 15-22'!K180-SUM('Expenditures 15-22'!G180,'Expenditures 15-22'!I180)+'Expenditures 15-22'!D238</f>
        <v>782329</v>
      </c>
      <c r="H21" s="988"/>
      <c r="I21" s="162"/>
    </row>
    <row r="22" spans="1:9" s="669" customFormat="1" ht="12" customHeight="1" x14ac:dyDescent="0.2">
      <c r="A22" s="995" t="s">
        <v>585</v>
      </c>
      <c r="B22" s="996"/>
      <c r="C22" s="994">
        <v>2200</v>
      </c>
      <c r="D22" s="1825"/>
      <c r="E22" s="1827">
        <f>'Expenditures 15-22'!K47-SUM('Expenditures 15-22'!G47,'Expenditures 15-22'!I47)+'Expenditures 15-22'!D243</f>
        <v>163373</v>
      </c>
      <c r="F22" s="1825"/>
      <c r="G22" s="1828">
        <f>'Expenditures 15-22'!K47-SUM('Expenditures 15-22'!G47,'Expenditures 15-22'!I47)+'Expenditures 15-22'!D243</f>
        <v>163373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747631</v>
      </c>
      <c r="F23" s="1825"/>
      <c r="G23" s="1827">
        <f>'Expenditures 15-22'!K53-SUM('Expenditures 15-22'!G53,'Expenditures 15-22'!I53)+'Expenditures 15-22'!D257+'Expenditures 15-22'!K330-SUM('Expenditures 15-22'!G330,'Expenditures 15-22'!I330)</f>
        <v>747631</v>
      </c>
      <c r="H23" s="988"/>
      <c r="I23" s="162"/>
    </row>
    <row r="24" spans="1:9" s="669" customFormat="1" ht="12" customHeight="1" x14ac:dyDescent="0.2">
      <c r="A24" s="995" t="s">
        <v>587</v>
      </c>
      <c r="B24" s="996"/>
      <c r="C24" s="994">
        <v>2400</v>
      </c>
      <c r="D24" s="1825"/>
      <c r="E24" s="1827">
        <f>'Expenditures 15-22'!K57-SUM('Expenditures 15-22'!G57,'Expenditures 15-22'!I57)+'Expenditures 15-22'!D261</f>
        <v>566609</v>
      </c>
      <c r="F24" s="1825"/>
      <c r="G24" s="1828">
        <f>'Expenditures 15-22'!K57-SUM('Expenditures 15-22'!G57,'Expenditures 15-22'!I57)+'Expenditures 15-22'!D261</f>
        <v>566609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2110682</v>
      </c>
      <c r="F28" s="1829">
        <f>'Expenditures 15-22'!K61-SUM('Expenditures 15-22'!G61,'Expenditures 15-22'!I61)+'Expenditures 15-22'!K124-SUM('Expenditures 15-22'!G124,'Expenditures 15-22'!I124)+'Expenditures 15-22'!D266-E9</f>
        <v>2110682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541407</v>
      </c>
      <c r="F29" s="1825"/>
      <c r="G29" s="1828">
        <f>'Expenditures 15-22'!K62-SUM('Expenditures 15-22'!G62,'Expenditures 15-22'!I62)+'Expenditures 15-22'!K125-SUM('Expenditures 15-22'!G125,'Expenditures 15-22'!I125)+'Expenditures 15-22'!K182-SUM('Expenditures 15-22'!G182,'Expenditures 15-22'!I182)+'Expenditures 15-22'!D267</f>
        <v>541407</v>
      </c>
      <c r="H29" s="986"/>
    </row>
    <row r="30" spans="1:9" ht="12" customHeight="1" x14ac:dyDescent="0.2">
      <c r="A30" s="995" t="s">
        <v>102</v>
      </c>
      <c r="B30" s="998"/>
      <c r="C30" s="994">
        <v>2560</v>
      </c>
      <c r="D30" s="1825"/>
      <c r="E30" s="1827">
        <f>'Expenditures 15-22'!K63-SUM('Expenditures 15-22'!G63,'Expenditures 15-22'!I63)+'Expenditures 15-22'!D268-E10</f>
        <v>370510</v>
      </c>
      <c r="F30" s="1825"/>
      <c r="G30" s="1827">
        <f>'Expenditures 15-22'!K63-SUM('Expenditures 15-22'!G63,'Expenditures 15-22'!I63)+'Expenditures 15-22'!D268-E10</f>
        <v>370510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85035</v>
      </c>
      <c r="F34" s="1825"/>
      <c r="G34" s="1827">
        <f>'Expenditures 15-22'!K68-SUM('Expenditures 15-22'!G68,'Expenditures 15-22'!I68)+'Expenditures 15-22'!D273</f>
        <v>85035</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4100</v>
      </c>
      <c r="E37" s="1827">
        <f>E14</f>
        <v>0</v>
      </c>
      <c r="F37" s="1827">
        <f>'Expenditures 15-22'!K71-SUM('Expenditures 15-22'!G71,'Expenditures 15-22'!I71)+'Expenditures 15-22'!D276-E14</f>
        <v>4100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59620</v>
      </c>
      <c r="F38" s="1825"/>
      <c r="G38" s="1827">
        <f>'Expenditures 15-22'!K73-SUM('Expenditures 15-22'!G73,'Expenditures 15-22'!I73)+'Expenditures 15-22'!K128-SUM('Expenditures 15-22'!G128,'Expenditures 15-22'!I128)+'Expenditures 15-22'!K183-SUM('Expenditures 15-22'!G183,'Expenditures 15-22'!I183)+'Expenditures 15-22'!D278</f>
        <v>59620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142735</v>
      </c>
      <c r="F39" s="1825"/>
      <c r="G39" s="1827">
        <f>'Expenditures 15-22'!K75-SUM('Expenditures 15-22'!G75,'Expenditures 15-22'!I75)+'Expenditures 15-22'!K130-SUM('Expenditures 15-22'!G130,'Expenditures 15-22'!I130)+'Expenditures 15-22'!K185-SUM('Expenditures 15-22'!G185,'Expenditures 15-22'!I185)+'Expenditures 15-22'!D280</f>
        <v>142735</v>
      </c>
    </row>
    <row r="40" spans="1:7" ht="12" customHeight="1" x14ac:dyDescent="0.2">
      <c r="A40" s="991" t="s">
        <v>1929</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4100</v>
      </c>
      <c r="E41" s="1829">
        <f>SUM(E19:E40)</f>
        <v>13848873</v>
      </c>
      <c r="F41" s="1829">
        <f>SUM(F19:F39)</f>
        <v>2114782</v>
      </c>
      <c r="G41" s="1829">
        <f>SUM(G19:G40)</f>
        <v>11738191</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4100</v>
      </c>
      <c r="F43" s="1830" t="s">
        <v>495</v>
      </c>
      <c r="G43" s="1831">
        <f>F41</f>
        <v>2114782</v>
      </c>
    </row>
    <row r="44" spans="1:7" ht="12" customHeight="1" x14ac:dyDescent="0.2">
      <c r="A44" s="988"/>
      <c r="B44" s="162"/>
      <c r="C44" s="1002"/>
      <c r="D44" s="1830" t="s">
        <v>494</v>
      </c>
      <c r="E44" s="1831">
        <f>E41</f>
        <v>13848873</v>
      </c>
      <c r="F44" s="1830" t="s">
        <v>494</v>
      </c>
      <c r="G44" s="1831">
        <f>G41</f>
        <v>11738191</v>
      </c>
    </row>
    <row r="45" spans="1:7" ht="12" customHeight="1" x14ac:dyDescent="0.2">
      <c r="A45" s="988"/>
      <c r="B45" s="162"/>
      <c r="C45" s="162"/>
      <c r="D45" s="1832" t="s">
        <v>1063</v>
      </c>
      <c r="E45" s="1833">
        <f>(E43/E44)</f>
        <v>2.9605297124177542E-4</v>
      </c>
      <c r="F45" s="1832" t="s">
        <v>1063</v>
      </c>
      <c r="G45" s="1833">
        <f>(G43/G44)</f>
        <v>0.18016251396829375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5" activePane="bottomLeft" state="frozen"/>
      <selection activeCell="A47" sqref="A47"/>
      <selection pane="bottomLeft" activeCell="F33" sqref="F3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3" t="s">
        <v>1446</v>
      </c>
      <c r="B1" s="2313"/>
      <c r="C1" s="2313"/>
      <c r="D1" s="2313"/>
      <c r="E1" s="2313"/>
      <c r="F1" s="2313"/>
    </row>
    <row r="2" spans="1:10" x14ac:dyDescent="0.2">
      <c r="A2" s="1912" t="s">
        <v>2045</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4" t="s">
        <v>1627</v>
      </c>
      <c r="B5" s="2315"/>
      <c r="C5" s="2316"/>
      <c r="D5" s="2316"/>
      <c r="E5" s="2316"/>
      <c r="F5" s="2316"/>
    </row>
    <row r="6" spans="1:10" ht="12" customHeight="1" x14ac:dyDescent="0.25">
      <c r="A6" s="1875"/>
      <c r="B6" s="1876"/>
      <c r="C6" s="2317" t="str">
        <f>COVER!A17</f>
        <v>Wabash CUSD #348</v>
      </c>
      <c r="D6" s="2317"/>
      <c r="E6" s="2317"/>
      <c r="F6" s="1877"/>
    </row>
    <row r="7" spans="1:10" ht="11.25" customHeight="1" thickBot="1" x14ac:dyDescent="0.3">
      <c r="A7" s="1875"/>
      <c r="B7" s="1876"/>
      <c r="C7" s="2318" t="str">
        <f>COVER!A13</f>
        <v>20-093-3480-26</v>
      </c>
      <c r="D7" s="2318"/>
      <c r="E7" s="2318"/>
      <c r="F7" s="1877"/>
    </row>
    <row r="8" spans="1:10" ht="25.5" customHeight="1" thickBot="1" x14ac:dyDescent="0.25">
      <c r="A8" s="1918" t="s">
        <v>2022</v>
      </c>
      <c r="B8" s="1878"/>
      <c r="C8" s="1914" t="s">
        <v>1779</v>
      </c>
      <c r="D8" s="1913" t="s">
        <v>1780</v>
      </c>
      <c r="E8" s="1915" t="s">
        <v>1447</v>
      </c>
      <c r="F8" s="1913" t="s">
        <v>1781</v>
      </c>
      <c r="H8" s="1879" t="b">
        <v>0</v>
      </c>
    </row>
    <row r="9" spans="1:10" ht="15.75" customHeight="1" x14ac:dyDescent="0.2">
      <c r="A9" s="1880" t="s">
        <v>1623</v>
      </c>
      <c r="B9" s="1881"/>
      <c r="C9" s="1882"/>
      <c r="D9" s="1882"/>
      <c r="E9" s="1883"/>
      <c r="F9" s="1884"/>
    </row>
    <row r="10" spans="1:10" ht="27.75" customHeight="1" x14ac:dyDescent="0.2">
      <c r="A10" s="1885" t="s">
        <v>1778</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c r="F14" s="1892"/>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t="s">
        <v>2077</v>
      </c>
      <c r="D18" s="1890" t="s">
        <v>2077</v>
      </c>
      <c r="E18" s="1893"/>
      <c r="F18" s="1892"/>
      <c r="H18" s="1903">
        <f t="shared" si="0"/>
        <v>5</v>
      </c>
      <c r="I18" s="1903">
        <f t="shared" si="1"/>
        <v>5</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2077</v>
      </c>
      <c r="D33" s="1890" t="s">
        <v>2077</v>
      </c>
      <c r="E33" s="1893"/>
      <c r="F33" s="1892" t="s">
        <v>2106</v>
      </c>
      <c r="H33" s="1903">
        <f t="shared" si="0"/>
        <v>5</v>
      </c>
      <c r="I33" s="1903">
        <f t="shared" si="1"/>
        <v>5</v>
      </c>
      <c r="J33" s="1903">
        <f t="shared" si="2"/>
        <v>0</v>
      </c>
    </row>
    <row r="34" spans="1:11" ht="12" customHeight="1" x14ac:dyDescent="0.25">
      <c r="A34" s="1895"/>
      <c r="B34" s="1895"/>
      <c r="C34" s="1895"/>
      <c r="D34" s="1895"/>
      <c r="E34" s="1895"/>
      <c r="F34" s="1895"/>
      <c r="H34" s="1903">
        <f>SUM(H11:H32)</f>
        <v>20</v>
      </c>
      <c r="I34" s="1903">
        <f>SUM(I11:I32)</f>
        <v>20</v>
      </c>
      <c r="J34" s="1903">
        <f>SUM(J11:J32)</f>
        <v>0</v>
      </c>
      <c r="K34" s="1903">
        <f>SUM(H34:J34)</f>
        <v>40</v>
      </c>
    </row>
    <row r="35" spans="1:11" ht="12" customHeight="1" x14ac:dyDescent="0.2">
      <c r="A35" s="1896" t="s">
        <v>1459</v>
      </c>
      <c r="B35" s="1897"/>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8"/>
      <c r="B39" s="1898"/>
      <c r="C39" s="1898"/>
      <c r="D39" s="1898"/>
      <c r="E39" s="1898"/>
      <c r="F39" s="1898"/>
    </row>
    <row r="40" spans="1:11" s="1895" customFormat="1" ht="12" customHeight="1" x14ac:dyDescent="0.25">
      <c r="A40" s="1899" t="s">
        <v>1458</v>
      </c>
      <c r="B40" s="1900"/>
      <c r="C40" s="2327"/>
      <c r="D40" s="2327"/>
      <c r="E40" s="2327"/>
      <c r="F40" s="2328"/>
      <c r="H40" s="1904"/>
      <c r="I40" s="1904"/>
      <c r="J40" s="1904"/>
      <c r="K40" s="1904"/>
    </row>
    <row r="41" spans="1:11" s="1895" customFormat="1" ht="12" customHeight="1" x14ac:dyDescent="0.25">
      <c r="A41" s="2329"/>
      <c r="B41" s="2330"/>
      <c r="C41" s="2330"/>
      <c r="D41" s="2330"/>
      <c r="E41" s="2330"/>
      <c r="F41" s="2331"/>
      <c r="H41" s="1904"/>
      <c r="I41" s="1904"/>
      <c r="J41" s="1904"/>
      <c r="K41" s="1904"/>
    </row>
    <row r="42" spans="1:11" s="1895" customFormat="1" ht="12" customHeight="1" x14ac:dyDescent="0.25">
      <c r="A42" s="2329"/>
      <c r="B42" s="2330"/>
      <c r="C42" s="2330"/>
      <c r="D42" s="2330"/>
      <c r="E42" s="2330"/>
      <c r="F42" s="2331"/>
      <c r="H42" s="1904"/>
      <c r="I42" s="1904"/>
      <c r="J42" s="1904"/>
      <c r="K42" s="1904"/>
    </row>
    <row r="43" spans="1:11" s="1895" customFormat="1" ht="15" x14ac:dyDescent="0.25">
      <c r="A43" s="2321"/>
      <c r="B43" s="2322"/>
      <c r="C43" s="2322"/>
      <c r="D43" s="2322"/>
      <c r="E43" s="2322"/>
      <c r="F43" s="2323"/>
      <c r="H43" s="1904"/>
      <c r="I43" s="1904"/>
      <c r="J43" s="1904"/>
      <c r="K43" s="1904"/>
    </row>
    <row r="44" spans="1:11" s="1895" customFormat="1" ht="12" hidden="1" customHeight="1" x14ac:dyDescent="0.25">
      <c r="A44" s="2321"/>
      <c r="B44" s="2322"/>
      <c r="C44" s="2322"/>
      <c r="D44" s="2322"/>
      <c r="E44" s="2322"/>
      <c r="F44" s="2323"/>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37"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Wabash CUSD #348</v>
      </c>
      <c r="J6" s="2338"/>
      <c r="Q6" s="1686"/>
    </row>
    <row r="7" spans="1:17" x14ac:dyDescent="0.2">
      <c r="A7" s="2339" t="s">
        <v>924</v>
      </c>
      <c r="B7" s="2340"/>
      <c r="C7" s="2340"/>
      <c r="D7" s="2340"/>
      <c r="E7" s="2341"/>
      <c r="F7" s="1018"/>
      <c r="G7" s="1010"/>
      <c r="H7" s="1017" t="s">
        <v>390</v>
      </c>
      <c r="I7" s="2342" t="str">
        <f>COVER!A13</f>
        <v>20-093-3480-26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353007</v>
      </c>
      <c r="F12" s="1040"/>
      <c r="G12" s="1834">
        <f t="shared" ref="G12:G18" si="0">SUM(E12:F12)</f>
        <v>353007</v>
      </c>
      <c r="H12" s="1041">
        <v>361346</v>
      </c>
      <c r="I12" s="1040"/>
      <c r="J12" s="1834">
        <f t="shared" ref="J12:J18" si="1">SUM(H12:I12)</f>
        <v>361346</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353007</v>
      </c>
      <c r="F19" s="1836">
        <f t="shared" si="2"/>
        <v>0</v>
      </c>
      <c r="G19" s="1836">
        <f t="shared" si="2"/>
        <v>353007</v>
      </c>
      <c r="H19" s="1836">
        <f t="shared" si="2"/>
        <v>361346</v>
      </c>
      <c r="I19" s="1836">
        <f t="shared" si="2"/>
        <v>0</v>
      </c>
      <c r="J19" s="1836">
        <f t="shared" si="2"/>
        <v>361346</v>
      </c>
    </row>
    <row r="20" spans="1:10" ht="13.5" thickTop="1" x14ac:dyDescent="0.2">
      <c r="A20" s="1036">
        <v>9</v>
      </c>
      <c r="B20" s="2349" t="s">
        <v>1702</v>
      </c>
      <c r="C20" s="2349"/>
      <c r="D20" s="2350"/>
      <c r="E20" s="1047"/>
      <c r="F20" s="1047"/>
      <c r="G20" s="1047"/>
      <c r="H20" s="1047"/>
      <c r="I20" s="1047"/>
      <c r="J20" s="1837">
        <f>IF(AND(G19&gt;0,J19&gt;0),(((J19-G19)/G19)),"Enter Budget Data")</f>
        <v>2.3622761021736112E-2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1942</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Wabash CUSD #348</v>
      </c>
    </row>
    <row r="65" spans="2:2" x14ac:dyDescent="0.2">
      <c r="B65" s="1071" t="str">
        <f>COVER!A13</f>
        <v>20-093-3480-26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1707</v>
      </c>
    </row>
    <row r="22" spans="1:5" x14ac:dyDescent="0.2">
      <c r="A22" s="168"/>
      <c r="B22" s="162" t="s">
        <v>1966</v>
      </c>
      <c r="C22" s="162" t="s">
        <v>1231</v>
      </c>
      <c r="D22" s="167" t="s">
        <v>1968</v>
      </c>
      <c r="E22" s="1859" t="s">
        <v>1708</v>
      </c>
    </row>
    <row r="23" spans="1:5" x14ac:dyDescent="0.2">
      <c r="A23" s="168"/>
      <c r="B23" s="162" t="s">
        <v>1967</v>
      </c>
      <c r="D23" s="167" t="s">
        <v>658</v>
      </c>
      <c r="E23" s="1859" t="s">
        <v>1016</v>
      </c>
    </row>
    <row r="24" spans="1:5" x14ac:dyDescent="0.2">
      <c r="A24" s="168" t="s">
        <v>1706</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1705</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6" t="s">
        <v>1783</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104775</xdr:colOff>
                <xdr:row>0</xdr:row>
                <xdr:rowOff>142875</xdr:rowOff>
              </from>
              <to>
                <xdr:col>1</xdr:col>
                <xdr:colOff>1019175</xdr:colOff>
                <xdr:row>5</xdr:row>
                <xdr:rowOff>104775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F10" sqref="F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1789</v>
      </c>
      <c r="B1" s="2358"/>
      <c r="C1" s="2358"/>
      <c r="D1" s="2358"/>
      <c r="E1" s="2358"/>
      <c r="F1" s="2359"/>
    </row>
    <row r="2" spans="1:8" ht="45" customHeight="1" x14ac:dyDescent="0.2">
      <c r="A2" s="2367" t="s">
        <v>1790</v>
      </c>
      <c r="B2" s="2368"/>
      <c r="C2" s="2368"/>
      <c r="D2" s="2368"/>
      <c r="E2" s="2368"/>
      <c r="F2" s="2369"/>
      <c r="G2" s="1075"/>
      <c r="H2" s="1075"/>
    </row>
    <row r="3" spans="1:8" ht="57" customHeight="1" x14ac:dyDescent="0.2">
      <c r="A3" s="2370" t="s">
        <v>1785</v>
      </c>
      <c r="B3" s="2371"/>
      <c r="C3" s="2371"/>
      <c r="D3" s="2371"/>
      <c r="E3" s="2371"/>
      <c r="F3" s="2372"/>
      <c r="G3" s="1075"/>
      <c r="H3" s="1075"/>
    </row>
    <row r="4" spans="1:8" ht="14.25" customHeight="1" x14ac:dyDescent="0.2">
      <c r="A4" s="2376" t="s">
        <v>2053</v>
      </c>
      <c r="B4" s="2377"/>
      <c r="C4" s="2377"/>
      <c r="D4" s="2377"/>
      <c r="E4" s="2377"/>
      <c r="F4" s="2378"/>
      <c r="G4" s="1075"/>
      <c r="H4" s="1075"/>
    </row>
    <row r="5" spans="1:8" ht="14.25" customHeight="1" x14ac:dyDescent="0.2">
      <c r="A5" s="2379" t="s">
        <v>2054</v>
      </c>
      <c r="B5" s="2380"/>
      <c r="C5" s="2380"/>
      <c r="D5" s="2380"/>
      <c r="E5" s="2380"/>
      <c r="F5" s="2381"/>
      <c r="G5" s="1075"/>
      <c r="H5" s="1075"/>
    </row>
    <row r="6" spans="1:8" s="1076" customFormat="1" ht="41.25" customHeight="1" x14ac:dyDescent="0.2">
      <c r="A6" s="2373" t="s">
        <v>1791</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10863572</v>
      </c>
      <c r="C8" s="1838">
        <f>'Acct Summary 7-8'!D8</f>
        <v>1054574</v>
      </c>
      <c r="D8" s="1838">
        <f>'Acct Summary 7-8'!F8</f>
        <v>699371</v>
      </c>
      <c r="E8" s="1838">
        <f>'Acct Summary 7-8'!I8</f>
        <v>68319</v>
      </c>
      <c r="F8" s="1838">
        <f>SUM(B8:E8)</f>
        <v>12685836</v>
      </c>
    </row>
    <row r="9" spans="1:8" s="1080" customFormat="1" ht="14.25" customHeight="1" thickBot="1" x14ac:dyDescent="0.25">
      <c r="A9" s="1079" t="s">
        <v>1436</v>
      </c>
      <c r="B9" s="1839">
        <f>'Acct Summary 7-8'!C17</f>
        <v>10937296</v>
      </c>
      <c r="C9" s="1839">
        <f>'Acct Summary 7-8'!D17</f>
        <v>1986136</v>
      </c>
      <c r="D9" s="1839">
        <f>'Acct Summary 7-8'!F17</f>
        <v>787081</v>
      </c>
      <c r="E9" s="1838"/>
      <c r="F9" s="1838">
        <f>SUM(B9:E9)</f>
        <v>13710513</v>
      </c>
    </row>
    <row r="10" spans="1:8" s="1080" customFormat="1" ht="14.25" thickTop="1" thickBot="1" x14ac:dyDescent="0.25">
      <c r="A10" s="1081" t="s">
        <v>1437</v>
      </c>
      <c r="B10" s="1840">
        <f>(B8-B9)</f>
        <v>-73724</v>
      </c>
      <c r="C10" s="1840">
        <f>(C8-C9)</f>
        <v>-931562</v>
      </c>
      <c r="D10" s="1840">
        <f>(D8-D9)</f>
        <v>-87710</v>
      </c>
      <c r="E10" s="1839">
        <f>(E8-E9)</f>
        <v>68319</v>
      </c>
      <c r="F10" s="1841">
        <f>SUM(F8-F9)</f>
        <v>-1024677</v>
      </c>
    </row>
    <row r="11" spans="1:8" s="1080" customFormat="1" ht="14.25" thickTop="1" thickBot="1" x14ac:dyDescent="0.25">
      <c r="A11" s="1082" t="s">
        <v>1784</v>
      </c>
      <c r="B11" s="1842">
        <f>'Acct Summary 7-8'!C81</f>
        <v>295910</v>
      </c>
      <c r="C11" s="1842">
        <f>'Acct Summary 7-8'!D81</f>
        <v>319244</v>
      </c>
      <c r="D11" s="1842">
        <f>'Acct Summary 7-8'!F81</f>
        <v>31701</v>
      </c>
      <c r="E11" s="1842">
        <f>'Acct Summary 7-8'!I81</f>
        <v>2671397</v>
      </c>
      <c r="F11" s="1843">
        <f>SUM(B11:E11)</f>
        <v>3318252</v>
      </c>
    </row>
    <row r="12" spans="1:8" ht="16.5" customHeight="1" thickTop="1" x14ac:dyDescent="0.2">
      <c r="A12" s="1083"/>
      <c r="B12" s="1084"/>
      <c r="C12" s="2361" t="str">
        <f>IF(AND(F10&lt;0,F11&gt;=0,ABS(F10*3)&gt;ABS(F11)),A16,IF(AND(F10&lt;0,F11&gt;0,ABS(F10*3)&lt;=ABS(F11)),A17,IF(AND(F10&lt;0,F11&lt;0),A16,IF(F11=0,A19,A18))))</f>
        <v>Unbalanced -  however, a deficit reduction plan is not required at this time.</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1786</v>
      </c>
      <c r="B16" s="2360"/>
      <c r="C16" s="2360"/>
      <c r="D16" s="2360"/>
      <c r="E16" s="2360"/>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election activeCell="C70" sqref="C70:D7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15-22'!H172&lt;&gt;'Short-Term Long-Term Debt 24'!H49,"ERROR!","OK")</f>
        <v>OK</v>
      </c>
    </row>
    <row r="70" spans="1:4" x14ac:dyDescent="0.2">
      <c r="A70" s="1099"/>
      <c r="B70" s="1121">
        <f>B66+1</f>
        <v>9</v>
      </c>
      <c r="C70" s="2391" t="s">
        <v>1796</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20-093-3480-26</v>
      </c>
    </row>
    <row r="3" spans="1:2" x14ac:dyDescent="0.2">
      <c r="A3" t="s">
        <v>1013</v>
      </c>
      <c r="B3" s="138" t="str">
        <f>COVER!A15</f>
        <v>Wabash</v>
      </c>
    </row>
    <row r="4" spans="1:2" x14ac:dyDescent="0.2">
      <c r="A4" t="s">
        <v>1064</v>
      </c>
      <c r="B4" s="138" t="str">
        <f>COVER!A17</f>
        <v>Wabash CUSD #348</v>
      </c>
    </row>
    <row r="5" spans="1:2" x14ac:dyDescent="0.2">
      <c r="A5" t="s">
        <v>728</v>
      </c>
      <c r="B5" s="138" t="str">
        <f>COVER!A38</f>
        <v>Charles Bleyer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65-016025</v>
      </c>
    </row>
    <row r="16" spans="1:2" x14ac:dyDescent="0.2">
      <c r="A16" t="s">
        <v>442</v>
      </c>
      <c r="B16" s="138" t="str">
        <f>COVER!T13</f>
        <v>Watler Accounting, CPA, PC</v>
      </c>
    </row>
    <row r="17" spans="1:2" x14ac:dyDescent="0.2">
      <c r="A17" t="s">
        <v>939</v>
      </c>
      <c r="B17" s="138" t="str">
        <f>COVER!T15</f>
        <v>Janet L. Storey, CPA</v>
      </c>
    </row>
    <row r="18" spans="1:2" x14ac:dyDescent="0.2">
      <c r="A18" t="s">
        <v>1212</v>
      </c>
      <c r="B18" s="138" t="str">
        <f>COVER!T17</f>
        <v>528 N. Market St.</v>
      </c>
    </row>
    <row r="19" spans="1:2" x14ac:dyDescent="0.2">
      <c r="A19" t="s">
        <v>941</v>
      </c>
      <c r="B19" s="138" t="str">
        <f>COVER!T25</f>
        <v>jls@watler.com</v>
      </c>
    </row>
    <row r="20" spans="1:2" x14ac:dyDescent="0.2">
      <c r="A20" t="s">
        <v>942</v>
      </c>
      <c r="B20" s="138" t="str">
        <f>COVER!T19</f>
        <v>Mt. Carmel</v>
      </c>
    </row>
    <row r="21" spans="1:2" x14ac:dyDescent="0.2">
      <c r="A21" t="s">
        <v>500</v>
      </c>
      <c r="B21" s="138" t="str">
        <f>COVER!X19</f>
        <v xml:space="preserve">IL </v>
      </c>
    </row>
    <row r="22" spans="1:2" x14ac:dyDescent="0.2">
      <c r="A22" t="s">
        <v>943</v>
      </c>
      <c r="B22" s="138">
        <f>COVER!Z19</f>
        <v>62863</v>
      </c>
    </row>
    <row r="23" spans="1:2" x14ac:dyDescent="0.2">
      <c r="A23" t="s">
        <v>1214</v>
      </c>
      <c r="B23" s="138" t="str">
        <f>COVER!T21</f>
        <v>618-262-5446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2472775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3616602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v>
      </c>
      <c r="D86" s="2" t="str">
        <f t="shared" si="0"/>
        <v>Error?</v>
      </c>
    </row>
    <row r="87" spans="1:4" x14ac:dyDescent="0.2">
      <c r="A87" s="10">
        <v>26</v>
      </c>
      <c r="D87" s="2" t="str">
        <f t="shared" si="0"/>
        <v>OK</v>
      </c>
    </row>
    <row r="88" spans="1:4" x14ac:dyDescent="0.2">
      <c r="A88" s="5">
        <v>27</v>
      </c>
      <c r="B88" s="138">
        <f>'Assets-Liab 5-6'!C32</f>
        <v>2489087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3320692</v>
      </c>
      <c r="C91" s="2" t="s">
        <v>594</v>
      </c>
      <c r="D91" s="2" t="str">
        <f t="shared" si="0"/>
        <v>Error?</v>
      </c>
    </row>
    <row r="92" spans="1:4" x14ac:dyDescent="0.2">
      <c r="A92" s="5">
        <v>31</v>
      </c>
      <c r="B92" s="138">
        <f>'Assets-Liab 5-6'!C39</f>
        <v>295910</v>
      </c>
      <c r="D92" s="2" t="str">
        <f t="shared" si="0"/>
        <v>Error?</v>
      </c>
    </row>
    <row r="93" spans="1:4" x14ac:dyDescent="0.2">
      <c r="A93" s="5">
        <v>32</v>
      </c>
      <c r="B93" s="138">
        <f>'Assets-Liab 5-6'!C41</f>
        <v>3616602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640615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987837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38</v>
      </c>
      <c r="D117" s="2" t="str">
        <f t="shared" si="0"/>
        <v>Error?</v>
      </c>
    </row>
    <row r="118" spans="1:4" x14ac:dyDescent="0.2">
      <c r="A118" s="10">
        <v>57</v>
      </c>
      <c r="D118" s="2" t="str">
        <f t="shared" si="0"/>
        <v>OK</v>
      </c>
    </row>
    <row r="119" spans="1:4" x14ac:dyDescent="0.2">
      <c r="A119" s="5">
        <v>58</v>
      </c>
      <c r="B119" s="138">
        <f>'Assets-Liab 5-6'!D32</f>
        <v>640615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668593</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987837</v>
      </c>
      <c r="C124" s="2" t="s">
        <v>594</v>
      </c>
      <c r="D124" s="2" t="str">
        <f t="shared" si="0"/>
        <v>Error?</v>
      </c>
    </row>
    <row r="125" spans="1:4" x14ac:dyDescent="0.2">
      <c r="A125" s="10">
        <v>64</v>
      </c>
      <c r="D125" s="2" t="str">
        <f t="shared" si="0"/>
        <v>OK</v>
      </c>
    </row>
    <row r="126" spans="1:4" x14ac:dyDescent="0.2">
      <c r="A126" s="5">
        <v>65</v>
      </c>
      <c r="B126" s="138">
        <f>'Assets-Liab 5-6'!E6</f>
        <v>695068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745184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695068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759907</v>
      </c>
      <c r="C139" s="2" t="s">
        <v>594</v>
      </c>
      <c r="D139" s="2" t="str">
        <f t="shared" si="1"/>
        <v>Error?</v>
      </c>
    </row>
    <row r="140" spans="1:4" x14ac:dyDescent="0.2">
      <c r="A140" s="5">
        <v>79</v>
      </c>
      <c r="B140" s="138">
        <f>'Assets-Liab 5-6'!E39</f>
        <v>-14723</v>
      </c>
      <c r="D140" s="2" t="str">
        <f t="shared" si="1"/>
        <v>Error?</v>
      </c>
    </row>
    <row r="141" spans="1:4" x14ac:dyDescent="0.2">
      <c r="A141" s="5">
        <v>80</v>
      </c>
      <c r="B141" s="138">
        <f>'Assets-Liab 5-6'!E41</f>
        <v>745184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256246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441972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263</v>
      </c>
      <c r="D164" s="2" t="str">
        <f t="shared" si="1"/>
        <v>Error?</v>
      </c>
    </row>
    <row r="165" spans="1:4" x14ac:dyDescent="0.2">
      <c r="A165" s="10">
        <v>104</v>
      </c>
      <c r="D165" s="2" t="str">
        <f t="shared" si="1"/>
        <v>OK</v>
      </c>
    </row>
    <row r="166" spans="1:4" x14ac:dyDescent="0.2">
      <c r="A166" s="5">
        <v>105</v>
      </c>
      <c r="B166" s="138">
        <f>'Assets-Liab 5-6'!F32</f>
        <v>256246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410271</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441972</v>
      </c>
      <c r="C171" s="2" t="s">
        <v>594</v>
      </c>
      <c r="D171" s="2" t="str">
        <f t="shared" si="1"/>
        <v>Error?</v>
      </c>
    </row>
    <row r="172" spans="1:4" x14ac:dyDescent="0.2">
      <c r="A172" s="10">
        <v>111</v>
      </c>
      <c r="D172" s="2" t="str">
        <f t="shared" si="1"/>
        <v>OK</v>
      </c>
    </row>
    <row r="173" spans="1:4" x14ac:dyDescent="0.2">
      <c r="A173" s="5">
        <v>112</v>
      </c>
      <c r="B173" s="138">
        <f>'Assets-Liab 5-6'!G6</f>
        <v>604101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897823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604100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604100</v>
      </c>
      <c r="C188" s="2" t="s">
        <v>594</v>
      </c>
      <c r="D188" s="2" t="str">
        <f t="shared" si="1"/>
        <v>Error?</v>
      </c>
    </row>
    <row r="189" spans="1:4" x14ac:dyDescent="0.2">
      <c r="A189" s="5">
        <v>128</v>
      </c>
      <c r="B189" s="138">
        <f>'Assets-Liab 5-6'!G39</f>
        <v>293723</v>
      </c>
      <c r="D189" s="2" t="str">
        <f t="shared" si="1"/>
        <v>Error?</v>
      </c>
    </row>
    <row r="190" spans="1:4" x14ac:dyDescent="0.2">
      <c r="A190" s="5">
        <v>129</v>
      </c>
      <c r="B190" s="138">
        <f>'Assets-Liab 5-6'!G41</f>
        <v>897823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109395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109395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561879</v>
      </c>
      <c r="D273" s="2" t="str">
        <f t="shared" si="3"/>
        <v>Error?</v>
      </c>
    </row>
    <row r="274" spans="1:4" x14ac:dyDescent="0.2">
      <c r="A274" s="5">
        <v>213</v>
      </c>
      <c r="B274" s="138">
        <f>'Assets-Liab 5-6'!M17</f>
        <v>8760075</v>
      </c>
      <c r="D274" s="2" t="str">
        <f t="shared" si="3"/>
        <v>Error?</v>
      </c>
    </row>
    <row r="275" spans="1:4" x14ac:dyDescent="0.2">
      <c r="A275" s="5">
        <v>214</v>
      </c>
      <c r="B275" s="138">
        <f>'Assets-Liab 5-6'!M18</f>
        <v>66042</v>
      </c>
      <c r="D275" s="2" t="str">
        <f t="shared" si="3"/>
        <v>Error?</v>
      </c>
    </row>
    <row r="276" spans="1:4" x14ac:dyDescent="0.2">
      <c r="A276" s="5">
        <v>215</v>
      </c>
      <c r="B276" s="138">
        <f>'Assets-Liab 5-6'!M19</f>
        <v>196358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9584354</v>
      </c>
      <c r="C279" s="2" t="s">
        <v>594</v>
      </c>
      <c r="D279" s="2" t="str">
        <f t="shared" si="3"/>
        <v>Error?</v>
      </c>
    </row>
    <row r="280" spans="1:4" x14ac:dyDescent="0.2">
      <c r="A280" s="5">
        <v>219</v>
      </c>
      <c r="B280" s="138">
        <f>'Assets-Liab 5-6'!M40</f>
        <v>9584354</v>
      </c>
      <c r="D280" s="2" t="str">
        <f t="shared" si="3"/>
        <v>Error?</v>
      </c>
    </row>
    <row r="281" spans="1:4" x14ac:dyDescent="0.2">
      <c r="A281" s="5">
        <v>220</v>
      </c>
      <c r="B281" s="138">
        <f>'Assets-Liab 5-6'!M41</f>
        <v>9584354</v>
      </c>
      <c r="C281" s="2" t="s">
        <v>594</v>
      </c>
      <c r="D281" s="2" t="str">
        <f t="shared" si="3"/>
        <v>Error?</v>
      </c>
    </row>
    <row r="282" spans="1:4" x14ac:dyDescent="0.2">
      <c r="A282" s="5">
        <v>221</v>
      </c>
      <c r="B282" s="138">
        <f>'Assets-Liab 5-6'!N21</f>
        <v>4354252</v>
      </c>
      <c r="D282" s="2" t="str">
        <f t="shared" si="3"/>
        <v>Error?</v>
      </c>
    </row>
    <row r="283" spans="1:4" x14ac:dyDescent="0.2">
      <c r="A283" s="5">
        <v>222</v>
      </c>
      <c r="B283" s="138">
        <f>'Assets-Liab 5-6'!N22</f>
        <v>0</v>
      </c>
      <c r="D283" s="2" t="str">
        <f t="shared" si="3"/>
        <v>Error?</v>
      </c>
    </row>
    <row r="284" spans="1:4" x14ac:dyDescent="0.2">
      <c r="A284" s="5">
        <v>223</v>
      </c>
      <c r="B284" s="138">
        <f>'Assets-Liab 5-6'!N23</f>
        <v>4354252</v>
      </c>
      <c r="C284" s="2" t="s">
        <v>594</v>
      </c>
      <c r="D284" s="2" t="str">
        <f t="shared" si="3"/>
        <v>Error?</v>
      </c>
    </row>
    <row r="285" spans="1:4" x14ac:dyDescent="0.2">
      <c r="A285" s="5">
        <v>224</v>
      </c>
      <c r="B285" s="138">
        <f>'Assets-Liab 5-6'!N36</f>
        <v>4354252</v>
      </c>
      <c r="D285" s="2" t="str">
        <f t="shared" si="3"/>
        <v>Error?</v>
      </c>
    </row>
    <row r="286" spans="1:4" x14ac:dyDescent="0.2">
      <c r="A286" s="10">
        <v>225</v>
      </c>
      <c r="D286" s="2" t="str">
        <f t="shared" si="3"/>
        <v>OK</v>
      </c>
    </row>
    <row r="287" spans="1:4" x14ac:dyDescent="0.2">
      <c r="A287" s="5">
        <v>226</v>
      </c>
      <c r="B287" s="138">
        <f>'Assets-Liab 5-6'!N37</f>
        <v>4354252</v>
      </c>
      <c r="C287" s="2" t="s">
        <v>594</v>
      </c>
      <c r="D287" s="2" t="str">
        <f t="shared" si="3"/>
        <v>Error?</v>
      </c>
    </row>
    <row r="288" spans="1:4" x14ac:dyDescent="0.2">
      <c r="A288" s="5">
        <v>227</v>
      </c>
      <c r="B288" s="138">
        <f>'Assets-Liab 5-6'!N41</f>
        <v>4354252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713631</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2596000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4861583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325878</v>
      </c>
      <c r="D717" s="2" t="str">
        <f t="shared" si="10"/>
        <v>Error?</v>
      </c>
    </row>
    <row r="718" spans="1:4" x14ac:dyDescent="0.2">
      <c r="A718" s="5">
        <v>657</v>
      </c>
      <c r="B718" s="138">
        <f>'Expenditures 15-22'!C14</f>
        <v>135545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6677923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300536</v>
      </c>
      <c r="D722" s="2" t="str">
        <f t="shared" si="10"/>
        <v>Error?</v>
      </c>
    </row>
    <row r="723" spans="1:4" x14ac:dyDescent="0.2">
      <c r="A723" s="5">
        <v>662</v>
      </c>
      <c r="B723" s="138">
        <f>'Expenditures 15-22'!C38</f>
        <v>108464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169502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578502</v>
      </c>
      <c r="C727" s="2" t="s">
        <v>594</v>
      </c>
      <c r="D727" s="2" t="str">
        <f t="shared" si="10"/>
        <v>Error?</v>
      </c>
    </row>
    <row r="728" spans="1:4" x14ac:dyDescent="0.2">
      <c r="A728" s="5">
        <v>667</v>
      </c>
      <c r="B728" s="138">
        <f>'Expenditures 15-22'!C44</f>
        <v>6050</v>
      </c>
      <c r="D728" s="2" t="str">
        <f t="shared" si="10"/>
        <v>Error?</v>
      </c>
    </row>
    <row r="729" spans="1:4" x14ac:dyDescent="0.2">
      <c r="A729" s="5">
        <v>668</v>
      </c>
      <c r="B729" s="138">
        <f>'Expenditures 15-22'!C45</f>
        <v>89229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95279</v>
      </c>
      <c r="C731" s="2" t="s">
        <v>594</v>
      </c>
      <c r="D731" s="2" t="str">
        <f t="shared" si="10"/>
        <v>Error?</v>
      </c>
    </row>
    <row r="732" spans="1:4" x14ac:dyDescent="0.2">
      <c r="A732" s="5">
        <v>671</v>
      </c>
      <c r="B732" s="138">
        <f>'Expenditures 15-22'!C49</f>
        <v>21124</v>
      </c>
      <c r="D732" s="2" t="str">
        <f t="shared" si="10"/>
        <v>Error?</v>
      </c>
    </row>
    <row r="733" spans="1:4" x14ac:dyDescent="0.2">
      <c r="A733" s="5">
        <v>672</v>
      </c>
      <c r="B733" s="138">
        <f>'Expenditures 15-22'!C50</f>
        <v>251425</v>
      </c>
      <c r="D733" s="2" t="str">
        <f t="shared" si="10"/>
        <v>Error?</v>
      </c>
    </row>
    <row r="734" spans="1:4" x14ac:dyDescent="0.2">
      <c r="A734" s="5">
        <v>673</v>
      </c>
      <c r="B734" s="138">
        <f>'Expenditures 15-22'!C53</f>
        <v>272549</v>
      </c>
      <c r="C734" s="2" t="s">
        <v>594</v>
      </c>
      <c r="D734" s="2" t="str">
        <f t="shared" si="10"/>
        <v>Error?</v>
      </c>
    </row>
    <row r="735" spans="1:4" x14ac:dyDescent="0.2">
      <c r="A735" s="5">
        <v>674</v>
      </c>
      <c r="B735" s="138">
        <f>'Expenditures 15-22'!C55</f>
        <v>390105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390105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159562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159562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44109</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44109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1540106</v>
      </c>
      <c r="C755" s="2" t="s">
        <v>594</v>
      </c>
      <c r="D755" s="2" t="str">
        <f t="shared" si="10"/>
        <v>Error?</v>
      </c>
    </row>
    <row r="756" spans="1:4" x14ac:dyDescent="0.2">
      <c r="A756" s="5">
        <v>695</v>
      </c>
      <c r="B756" s="138">
        <f>'Expenditures 15-22'!C75</f>
        <v>101414</v>
      </c>
      <c r="D756" s="2" t="str">
        <f t="shared" si="10"/>
        <v>Error?</v>
      </c>
    </row>
    <row r="757" spans="1:4" x14ac:dyDescent="0.2">
      <c r="A757" s="5">
        <v>696</v>
      </c>
      <c r="B757" s="138">
        <f>'Expenditures 15-22'!C114</f>
        <v>8319443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731884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50944</v>
      </c>
      <c r="D775" s="2" t="str">
        <f t="shared" si="11"/>
        <v>Error?</v>
      </c>
    </row>
    <row r="776" spans="1:4" x14ac:dyDescent="0.2">
      <c r="A776" s="5">
        <v>715</v>
      </c>
      <c r="B776" s="138">
        <f>'Expenditures 15-22'!D14</f>
        <v>16623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1033588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44355</v>
      </c>
      <c r="D780" s="2" t="str">
        <f t="shared" si="11"/>
        <v>Error?</v>
      </c>
    </row>
    <row r="781" spans="1:4" x14ac:dyDescent="0.2">
      <c r="A781" s="5">
        <v>720</v>
      </c>
      <c r="B781" s="138">
        <f>'Expenditures 15-22'!D38</f>
        <v>14889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32347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91591</v>
      </c>
      <c r="C785" s="2" t="s">
        <v>594</v>
      </c>
      <c r="D785" s="2" t="str">
        <f t="shared" si="11"/>
        <v>Error?</v>
      </c>
    </row>
    <row r="786" spans="1:4" x14ac:dyDescent="0.2">
      <c r="A786" s="5">
        <v>725</v>
      </c>
      <c r="B786" s="138">
        <f>'Expenditures 15-22'!D44</f>
        <v>492</v>
      </c>
      <c r="D786" s="2" t="str">
        <f t="shared" si="11"/>
        <v>Error?</v>
      </c>
    </row>
    <row r="787" spans="1:4" x14ac:dyDescent="0.2">
      <c r="A787" s="5">
        <v>726</v>
      </c>
      <c r="B787" s="138">
        <f>'Expenditures 15-22'!D45</f>
        <v>16321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16813</v>
      </c>
      <c r="C789" s="2" t="s">
        <v>594</v>
      </c>
      <c r="D789" s="2" t="str">
        <f t="shared" si="11"/>
        <v>Error?</v>
      </c>
    </row>
    <row r="790" spans="1:4" x14ac:dyDescent="0.2">
      <c r="A790" s="5">
        <v>729</v>
      </c>
      <c r="B790" s="138">
        <f>'Expenditures 15-22'!D49</f>
        <v>2354</v>
      </c>
      <c r="D790" s="2" t="str">
        <f t="shared" si="11"/>
        <v>Error?</v>
      </c>
    </row>
    <row r="791" spans="1:4" x14ac:dyDescent="0.2">
      <c r="A791" s="5">
        <v>730</v>
      </c>
      <c r="B791" s="138">
        <f>'Expenditures 15-22'!D50</f>
        <v>59850</v>
      </c>
      <c r="D791" s="2" t="str">
        <f t="shared" si="11"/>
        <v>Error?</v>
      </c>
    </row>
    <row r="792" spans="1:4" x14ac:dyDescent="0.2">
      <c r="A792" s="5">
        <v>731</v>
      </c>
      <c r="B792" s="138">
        <f>'Expenditures 15-22'!D53</f>
        <v>62204</v>
      </c>
      <c r="C792" s="2" t="s">
        <v>594</v>
      </c>
      <c r="D792" s="2" t="str">
        <f t="shared" si="11"/>
        <v>Error?</v>
      </c>
    </row>
    <row r="793" spans="1:4" x14ac:dyDescent="0.2">
      <c r="A793" s="5">
        <v>732</v>
      </c>
      <c r="B793" s="138">
        <f>'Expenditures 15-22'!D55</f>
        <v>90877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90877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35121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35121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82</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296688</v>
      </c>
      <c r="C813" s="2" t="s">
        <v>594</v>
      </c>
      <c r="D813" s="2" t="str">
        <f t="shared" si="11"/>
        <v>Error?</v>
      </c>
    </row>
    <row r="814" spans="1:4" x14ac:dyDescent="0.2">
      <c r="A814" s="5">
        <v>753</v>
      </c>
      <c r="B814" s="138">
        <f>'Expenditures 15-22'!D75</f>
        <v>22377</v>
      </c>
      <c r="D814" s="2" t="str">
        <f t="shared" si="11"/>
        <v>Error?</v>
      </c>
    </row>
    <row r="815" spans="1:4" x14ac:dyDescent="0.2">
      <c r="A815" s="5">
        <v>754</v>
      </c>
      <c r="B815" s="138">
        <f>'Expenditures 15-22'!D114</f>
        <v>1352653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52880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3266</v>
      </c>
      <c r="D833" s="2" t="str">
        <f t="shared" si="12"/>
        <v>Error?</v>
      </c>
    </row>
    <row r="834" spans="1:4" x14ac:dyDescent="0.2">
      <c r="A834" s="5">
        <v>773</v>
      </c>
      <c r="B834" s="138">
        <f>'Expenditures 15-22'!E14</f>
        <v>41282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112777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942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942</v>
      </c>
      <c r="C843" s="2" t="s">
        <v>594</v>
      </c>
      <c r="D843" s="2" t="str">
        <f t="shared" si="12"/>
        <v>Error?</v>
      </c>
    </row>
    <row r="844" spans="1:4" x14ac:dyDescent="0.2">
      <c r="A844" s="5">
        <v>783</v>
      </c>
      <c r="B844" s="138">
        <f>'Expenditures 15-22'!E44</f>
        <v>18241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8787</v>
      </c>
      <c r="D846" s="2" t="str">
        <f t="shared" si="12"/>
        <v>Error?</v>
      </c>
    </row>
    <row r="847" spans="1:4" x14ac:dyDescent="0.2">
      <c r="A847" s="5">
        <v>786</v>
      </c>
      <c r="B847" s="138">
        <f>'Expenditures 15-22'!E47</f>
        <v>27028</v>
      </c>
      <c r="C847" s="2" t="s">
        <v>594</v>
      </c>
      <c r="D847" s="2" t="str">
        <f t="shared" si="12"/>
        <v>Error?</v>
      </c>
    </row>
    <row r="848" spans="1:4" x14ac:dyDescent="0.2">
      <c r="A848" s="5">
        <v>787</v>
      </c>
      <c r="B848" s="138">
        <f>'Expenditures 15-22'!E49</f>
        <v>15763</v>
      </c>
      <c r="D848" s="2" t="str">
        <f t="shared" si="12"/>
        <v>Error?</v>
      </c>
    </row>
    <row r="849" spans="1:4" x14ac:dyDescent="0.2">
      <c r="A849" s="5">
        <v>788</v>
      </c>
      <c r="B849" s="138">
        <f>'Expenditures 15-22'!E50</f>
        <v>24112</v>
      </c>
      <c r="D849" s="2" t="str">
        <f t="shared" si="12"/>
        <v>Error?</v>
      </c>
    </row>
    <row r="850" spans="1:4" x14ac:dyDescent="0.2">
      <c r="A850" s="5">
        <v>789</v>
      </c>
      <c r="B850" s="138">
        <f>'Expenditures 15-22'!E53</f>
        <v>39875</v>
      </c>
      <c r="C850" s="2" t="s">
        <v>594</v>
      </c>
      <c r="D850" s="2" t="str">
        <f t="shared" si="12"/>
        <v>Error?</v>
      </c>
    </row>
    <row r="851" spans="1:4" x14ac:dyDescent="0.2">
      <c r="A851" s="5">
        <v>790</v>
      </c>
      <c r="B851" s="138">
        <f>'Expenditures 15-22'!E55</f>
        <v>61301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61301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304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758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1062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19561</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4100</v>
      </c>
      <c r="D867" s="2" t="str">
        <f t="shared" si="12"/>
        <v>Error?</v>
      </c>
    </row>
    <row r="868" spans="1:4" x14ac:dyDescent="0.2">
      <c r="A868" s="10">
        <v>807</v>
      </c>
      <c r="D868" s="2" t="str">
        <f t="shared" si="12"/>
        <v>OK</v>
      </c>
    </row>
    <row r="869" spans="1:4" x14ac:dyDescent="0.2">
      <c r="A869" s="5">
        <v>808</v>
      </c>
      <c r="B869" s="138">
        <f>'Expenditures 15-22'!E72</f>
        <v>23661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153869</v>
      </c>
      <c r="C871" s="2" t="s">
        <v>594</v>
      </c>
      <c r="D871" s="2" t="str">
        <f t="shared" si="12"/>
        <v>Error?</v>
      </c>
    </row>
    <row r="872" spans="1:4" x14ac:dyDescent="0.2">
      <c r="A872" s="5">
        <v>811</v>
      </c>
      <c r="B872" s="138">
        <f>'Expenditures 15-22'!E75</f>
        <v>3742</v>
      </c>
      <c r="D872" s="2" t="str">
        <f t="shared" si="12"/>
        <v>Error?</v>
      </c>
    </row>
    <row r="873" spans="1:4" x14ac:dyDescent="0.2">
      <c r="A873" s="5">
        <v>812</v>
      </c>
      <c r="B873" s="138">
        <f>'Expenditures 15-22'!E114</f>
        <v>270388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185828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15261</v>
      </c>
      <c r="D891" s="2" t="str">
        <f t="shared" si="12"/>
        <v>Error?</v>
      </c>
    </row>
    <row r="892" spans="1:4" x14ac:dyDescent="0.2">
      <c r="A892" s="5">
        <v>831</v>
      </c>
      <c r="B892" s="138">
        <f>'Expenditures 15-22'!F14</f>
        <v>21286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226990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1000</v>
      </c>
      <c r="D896" s="2" t="str">
        <f t="shared" si="13"/>
        <v>Error?</v>
      </c>
    </row>
    <row r="897" spans="1:4" x14ac:dyDescent="0.2">
      <c r="A897" s="5">
        <v>836</v>
      </c>
      <c r="B897" s="138">
        <f>'Expenditures 15-22'!F38</f>
        <v>3261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649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4910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6806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6806</v>
      </c>
      <c r="C905" s="2" t="s">
        <v>594</v>
      </c>
      <c r="D905" s="2" t="str">
        <f t="shared" si="13"/>
        <v>Error?</v>
      </c>
    </row>
    <row r="906" spans="1:4" x14ac:dyDescent="0.2">
      <c r="A906" s="5">
        <v>845</v>
      </c>
      <c r="B906" s="138">
        <f>'Expenditures 15-22'!F49</f>
        <v>446</v>
      </c>
      <c r="D906" s="2" t="str">
        <f t="shared" si="13"/>
        <v>Error?</v>
      </c>
    </row>
    <row r="907" spans="1:4" x14ac:dyDescent="0.2">
      <c r="A907" s="5">
        <v>846</v>
      </c>
      <c r="B907" s="138">
        <f>'Expenditures 15-22'!F50</f>
        <v>17270</v>
      </c>
      <c r="D907" s="2" t="str">
        <f t="shared" si="13"/>
        <v>Error?</v>
      </c>
    </row>
    <row r="908" spans="1:4" x14ac:dyDescent="0.2">
      <c r="A908" s="5">
        <v>847</v>
      </c>
      <c r="B908" s="138">
        <f>'Expenditures 15-22'!F53</f>
        <v>17716</v>
      </c>
      <c r="C908" s="2" t="s">
        <v>594</v>
      </c>
      <c r="D908" s="2" t="str">
        <f t="shared" si="13"/>
        <v>Error?</v>
      </c>
    </row>
    <row r="909" spans="1:4" x14ac:dyDescent="0.2">
      <c r="A909" s="5">
        <v>848</v>
      </c>
      <c r="B909" s="138">
        <f>'Expenditures 15-22'!F55</f>
        <v>5396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5396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12570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149607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162177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12964</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12964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209969</v>
      </c>
      <c r="C929" s="2" t="s">
        <v>594</v>
      </c>
      <c r="D929" s="2" t="str">
        <f t="shared" si="13"/>
        <v>Error?</v>
      </c>
    </row>
    <row r="930" spans="1:4" x14ac:dyDescent="0.2">
      <c r="A930" s="5">
        <v>869</v>
      </c>
      <c r="B930" s="138">
        <f>'Expenditures 15-22'!F75</f>
        <v>1201</v>
      </c>
      <c r="D930" s="2" t="str">
        <f t="shared" si="13"/>
        <v>Error?</v>
      </c>
    </row>
    <row r="931" spans="1:4" x14ac:dyDescent="0.2">
      <c r="A931" s="5">
        <v>870</v>
      </c>
      <c r="B931" s="138">
        <f>'Expenditures 15-22'!F114</f>
        <v>438160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4438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4438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2330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2330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28310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4553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32863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35193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39631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990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8662</v>
      </c>
      <c r="D1022" s="2" t="str">
        <f t="shared" si="14"/>
        <v>Error?</v>
      </c>
    </row>
    <row r="1023" spans="1:4" x14ac:dyDescent="0.2">
      <c r="A1023" s="5">
        <v>962</v>
      </c>
      <c r="B1023" s="138">
        <f>'Expenditures 15-22'!H50</f>
        <v>350</v>
      </c>
      <c r="D1023" s="2" t="str">
        <f t="shared" ref="D1023:D1086" si="15">IF(ISBLANK(B1023),"OK",IF(A1023-B1023=0,"OK","Error?"))</f>
        <v>Error?</v>
      </c>
    </row>
    <row r="1024" spans="1:4" x14ac:dyDescent="0.2">
      <c r="A1024" s="5">
        <v>963</v>
      </c>
      <c r="B1024" s="138">
        <f>'Expenditures 15-22'!H53</f>
        <v>9012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9012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498343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8676</v>
      </c>
      <c r="D1051" s="2" t="str">
        <f t="shared" si="15"/>
        <v>Error?</v>
      </c>
    </row>
    <row r="1052" spans="1:4" x14ac:dyDescent="0.2">
      <c r="A1052" s="10">
        <v>991</v>
      </c>
      <c r="D1052" s="2" t="str">
        <f t="shared" si="15"/>
        <v>OK</v>
      </c>
    </row>
    <row r="1053" spans="1:4" x14ac:dyDescent="0.2">
      <c r="A1053" s="5">
        <v>992</v>
      </c>
      <c r="B1053" s="138">
        <f>'Expenditures 15-22'!H110</f>
        <v>8676</v>
      </c>
      <c r="C1053" s="2" t="s">
        <v>594</v>
      </c>
      <c r="D1053" s="2" t="str">
        <f t="shared" si="15"/>
        <v>Error?</v>
      </c>
    </row>
    <row r="1054" spans="1:4" x14ac:dyDescent="0.2">
      <c r="A1054" s="5">
        <v>993</v>
      </c>
      <c r="B1054" s="138">
        <f>'Expenditures 15-22'!H114</f>
        <v>517021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5837243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395349</v>
      </c>
      <c r="C1105" s="2" t="s">
        <v>594</v>
      </c>
      <c r="D1105" s="2" t="str">
        <f t="shared" si="16"/>
        <v>Error?</v>
      </c>
    </row>
    <row r="1106" spans="1:4" x14ac:dyDescent="0.2">
      <c r="A1106" s="5">
        <v>1045</v>
      </c>
      <c r="B1106" s="138">
        <f>'Expenditures 15-22'!K14</f>
        <v>215096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8056706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345891</v>
      </c>
      <c r="C1110" s="2" t="s">
        <v>594</v>
      </c>
      <c r="D1110" s="2" t="str">
        <f t="shared" si="16"/>
        <v>Error?</v>
      </c>
    </row>
    <row r="1111" spans="1:4" x14ac:dyDescent="0.2">
      <c r="A1111" s="5">
        <v>1050</v>
      </c>
      <c r="B1111" s="138">
        <f>'Expenditures 15-22'!K38</f>
        <v>127556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202498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675945</v>
      </c>
      <c r="C1115" s="2" t="s">
        <v>594</v>
      </c>
      <c r="D1115" s="2" t="str">
        <f t="shared" si="16"/>
        <v>Error?</v>
      </c>
    </row>
    <row r="1116" spans="1:4" x14ac:dyDescent="0.2">
      <c r="A1116" s="5">
        <v>1055</v>
      </c>
      <c r="B1116" s="138">
        <f>'Expenditures 15-22'!K44</f>
        <v>27113</v>
      </c>
      <c r="C1116" s="2" t="s">
        <v>594</v>
      </c>
      <c r="D1116" s="2" t="str">
        <f t="shared" si="16"/>
        <v>Error?</v>
      </c>
    </row>
    <row r="1117" spans="1:4" x14ac:dyDescent="0.2">
      <c r="A1117" s="5">
        <v>1056</v>
      </c>
      <c r="B1117" s="138">
        <f>'Expenditures 15-22'!K45</f>
        <v>112356</v>
      </c>
      <c r="C1117" s="2" t="s">
        <v>594</v>
      </c>
      <c r="D1117" s="2" t="str">
        <f t="shared" si="16"/>
        <v>Error?</v>
      </c>
    </row>
    <row r="1118" spans="1:4" x14ac:dyDescent="0.2">
      <c r="A1118" s="5">
        <v>1057</v>
      </c>
      <c r="B1118" s="138">
        <f>'Expenditures 15-22'!K46</f>
        <v>8787</v>
      </c>
      <c r="C1118" s="2" t="s">
        <v>594</v>
      </c>
      <c r="D1118" s="2" t="str">
        <f t="shared" si="16"/>
        <v>Error?</v>
      </c>
    </row>
    <row r="1119" spans="1:4" x14ac:dyDescent="0.2">
      <c r="A1119" s="5">
        <v>1058</v>
      </c>
      <c r="B1119" s="138">
        <f>'Expenditures 15-22'!K47</f>
        <v>148256</v>
      </c>
      <c r="C1119" s="2" t="s">
        <v>594</v>
      </c>
      <c r="D1119" s="2" t="str">
        <f t="shared" si="16"/>
        <v>Error?</v>
      </c>
    </row>
    <row r="1120" spans="1:4" x14ac:dyDescent="0.2">
      <c r="A1120" s="5">
        <v>1059</v>
      </c>
      <c r="B1120" s="138">
        <f>'Expenditures 15-22'!K49</f>
        <v>48349</v>
      </c>
      <c r="C1120" s="2" t="s">
        <v>594</v>
      </c>
      <c r="D1120" s="2" t="str">
        <f t="shared" si="16"/>
        <v>Error?</v>
      </c>
    </row>
    <row r="1121" spans="1:4" x14ac:dyDescent="0.2">
      <c r="A1121" s="5">
        <v>1060</v>
      </c>
      <c r="B1121" s="138">
        <f>'Expenditures 15-22'!K50</f>
        <v>353007</v>
      </c>
      <c r="C1121" s="2" t="s">
        <v>594</v>
      </c>
      <c r="D1121" s="2" t="str">
        <f t="shared" si="16"/>
        <v>Error?</v>
      </c>
    </row>
    <row r="1122" spans="1:4" x14ac:dyDescent="0.2">
      <c r="A1122" s="5">
        <v>1061</v>
      </c>
      <c r="B1122" s="138">
        <f>'Expenditures 15-22'!K53</f>
        <v>401356</v>
      </c>
      <c r="C1122" s="2" t="s">
        <v>594</v>
      </c>
      <c r="D1122" s="2" t="str">
        <f t="shared" si="16"/>
        <v>Error?</v>
      </c>
    </row>
    <row r="1123" spans="1:4" x14ac:dyDescent="0.2">
      <c r="A1123" s="5">
        <v>1062</v>
      </c>
      <c r="B1123" s="138">
        <f>'Expenditures 15-22'!K55</f>
        <v>547679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547679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41184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349601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390785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76716</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4100</v>
      </c>
      <c r="C1139" s="2" t="s">
        <v>594</v>
      </c>
      <c r="D1139" s="2" t="str">
        <f t="shared" si="16"/>
        <v>Error?</v>
      </c>
    </row>
    <row r="1140" spans="1:4" x14ac:dyDescent="0.2">
      <c r="A1140" s="10">
        <v>1079</v>
      </c>
      <c r="D1140" s="2" t="str">
        <f t="shared" si="16"/>
        <v>OK</v>
      </c>
    </row>
    <row r="1141" spans="1:4" x14ac:dyDescent="0.2">
      <c r="A1141" s="5">
        <v>1080</v>
      </c>
      <c r="B1141" s="138">
        <f>'Expenditures 15-22'!K72</f>
        <v>80816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2244837</v>
      </c>
      <c r="C1143" s="2" t="s">
        <v>594</v>
      </c>
      <c r="D1143" s="2" t="str">
        <f t="shared" si="16"/>
        <v>Error?</v>
      </c>
    </row>
    <row r="1144" spans="1:4" x14ac:dyDescent="0.2">
      <c r="A1144" s="5">
        <v>1083</v>
      </c>
      <c r="B1144" s="138">
        <f>'Expenditures 15-22'!K75</f>
        <v>128734</v>
      </c>
      <c r="C1144" s="2" t="s">
        <v>594</v>
      </c>
      <c r="D1144" s="2" t="str">
        <f t="shared" si="16"/>
        <v>Error?</v>
      </c>
    </row>
    <row r="1145" spans="1:4" x14ac:dyDescent="0.2">
      <c r="A1145" s="5">
        <v>1084</v>
      </c>
      <c r="B1145" s="138">
        <f>'Expenditures 15-22'!K102</f>
        <v>498343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8676</v>
      </c>
      <c r="C1149" s="2" t="s">
        <v>594</v>
      </c>
      <c r="D1149" s="2" t="str">
        <f t="shared" si="16"/>
        <v>Error?</v>
      </c>
    </row>
    <row r="1150" spans="1:4" x14ac:dyDescent="0.2">
      <c r="A1150" s="10">
        <v>1089</v>
      </c>
      <c r="D1150" s="2" t="str">
        <f t="shared" si="16"/>
        <v>OK</v>
      </c>
    </row>
    <row r="1151" spans="1:4" x14ac:dyDescent="0.2">
      <c r="A1151" s="5">
        <v>1090</v>
      </c>
      <c r="B1151" s="138">
        <f>'Expenditures 15-22'!K110</f>
        <v>8676</v>
      </c>
      <c r="C1151" s="2" t="s">
        <v>594</v>
      </c>
      <c r="D1151" s="2" t="str">
        <f t="shared" ref="D1151:D1214" si="17">IF(ISBLANK(B1151),"OK",IF(A1151-B1151=0,"OK","Error?"))</f>
        <v>Error?</v>
      </c>
    </row>
    <row r="1152" spans="1:4" x14ac:dyDescent="0.2">
      <c r="A1152" s="5">
        <v>1091</v>
      </c>
      <c r="B1152" s="138">
        <f>'Expenditures 15-22'!K114</f>
        <v>10937296</v>
      </c>
      <c r="C1152" s="2" t="s">
        <v>594</v>
      </c>
      <c r="D1152" s="2" t="str">
        <f t="shared" si="17"/>
        <v>Error?</v>
      </c>
    </row>
    <row r="1153" spans="1:4" x14ac:dyDescent="0.2">
      <c r="A1153" s="5">
        <v>1092</v>
      </c>
      <c r="B1153" s="138">
        <f>'Expenditures 15-22'!K115</f>
        <v>-73724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548133</v>
      </c>
      <c r="D1221" s="2" t="str">
        <f t="shared" si="18"/>
        <v>Error?</v>
      </c>
    </row>
    <row r="1222" spans="1:4" x14ac:dyDescent="0.2">
      <c r="A1222" s="10">
        <v>1161</v>
      </c>
      <c r="D1222" s="2" t="str">
        <f t="shared" si="18"/>
        <v>OK</v>
      </c>
    </row>
    <row r="1223" spans="1:4" x14ac:dyDescent="0.2">
      <c r="A1223" s="5">
        <v>1162</v>
      </c>
      <c r="B1223" s="138">
        <f>'Expenditures 15-22'!C127</f>
        <v>548133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548133</v>
      </c>
      <c r="C1225" s="2" t="s">
        <v>594</v>
      </c>
      <c r="D1225" s="2" t="str">
        <f t="shared" si="18"/>
        <v>Error?</v>
      </c>
    </row>
    <row r="1226" spans="1:4" x14ac:dyDescent="0.2">
      <c r="A1226" s="5">
        <v>1165</v>
      </c>
      <c r="B1226" s="138">
        <f>'Expenditures 15-22'!C151</f>
        <v>548133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122588</v>
      </c>
      <c r="D1229" s="2" t="str">
        <f t="shared" si="18"/>
        <v>Error?</v>
      </c>
    </row>
    <row r="1230" spans="1:4" x14ac:dyDescent="0.2">
      <c r="A1230" s="10">
        <v>1169</v>
      </c>
      <c r="D1230" s="2" t="str">
        <f t="shared" si="18"/>
        <v>OK</v>
      </c>
    </row>
    <row r="1231" spans="1:4" x14ac:dyDescent="0.2">
      <c r="A1231" s="5">
        <v>1170</v>
      </c>
      <c r="B1231" s="138">
        <f>'Expenditures 15-22'!D127</f>
        <v>122588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122588</v>
      </c>
      <c r="C1233" s="2" t="s">
        <v>594</v>
      </c>
      <c r="D1233" s="2" t="str">
        <f t="shared" si="18"/>
        <v>Error?</v>
      </c>
    </row>
    <row r="1234" spans="1:4" x14ac:dyDescent="0.2">
      <c r="A1234" s="5">
        <v>1173</v>
      </c>
      <c r="B1234" s="138">
        <f>'Expenditures 15-22'!D151</f>
        <v>122588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846021</v>
      </c>
      <c r="D1237" s="2" t="str">
        <f t="shared" si="18"/>
        <v>Error?</v>
      </c>
    </row>
    <row r="1238" spans="1:4" x14ac:dyDescent="0.2">
      <c r="A1238" s="10">
        <v>1177</v>
      </c>
      <c r="D1238" s="2" t="str">
        <f t="shared" si="18"/>
        <v>OK</v>
      </c>
    </row>
    <row r="1239" spans="1:4" x14ac:dyDescent="0.2">
      <c r="A1239" s="5">
        <v>1178</v>
      </c>
      <c r="B1239" s="138">
        <f>'Expenditures 15-22'!E127</f>
        <v>846021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846021</v>
      </c>
      <c r="C1241" s="2" t="s">
        <v>594</v>
      </c>
      <c r="D1241" s="2" t="str">
        <f t="shared" si="18"/>
        <v>Error?</v>
      </c>
    </row>
    <row r="1242" spans="1:4" x14ac:dyDescent="0.2">
      <c r="A1242" s="5">
        <v>1181</v>
      </c>
      <c r="B1242" s="138">
        <f>'Expenditures 15-22'!E151</f>
        <v>846021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469199</v>
      </c>
      <c r="D1245" s="2" t="str">
        <f t="shared" si="18"/>
        <v>Error?</v>
      </c>
    </row>
    <row r="1246" spans="1:4" x14ac:dyDescent="0.2">
      <c r="A1246" s="10">
        <v>1185</v>
      </c>
      <c r="D1246" s="2" t="str">
        <f t="shared" si="18"/>
        <v>OK</v>
      </c>
    </row>
    <row r="1247" spans="1:4" x14ac:dyDescent="0.2">
      <c r="A1247" s="5">
        <v>1186</v>
      </c>
      <c r="B1247" s="138">
        <f>'Expenditures 15-22'!F127</f>
        <v>469199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469199</v>
      </c>
      <c r="C1249" s="2" t="s">
        <v>594</v>
      </c>
      <c r="D1249" s="2" t="str">
        <f t="shared" si="18"/>
        <v>Error?</v>
      </c>
    </row>
    <row r="1250" spans="1:4" x14ac:dyDescent="0.2">
      <c r="A1250" s="5">
        <v>1189</v>
      </c>
      <c r="B1250" s="138">
        <f>'Expenditures 15-22'!F151</f>
        <v>469199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195</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195</v>
      </c>
      <c r="C1258" s="2" t="s">
        <v>594</v>
      </c>
      <c r="D1258" s="2" t="str">
        <f t="shared" si="18"/>
        <v>Error?</v>
      </c>
    </row>
    <row r="1259" spans="1:4" x14ac:dyDescent="0.2">
      <c r="A1259" s="5">
        <v>1198</v>
      </c>
      <c r="B1259" s="138">
        <f>'Expenditures 15-22'!G151</f>
        <v>195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195</v>
      </c>
      <c r="C1275" s="2" t="s">
        <v>594</v>
      </c>
      <c r="D1275" s="2" t="str">
        <f t="shared" si="18"/>
        <v>Error?</v>
      </c>
    </row>
    <row r="1276" spans="1:4" x14ac:dyDescent="0.2">
      <c r="A1276" s="5">
        <v>1215</v>
      </c>
      <c r="B1276" s="138">
        <f>'Expenditures 15-22'!K124</f>
        <v>1985941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1986136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1986136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1986136</v>
      </c>
      <c r="C1288" s="2" t="s">
        <v>594</v>
      </c>
      <c r="D1288" s="2" t="str">
        <f t="shared" si="19"/>
        <v>Error?</v>
      </c>
    </row>
    <row r="1289" spans="1:4" x14ac:dyDescent="0.2">
      <c r="A1289" s="5">
        <v>1228</v>
      </c>
      <c r="B1289" s="138">
        <f>'Expenditures 15-22'!K152</f>
        <v>-931562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977</v>
      </c>
      <c r="D1307" s="2" t="str">
        <f t="shared" si="19"/>
        <v>Error?</v>
      </c>
    </row>
    <row r="1308" spans="1:4" x14ac:dyDescent="0.2">
      <c r="A1308" s="5">
        <v>1247</v>
      </c>
      <c r="B1308" s="138">
        <f>'Expenditures 15-22'!E172</f>
        <v>977</v>
      </c>
      <c r="C1308" s="2" t="s">
        <v>594</v>
      </c>
      <c r="D1308" s="2" t="str">
        <f t="shared" si="19"/>
        <v>Error?</v>
      </c>
    </row>
    <row r="1309" spans="1:4" x14ac:dyDescent="0.2">
      <c r="A1309" s="5">
        <v>1248</v>
      </c>
      <c r="B1309" s="138">
        <f>'Expenditures 15-22'!E174</f>
        <v>977</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84592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675300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759892</v>
      </c>
      <c r="C1317" s="2" t="s">
        <v>594</v>
      </c>
      <c r="D1317" s="2" t="str">
        <f t="shared" si="19"/>
        <v>Error?</v>
      </c>
    </row>
    <row r="1318" spans="1:4" x14ac:dyDescent="0.2">
      <c r="A1318" s="5">
        <v>1257</v>
      </c>
      <c r="B1318" s="138">
        <f>'Expenditures 15-22'!H174</f>
        <v>759892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84592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675300</v>
      </c>
      <c r="C1329" s="2" t="s">
        <v>594</v>
      </c>
      <c r="D1329" s="2" t="str">
        <f t="shared" si="19"/>
        <v>Error?</v>
      </c>
    </row>
    <row r="1330" spans="1:4" x14ac:dyDescent="0.2">
      <c r="A1330" s="5">
        <v>1269</v>
      </c>
      <c r="B1330" s="138">
        <f>'Expenditures 15-22'!K171</f>
        <v>977</v>
      </c>
      <c r="C1330" s="2" t="s">
        <v>594</v>
      </c>
      <c r="D1330" s="2" t="str">
        <f t="shared" si="19"/>
        <v>Error?</v>
      </c>
    </row>
    <row r="1331" spans="1:4" x14ac:dyDescent="0.2">
      <c r="A1331" s="5">
        <v>1270</v>
      </c>
      <c r="B1331" s="138">
        <f>'Expenditures 15-22'!K172</f>
        <v>760869</v>
      </c>
      <c r="C1331" s="2" t="s">
        <v>594</v>
      </c>
      <c r="D1331" s="2" t="str">
        <f t="shared" si="19"/>
        <v>Error?</v>
      </c>
    </row>
    <row r="1332" spans="1:4" x14ac:dyDescent="0.2">
      <c r="A1332" s="5">
        <v>1271</v>
      </c>
      <c r="B1332" s="138">
        <f>'Expenditures 15-22'!K174</f>
        <v>760869</v>
      </c>
      <c r="C1332" s="2" t="s">
        <v>594</v>
      </c>
      <c r="D1332" s="2" t="str">
        <f t="shared" si="19"/>
        <v>Error?</v>
      </c>
    </row>
    <row r="1333" spans="1:4" x14ac:dyDescent="0.2">
      <c r="A1333" s="5">
        <v>1272</v>
      </c>
      <c r="B1333" s="138">
        <f>'Expenditures 15-22'!K175</f>
        <v>-51001</v>
      </c>
      <c r="C1333" s="2" t="s">
        <v>594</v>
      </c>
      <c r="D1333" s="2" t="str">
        <f t="shared" si="19"/>
        <v>Error?</v>
      </c>
    </row>
    <row r="1334" spans="1:4" x14ac:dyDescent="0.2">
      <c r="A1334" s="10">
        <v>1273</v>
      </c>
      <c r="D1334" s="2" t="str">
        <f t="shared" si="19"/>
        <v>OK</v>
      </c>
    </row>
    <row r="1335" spans="1:4" x14ac:dyDescent="0.2">
      <c r="A1335" s="5">
        <v>1274</v>
      </c>
      <c r="B1335" s="138">
        <f>'Expenditures 15-22'!C182</f>
        <v>322203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56539</v>
      </c>
      <c r="D1338" s="2" t="str">
        <f t="shared" si="19"/>
        <v>Error?</v>
      </c>
    </row>
    <row r="1339" spans="1:4" x14ac:dyDescent="0.2">
      <c r="A1339" s="5">
        <v>1278</v>
      </c>
      <c r="B1339" s="138">
        <f>'Expenditures 15-22'!C184</f>
        <v>431428</v>
      </c>
      <c r="C1339" s="2" t="s">
        <v>594</v>
      </c>
      <c r="D1339" s="2" t="str">
        <f t="shared" si="19"/>
        <v>Error?</v>
      </c>
    </row>
    <row r="1340" spans="1:4" x14ac:dyDescent="0.2">
      <c r="A1340" s="5">
        <v>1279</v>
      </c>
      <c r="B1340" s="138">
        <f>'Expenditures 15-22'!C210</f>
        <v>431428</v>
      </c>
      <c r="C1340" s="2" t="s">
        <v>594</v>
      </c>
      <c r="D1340" s="2" t="str">
        <f t="shared" si="19"/>
        <v>Error?</v>
      </c>
    </row>
    <row r="1341" spans="1:4" x14ac:dyDescent="0.2">
      <c r="A1341" s="5">
        <v>1280</v>
      </c>
      <c r="B1341" s="138">
        <f>'Expenditures 15-22'!D182</f>
        <v>73420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1070</v>
      </c>
      <c r="D1344" s="2" t="str">
        <f t="shared" si="20"/>
        <v>Error?</v>
      </c>
    </row>
    <row r="1345" spans="1:4" x14ac:dyDescent="0.2">
      <c r="A1345" s="5">
        <v>1284</v>
      </c>
      <c r="B1345" s="138">
        <f>'Expenditures 15-22'!D184</f>
        <v>89496</v>
      </c>
      <c r="C1345" s="2" t="s">
        <v>594</v>
      </c>
      <c r="D1345" s="2" t="str">
        <f t="shared" si="20"/>
        <v>Error?</v>
      </c>
    </row>
    <row r="1346" spans="1:4" x14ac:dyDescent="0.2">
      <c r="A1346" s="5">
        <v>1285</v>
      </c>
      <c r="B1346" s="138">
        <f>'Expenditures 15-22'!D210</f>
        <v>89496</v>
      </c>
      <c r="C1346" s="2" t="s">
        <v>594</v>
      </c>
      <c r="D1346" s="2" t="str">
        <f t="shared" si="20"/>
        <v>Error?</v>
      </c>
    </row>
    <row r="1347" spans="1:4" x14ac:dyDescent="0.2">
      <c r="A1347" s="5">
        <v>1286</v>
      </c>
      <c r="B1347" s="138">
        <f>'Expenditures 15-22'!E182</f>
        <v>6000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6000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6000</v>
      </c>
      <c r="C1353" s="2" t="s">
        <v>594</v>
      </c>
      <c r="D1353" s="2" t="str">
        <f t="shared" si="20"/>
        <v>Error?</v>
      </c>
    </row>
    <row r="1354" spans="1:4" x14ac:dyDescent="0.2">
      <c r="A1354" s="5">
        <v>1293</v>
      </c>
      <c r="B1354" s="138">
        <f>'Expenditures 15-22'!F182</f>
        <v>80486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80486</v>
      </c>
      <c r="C1358" s="2" t="s">
        <v>594</v>
      </c>
      <c r="D1358" s="2" t="str">
        <f t="shared" si="20"/>
        <v>Error?</v>
      </c>
    </row>
    <row r="1359" spans="1:4" x14ac:dyDescent="0.2">
      <c r="A1359" s="5">
        <v>1298</v>
      </c>
      <c r="B1359" s="138">
        <f>'Expenditures 15-22'!F210</f>
        <v>80486</v>
      </c>
      <c r="C1359" s="2" t="s">
        <v>594</v>
      </c>
      <c r="D1359" s="2" t="str">
        <f t="shared" si="20"/>
        <v>Error?</v>
      </c>
    </row>
    <row r="1360" spans="1:4" x14ac:dyDescent="0.2">
      <c r="A1360" s="5">
        <v>1299</v>
      </c>
      <c r="B1360" s="138">
        <f>'Expenditures 15-22'!G182</f>
        <v>5774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5774</v>
      </c>
      <c r="C1364" s="2" t="s">
        <v>594</v>
      </c>
      <c r="D1364" s="2" t="str">
        <f t="shared" si="20"/>
        <v>Error?</v>
      </c>
    </row>
    <row r="1365" spans="1:4" x14ac:dyDescent="0.2">
      <c r="A1365" s="5">
        <v>1304</v>
      </c>
      <c r="B1365" s="138">
        <f>'Expenditures 15-22'!G210</f>
        <v>5774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173897</v>
      </c>
      <c r="C1375" s="2" t="s">
        <v>594</v>
      </c>
      <c r="D1375" s="2" t="str">
        <f t="shared" si="20"/>
        <v>Error?</v>
      </c>
    </row>
    <row r="1376" spans="1:4" x14ac:dyDescent="0.2">
      <c r="A1376" s="5">
        <v>1315</v>
      </c>
      <c r="B1376" s="138">
        <f>'Expenditures 15-22'!H210</f>
        <v>173897</v>
      </c>
      <c r="C1376" s="2" t="s">
        <v>594</v>
      </c>
      <c r="D1376" s="2" t="str">
        <f t="shared" si="20"/>
        <v>Error?</v>
      </c>
    </row>
    <row r="1377" spans="1:4" x14ac:dyDescent="0.2">
      <c r="A1377" s="5">
        <v>1316</v>
      </c>
      <c r="B1377" s="138">
        <f>'Expenditures 15-22'!K182</f>
        <v>487883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57609</v>
      </c>
      <c r="C1380" s="2" t="s">
        <v>594</v>
      </c>
      <c r="D1380" s="2" t="str">
        <f t="shared" si="20"/>
        <v>Error?</v>
      </c>
    </row>
    <row r="1381" spans="1:4" x14ac:dyDescent="0.2">
      <c r="A1381" s="5">
        <v>1320</v>
      </c>
      <c r="B1381" s="138">
        <f>'Expenditures 15-22'!K184</f>
        <v>613184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173897</v>
      </c>
      <c r="C1387" s="2" t="s">
        <v>594</v>
      </c>
      <c r="D1387" s="2" t="str">
        <f t="shared" si="20"/>
        <v>Error?</v>
      </c>
    </row>
    <row r="1388" spans="1:4" x14ac:dyDescent="0.2">
      <c r="A1388" s="5">
        <v>1327</v>
      </c>
      <c r="B1388" s="138">
        <f>'Expenditures 15-22'!K210</f>
        <v>787081</v>
      </c>
      <c r="C1388" s="2" t="s">
        <v>594</v>
      </c>
      <c r="D1388" s="2" t="str">
        <f t="shared" si="20"/>
        <v>Error?</v>
      </c>
    </row>
    <row r="1389" spans="1:4" x14ac:dyDescent="0.2">
      <c r="A1389" s="5">
        <v>1328</v>
      </c>
      <c r="B1389" s="138">
        <f>'Expenditures 15-22'!K211</f>
        <v>-87710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4132</v>
      </c>
      <c r="D1407" s="2" t="str">
        <f t="shared" ref="D1407:D1470" si="21">IF(ISBLANK(B1407),"OK",IF(A1407-B1407=0,"OK","Error?"))</f>
        <v>Error?</v>
      </c>
    </row>
    <row r="1408" spans="1:4" x14ac:dyDescent="0.2">
      <c r="A1408" s="5">
        <v>1347</v>
      </c>
      <c r="B1408" s="138">
        <f>'Expenditures 15-22'!D223</f>
        <v>10632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226674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13859</v>
      </c>
      <c r="D1412" s="2" t="str">
        <f t="shared" si="21"/>
        <v>Error?</v>
      </c>
    </row>
    <row r="1413" spans="1:4" x14ac:dyDescent="0.2">
      <c r="A1413" s="5">
        <v>1352</v>
      </c>
      <c r="B1413" s="138">
        <f>'Expenditures 15-22'!D234</f>
        <v>12818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2243</v>
      </c>
      <c r="D1415" s="2" t="str">
        <f t="shared" si="21"/>
        <v>Error?</v>
      </c>
    </row>
    <row r="1416" spans="1:4" x14ac:dyDescent="0.2">
      <c r="A1416" s="5">
        <v>1355</v>
      </c>
      <c r="B1416" s="138">
        <f>'Expenditures 15-22'!D237</f>
        <v>9772</v>
      </c>
      <c r="D1416" s="2" t="str">
        <f t="shared" si="21"/>
        <v>Error?</v>
      </c>
    </row>
    <row r="1417" spans="1:4" x14ac:dyDescent="0.2">
      <c r="A1417" s="5">
        <v>1356</v>
      </c>
      <c r="B1417" s="138">
        <f>'Expenditures 15-22'!D238</f>
        <v>38692</v>
      </c>
      <c r="C1417" s="2" t="s">
        <v>594</v>
      </c>
      <c r="D1417" s="2" t="str">
        <f t="shared" si="21"/>
        <v>Error?</v>
      </c>
    </row>
    <row r="1418" spans="1:4" x14ac:dyDescent="0.2">
      <c r="A1418" s="5">
        <v>1357</v>
      </c>
      <c r="B1418" s="138">
        <f>'Expenditures 15-22'!D240</f>
        <v>179</v>
      </c>
      <c r="D1418" s="2" t="str">
        <f t="shared" si="21"/>
        <v>Error?</v>
      </c>
    </row>
    <row r="1419" spans="1:4" x14ac:dyDescent="0.2">
      <c r="A1419" s="5">
        <v>1358</v>
      </c>
      <c r="B1419" s="138">
        <f>'Expenditures 15-22'!D241</f>
        <v>17268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17447</v>
      </c>
      <c r="C1421" s="2" t="s">
        <v>594</v>
      </c>
      <c r="D1421" s="2" t="str">
        <f t="shared" si="21"/>
        <v>Error?</v>
      </c>
    </row>
    <row r="1422" spans="1:4" x14ac:dyDescent="0.2">
      <c r="A1422" s="5">
        <v>1361</v>
      </c>
      <c r="B1422" s="138">
        <f>'Expenditures 15-22'!D245</f>
        <v>840</v>
      </c>
      <c r="D1422" s="2" t="str">
        <f t="shared" si="21"/>
        <v>Error?</v>
      </c>
    </row>
    <row r="1423" spans="1:4" x14ac:dyDescent="0.2">
      <c r="A1423" s="5">
        <v>1362</v>
      </c>
      <c r="B1423" s="138">
        <f>'Expenditures 15-22'!D246</f>
        <v>33653</v>
      </c>
      <c r="D1423" s="2" t="str">
        <f t="shared" si="21"/>
        <v>Error?</v>
      </c>
    </row>
    <row r="1424" spans="1:4" x14ac:dyDescent="0.2">
      <c r="A1424" s="5">
        <v>1363</v>
      </c>
      <c r="B1424" s="138">
        <f>'Expenditures 15-22'!D257</f>
        <v>37333</v>
      </c>
      <c r="C1424" s="2" t="s">
        <v>594</v>
      </c>
      <c r="D1424" s="2" t="str">
        <f t="shared" si="21"/>
        <v>Error?</v>
      </c>
    </row>
    <row r="1425" spans="1:4" x14ac:dyDescent="0.2">
      <c r="A1425" s="5">
        <v>1364</v>
      </c>
      <c r="B1425" s="138">
        <f>'Expenditures 15-22'!D259</f>
        <v>18930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18930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111867</v>
      </c>
      <c r="D1431" s="2" t="str">
        <f t="shared" si="21"/>
        <v>Error?</v>
      </c>
    </row>
    <row r="1432" spans="1:4" x14ac:dyDescent="0.2">
      <c r="A1432" s="5">
        <v>1371</v>
      </c>
      <c r="B1432" s="138">
        <f>'Expenditures 15-22'!D267</f>
        <v>59298</v>
      </c>
      <c r="D1432" s="2" t="str">
        <f t="shared" si="21"/>
        <v>Error?</v>
      </c>
    </row>
    <row r="1433" spans="1:4" x14ac:dyDescent="0.2">
      <c r="A1433" s="5">
        <v>1372</v>
      </c>
      <c r="B1433" s="138">
        <f>'Expenditures 15-22'!D268</f>
        <v>25462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196627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8319</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8319</v>
      </c>
      <c r="C1444" s="2" t="s">
        <v>594</v>
      </c>
      <c r="D1444" s="2" t="str">
        <f t="shared" si="21"/>
        <v>Error?</v>
      </c>
    </row>
    <row r="1445" spans="1:4" x14ac:dyDescent="0.2">
      <c r="A1445" s="5">
        <v>1384</v>
      </c>
      <c r="B1445" s="138">
        <f>'Expenditures 15-22'!D278</f>
        <v>2011</v>
      </c>
      <c r="D1445" s="2" t="str">
        <f t="shared" si="21"/>
        <v>Error?</v>
      </c>
    </row>
    <row r="1446" spans="1:4" x14ac:dyDescent="0.2">
      <c r="A1446" s="5">
        <v>1385</v>
      </c>
      <c r="B1446" s="138">
        <f>'Expenditures 15-22'!D279</f>
        <v>319359</v>
      </c>
      <c r="C1446" s="2" t="s">
        <v>594</v>
      </c>
      <c r="D1446" s="2" t="str">
        <f t="shared" si="21"/>
        <v>Error?</v>
      </c>
    </row>
    <row r="1447" spans="1:4" x14ac:dyDescent="0.2">
      <c r="A1447" s="5">
        <v>1386</v>
      </c>
      <c r="B1447" s="138">
        <f>'Expenditures 15-22'!D280</f>
        <v>14001</v>
      </c>
      <c r="D1447" s="2" t="str">
        <f t="shared" si="21"/>
        <v>Error?</v>
      </c>
    </row>
    <row r="1448" spans="1:4" x14ac:dyDescent="0.2">
      <c r="A1448" s="5">
        <v>1387</v>
      </c>
      <c r="B1448" s="138">
        <f>'Expenditures 15-22'!D295</f>
        <v>560034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4132</v>
      </c>
      <c r="C1471" s="2" t="s">
        <v>594</v>
      </c>
      <c r="D1471" s="2" t="str">
        <f t="shared" ref="D1471:D1534" si="22">IF(ISBLANK(B1471),"OK",IF(A1471-B1471=0,"OK","Error?"))</f>
        <v>Error?</v>
      </c>
    </row>
    <row r="1472" spans="1:4" x14ac:dyDescent="0.2">
      <c r="A1472" s="5">
        <v>1411</v>
      </c>
      <c r="B1472" s="138">
        <f>'Expenditures 15-22'!K223</f>
        <v>10632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226674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13859</v>
      </c>
      <c r="C1476" s="2" t="s">
        <v>594</v>
      </c>
      <c r="D1476" s="2" t="str">
        <f t="shared" si="22"/>
        <v>Error?</v>
      </c>
    </row>
    <row r="1477" spans="1:4" x14ac:dyDescent="0.2">
      <c r="A1477" s="5">
        <v>1416</v>
      </c>
      <c r="B1477" s="138">
        <f>'Expenditures 15-22'!K234</f>
        <v>12818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2243</v>
      </c>
      <c r="C1479" s="2" t="s">
        <v>594</v>
      </c>
      <c r="D1479" s="2" t="str">
        <f t="shared" si="22"/>
        <v>Error?</v>
      </c>
    </row>
    <row r="1480" spans="1:4" x14ac:dyDescent="0.2">
      <c r="A1480" s="5">
        <v>1419</v>
      </c>
      <c r="B1480" s="138">
        <f>'Expenditures 15-22'!K237</f>
        <v>9772</v>
      </c>
      <c r="C1480" s="2" t="s">
        <v>594</v>
      </c>
      <c r="D1480" s="2" t="str">
        <f t="shared" si="22"/>
        <v>Error?</v>
      </c>
    </row>
    <row r="1481" spans="1:4" x14ac:dyDescent="0.2">
      <c r="A1481" s="5">
        <v>1420</v>
      </c>
      <c r="B1481" s="138">
        <f>'Expenditures 15-22'!K238</f>
        <v>38692</v>
      </c>
      <c r="C1481" s="2" t="s">
        <v>594</v>
      </c>
      <c r="D1481" s="2" t="str">
        <f t="shared" si="22"/>
        <v>Error?</v>
      </c>
    </row>
    <row r="1482" spans="1:4" x14ac:dyDescent="0.2">
      <c r="A1482" s="5">
        <v>1421</v>
      </c>
      <c r="B1482" s="138">
        <f>'Expenditures 15-22'!K240</f>
        <v>179</v>
      </c>
      <c r="C1482" s="2" t="s">
        <v>594</v>
      </c>
      <c r="D1482" s="2" t="str">
        <f t="shared" si="22"/>
        <v>Error?</v>
      </c>
    </row>
    <row r="1483" spans="1:4" x14ac:dyDescent="0.2">
      <c r="A1483" s="5">
        <v>1422</v>
      </c>
      <c r="B1483" s="138">
        <f>'Expenditures 15-22'!K241</f>
        <v>17268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17447</v>
      </c>
      <c r="C1485" s="2" t="s">
        <v>594</v>
      </c>
      <c r="D1485" s="2" t="str">
        <f t="shared" si="22"/>
        <v>Error?</v>
      </c>
    </row>
    <row r="1486" spans="1:4" x14ac:dyDescent="0.2">
      <c r="A1486" s="5">
        <v>1425</v>
      </c>
      <c r="B1486" s="138">
        <f>'Expenditures 15-22'!K245</f>
        <v>840</v>
      </c>
      <c r="C1486" s="2" t="s">
        <v>594</v>
      </c>
      <c r="D1486" s="2" t="str">
        <f t="shared" si="22"/>
        <v>Error?</v>
      </c>
    </row>
    <row r="1487" spans="1:4" x14ac:dyDescent="0.2">
      <c r="A1487" s="5">
        <v>1426</v>
      </c>
      <c r="B1487" s="138">
        <f>'Expenditures 15-22'!K246</f>
        <v>33653</v>
      </c>
      <c r="C1487" s="2" t="s">
        <v>594</v>
      </c>
      <c r="D1487" s="2" t="str">
        <f t="shared" si="22"/>
        <v>Error?</v>
      </c>
    </row>
    <row r="1488" spans="1:4" x14ac:dyDescent="0.2">
      <c r="A1488" s="5">
        <v>1427</v>
      </c>
      <c r="B1488" s="138">
        <f>'Expenditures 15-22'!K257</f>
        <v>37333</v>
      </c>
      <c r="C1488" s="2" t="s">
        <v>594</v>
      </c>
      <c r="D1488" s="2" t="str">
        <f t="shared" si="22"/>
        <v>Error?</v>
      </c>
    </row>
    <row r="1489" spans="1:4" x14ac:dyDescent="0.2">
      <c r="A1489" s="5">
        <v>1428</v>
      </c>
      <c r="B1489" s="138">
        <f>'Expenditures 15-22'!K259</f>
        <v>18930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18930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111867</v>
      </c>
      <c r="C1495" s="2" t="s">
        <v>594</v>
      </c>
      <c r="D1495" s="2" t="str">
        <f t="shared" si="22"/>
        <v>Error?</v>
      </c>
    </row>
    <row r="1496" spans="1:4" x14ac:dyDescent="0.2">
      <c r="A1496" s="5">
        <v>1435</v>
      </c>
      <c r="B1496" s="138">
        <f>'Expenditures 15-22'!K267</f>
        <v>59298</v>
      </c>
      <c r="C1496" s="2" t="s">
        <v>594</v>
      </c>
      <c r="D1496" s="2" t="str">
        <f t="shared" si="22"/>
        <v>Error?</v>
      </c>
    </row>
    <row r="1497" spans="1:4" x14ac:dyDescent="0.2">
      <c r="A1497" s="5">
        <v>1436</v>
      </c>
      <c r="B1497" s="138">
        <f>'Expenditures 15-22'!K268</f>
        <v>25462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196627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8319</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8319</v>
      </c>
      <c r="C1508" s="2" t="s">
        <v>594</v>
      </c>
      <c r="D1508" s="2" t="str">
        <f t="shared" si="22"/>
        <v>Error?</v>
      </c>
    </row>
    <row r="1509" spans="1:4" x14ac:dyDescent="0.2">
      <c r="A1509" s="5">
        <v>1448</v>
      </c>
      <c r="B1509" s="138">
        <f>'Expenditures 15-22'!K278</f>
        <v>2011</v>
      </c>
      <c r="C1509" s="2" t="s">
        <v>594</v>
      </c>
      <c r="D1509" s="2" t="str">
        <f t="shared" si="22"/>
        <v>Error?</v>
      </c>
    </row>
    <row r="1510" spans="1:4" x14ac:dyDescent="0.2">
      <c r="A1510" s="5">
        <v>1449</v>
      </c>
      <c r="B1510" s="138">
        <f>'Expenditures 15-22'!K279</f>
        <v>319359</v>
      </c>
      <c r="C1510" s="2" t="s">
        <v>594</v>
      </c>
      <c r="D1510" s="2" t="str">
        <f t="shared" si="22"/>
        <v>Error?</v>
      </c>
    </row>
    <row r="1511" spans="1:4" x14ac:dyDescent="0.2">
      <c r="A1511" s="5">
        <v>1450</v>
      </c>
      <c r="B1511" s="138">
        <f>'Expenditures 15-22'!K280</f>
        <v>14001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560034</v>
      </c>
      <c r="C1517" s="2" t="s">
        <v>594</v>
      </c>
      <c r="D1517" s="2" t="str">
        <f t="shared" si="22"/>
        <v>Error?</v>
      </c>
    </row>
    <row r="1518" spans="1:4" x14ac:dyDescent="0.2">
      <c r="A1518" s="5">
        <v>1457</v>
      </c>
      <c r="B1518" s="138">
        <f>'Expenditures 15-22'!K296</f>
        <v>28124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447992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-343997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295910</v>
      </c>
      <c r="C1630" s="2" t="s">
        <v>594</v>
      </c>
      <c r="D1630" s="2" t="str">
        <f t="shared" si="24"/>
        <v>Error?</v>
      </c>
    </row>
    <row r="1631" spans="1:4" x14ac:dyDescent="0.2">
      <c r="A1631" s="5">
        <v>1570</v>
      </c>
      <c r="B1631" s="138">
        <f>'Acct Summary 7-8'!D79</f>
        <v>-72791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319244</v>
      </c>
      <c r="C1644" s="2" t="s">
        <v>594</v>
      </c>
      <c r="D1644" s="2" t="str">
        <f t="shared" si="24"/>
        <v>Error?</v>
      </c>
    </row>
    <row r="1645" spans="1:4" x14ac:dyDescent="0.2">
      <c r="A1645" s="5">
        <v>1584</v>
      </c>
      <c r="B1645" s="138">
        <f>'Acct Summary 7-8'!E79</f>
        <v>36278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-14723</v>
      </c>
      <c r="C1658" s="2" t="s">
        <v>594</v>
      </c>
      <c r="D1658" s="2" t="str">
        <f t="shared" si="24"/>
        <v>Error?</v>
      </c>
    </row>
    <row r="1659" spans="1:4" x14ac:dyDescent="0.2">
      <c r="A1659" s="5">
        <v>1598</v>
      </c>
      <c r="B1659" s="138">
        <f>'Acct Summary 7-8'!F79</f>
        <v>84411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31701</v>
      </c>
      <c r="C1672" s="2" t="s">
        <v>594</v>
      </c>
      <c r="D1672" s="2" t="str">
        <f t="shared" si="25"/>
        <v>Error?</v>
      </c>
    </row>
    <row r="1673" spans="1:4" x14ac:dyDescent="0.2">
      <c r="A1673" s="5">
        <v>1612</v>
      </c>
      <c r="B1673" s="138">
        <f>'Acct Summary 7-8'!G79</f>
        <v>265599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293723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109395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2435395</v>
      </c>
      <c r="C1744" s="2" t="s">
        <v>594</v>
      </c>
      <c r="D1744" s="2" t="str">
        <f t="shared" si="26"/>
        <v>Error?</v>
      </c>
    </row>
    <row r="1745" spans="1:5" x14ac:dyDescent="0.2">
      <c r="A1745" s="5">
        <v>1684</v>
      </c>
      <c r="B1745" s="138">
        <f>'Tax Sched 23'!B5</f>
        <v>661788</v>
      </c>
      <c r="C1745" s="2" t="s">
        <v>594</v>
      </c>
      <c r="D1745" s="2" t="str">
        <f t="shared" si="26"/>
        <v>Error?</v>
      </c>
    </row>
    <row r="1746" spans="1:5" x14ac:dyDescent="0.2">
      <c r="A1746" s="5">
        <v>1685</v>
      </c>
      <c r="B1746" s="138">
        <f>'Tax Sched 23'!B6</f>
        <v>709688</v>
      </c>
      <c r="C1746" s="2" t="s">
        <v>594</v>
      </c>
      <c r="D1746" s="2" t="str">
        <f t="shared" si="26"/>
        <v>Error?</v>
      </c>
    </row>
    <row r="1747" spans="1:5" x14ac:dyDescent="0.2">
      <c r="A1747" s="5">
        <v>1686</v>
      </c>
      <c r="B1747" s="138">
        <f>'Tax Sched 23'!B7</f>
        <v>264794</v>
      </c>
      <c r="C1747" s="2" t="s">
        <v>594</v>
      </c>
      <c r="D1747" s="2" t="str">
        <f t="shared" si="26"/>
        <v>Error?</v>
      </c>
    </row>
    <row r="1748" spans="1:5" x14ac:dyDescent="0.2">
      <c r="A1748" s="5">
        <v>1687</v>
      </c>
      <c r="B1748" s="138">
        <f>'Tax Sched 23'!B8</f>
        <v>306639</v>
      </c>
      <c r="C1748" s="2" t="s">
        <v>594</v>
      </c>
      <c r="D1748" s="2" t="str">
        <f t="shared" si="26"/>
        <v>Error?</v>
      </c>
    </row>
    <row r="1749" spans="1:5" x14ac:dyDescent="0.2">
      <c r="A1749" s="5">
        <v>1688</v>
      </c>
      <c r="B1749" s="138">
        <f>'Tax Sched 23'!B10</f>
        <v>66231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418170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53037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5262896</v>
      </c>
      <c r="C1759" s="2" t="s">
        <v>594</v>
      </c>
      <c r="D1759" s="2" t="str">
        <f t="shared" si="26"/>
        <v>Error?</v>
      </c>
    </row>
    <row r="1760" spans="1:5" x14ac:dyDescent="0.2">
      <c r="A1760" s="5">
        <v>1699</v>
      </c>
      <c r="B1760" s="138">
        <f>'Tax Sched 23'!D4</f>
        <v>2435395</v>
      </c>
      <c r="C1760" s="2" t="s">
        <v>594</v>
      </c>
      <c r="D1760" s="2" t="str">
        <f t="shared" si="26"/>
        <v>Error?</v>
      </c>
    </row>
    <row r="1761" spans="1:5" x14ac:dyDescent="0.2">
      <c r="A1761" s="5">
        <v>1700</v>
      </c>
      <c r="B1761" s="138">
        <f>'Tax Sched 23'!D5</f>
        <v>661788</v>
      </c>
      <c r="C1761" s="2" t="s">
        <v>594</v>
      </c>
      <c r="D1761" s="2" t="str">
        <f t="shared" si="26"/>
        <v>Error?</v>
      </c>
    </row>
    <row r="1762" spans="1:5" s="8" customFormat="1" x14ac:dyDescent="0.2">
      <c r="A1762" s="5">
        <v>1701</v>
      </c>
      <c r="B1762" s="138">
        <f>'Tax Sched 23'!D6</f>
        <v>709688</v>
      </c>
      <c r="C1762" s="2" t="s">
        <v>594</v>
      </c>
      <c r="D1762" s="2" t="str">
        <f t="shared" si="26"/>
        <v>Error?</v>
      </c>
      <c r="E1762" s="9"/>
    </row>
    <row r="1763" spans="1:5" x14ac:dyDescent="0.2">
      <c r="A1763" s="5">
        <v>1702</v>
      </c>
      <c r="B1763" s="138">
        <f>'Tax Sched 23'!D7</f>
        <v>264794</v>
      </c>
      <c r="C1763" s="2" t="s">
        <v>594</v>
      </c>
      <c r="D1763" s="2" t="str">
        <f t="shared" si="26"/>
        <v>Error?</v>
      </c>
    </row>
    <row r="1764" spans="1:5" x14ac:dyDescent="0.2">
      <c r="A1764" s="5">
        <v>1703</v>
      </c>
      <c r="B1764" s="138">
        <f>'Tax Sched 23'!D8</f>
        <v>306639</v>
      </c>
      <c r="C1764" s="2" t="s">
        <v>594</v>
      </c>
      <c r="D1764" s="2" t="str">
        <f t="shared" si="26"/>
        <v>Error?</v>
      </c>
    </row>
    <row r="1765" spans="1:5" x14ac:dyDescent="0.2">
      <c r="A1765" s="5">
        <v>1704</v>
      </c>
      <c r="B1765" s="138">
        <f>'Tax Sched 23'!D10</f>
        <v>66231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418170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53037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5262896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2518500</v>
      </c>
      <c r="C1792" s="2" t="s">
        <v>594</v>
      </c>
      <c r="D1792" s="2" t="str">
        <f t="shared" si="27"/>
        <v>Error?</v>
      </c>
    </row>
    <row r="1793" spans="1:4" x14ac:dyDescent="0.2">
      <c r="A1793" s="5">
        <v>1732</v>
      </c>
      <c r="B1793" s="138">
        <f>'Tax Sched 23'!F5</f>
        <v>679785</v>
      </c>
      <c r="C1793" s="2" t="s">
        <v>594</v>
      </c>
      <c r="D1793" s="2" t="str">
        <f t="shared" si="27"/>
        <v>Error?</v>
      </c>
    </row>
    <row r="1794" spans="1:4" x14ac:dyDescent="0.2">
      <c r="A1794" s="5">
        <v>1733</v>
      </c>
      <c r="B1794" s="138">
        <f>'Tax Sched 23'!F6</f>
        <v>695055</v>
      </c>
      <c r="C1794" s="2" t="s">
        <v>594</v>
      </c>
      <c r="D1794" s="2" t="str">
        <f t="shared" si="27"/>
        <v>Error?</v>
      </c>
    </row>
    <row r="1795" spans="1:4" x14ac:dyDescent="0.2">
      <c r="A1795" s="5">
        <v>1734</v>
      </c>
      <c r="B1795" s="138">
        <f>'Tax Sched 23'!F7</f>
        <v>273000</v>
      </c>
      <c r="C1795" s="2" t="s">
        <v>594</v>
      </c>
      <c r="D1795" s="2" t="str">
        <f t="shared" si="27"/>
        <v>Error?</v>
      </c>
    </row>
    <row r="1796" spans="1:4" x14ac:dyDescent="0.2">
      <c r="A1796" s="5">
        <v>1735</v>
      </c>
      <c r="B1796" s="138">
        <f>'Tax Sched 23'!F8</f>
        <v>315159</v>
      </c>
      <c r="C1796" s="2" t="s">
        <v>594</v>
      </c>
      <c r="D1796" s="2" t="str">
        <f t="shared" si="27"/>
        <v>Error?</v>
      </c>
    </row>
    <row r="1797" spans="1:4" x14ac:dyDescent="0.2">
      <c r="A1797" s="5">
        <v>1736</v>
      </c>
      <c r="B1797" s="138">
        <f>'Tax Sched 23'!F10</f>
        <v>67980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423877</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54383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5384523</v>
      </c>
      <c r="C1807" s="2" t="s">
        <v>594</v>
      </c>
      <c r="D1807" s="2" t="str">
        <f t="shared" si="27"/>
        <v>Error?</v>
      </c>
    </row>
    <row r="1808" spans="1:4" x14ac:dyDescent="0.2">
      <c r="A1808" s="5">
        <v>1747</v>
      </c>
      <c r="B1808" s="138">
        <f>'Tax Sched 23'!E4</f>
        <v>2518500</v>
      </c>
      <c r="D1808" s="2" t="str">
        <f t="shared" si="27"/>
        <v>Error?</v>
      </c>
    </row>
    <row r="1809" spans="1:4" x14ac:dyDescent="0.2">
      <c r="A1809" s="5">
        <v>1748</v>
      </c>
      <c r="B1809" s="138">
        <f>'Tax Sched 23'!E5</f>
        <v>679785</v>
      </c>
      <c r="D1809" s="2" t="str">
        <f t="shared" si="27"/>
        <v>Error?</v>
      </c>
    </row>
    <row r="1810" spans="1:4" x14ac:dyDescent="0.2">
      <c r="A1810" s="5">
        <v>1749</v>
      </c>
      <c r="B1810" s="138">
        <f>'Tax Sched 23'!E6</f>
        <v>695055</v>
      </c>
      <c r="D1810" s="2" t="str">
        <f t="shared" si="27"/>
        <v>Error?</v>
      </c>
    </row>
    <row r="1811" spans="1:4" x14ac:dyDescent="0.2">
      <c r="A1811" s="5">
        <v>1750</v>
      </c>
      <c r="B1811" s="138">
        <f>'Tax Sched 23'!E7</f>
        <v>273000</v>
      </c>
      <c r="D1811" s="2" t="str">
        <f t="shared" si="27"/>
        <v>Error?</v>
      </c>
    </row>
    <row r="1812" spans="1:4" x14ac:dyDescent="0.2">
      <c r="A1812" s="5">
        <v>1751</v>
      </c>
      <c r="B1812" s="138">
        <f>'Tax Sched 23'!E8</f>
        <v>315159</v>
      </c>
      <c r="D1812" s="2" t="str">
        <f t="shared" si="27"/>
        <v>Error?</v>
      </c>
    </row>
    <row r="1813" spans="1:4" x14ac:dyDescent="0.2">
      <c r="A1813" s="5">
        <v>1752</v>
      </c>
      <c r="B1813" s="138">
        <f>'Tax Sched 23'!E10</f>
        <v>67980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423877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54383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5384523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2518144</v>
      </c>
      <c r="C1939" s="2" t="s">
        <v>594</v>
      </c>
      <c r="D1939" s="2" t="str">
        <f t="shared" si="29"/>
        <v>Error?</v>
      </c>
    </row>
    <row r="1940" spans="1:5" x14ac:dyDescent="0.2">
      <c r="A1940" s="5">
        <v>1879</v>
      </c>
      <c r="B1940" s="138">
        <f>'Short-Term Long-Term Debt 24'!F49</f>
        <v>2596000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561878</v>
      </c>
      <c r="D2008" s="2" t="str">
        <f t="shared" si="30"/>
        <v>Error?</v>
      </c>
    </row>
    <row r="2009" spans="1:4" x14ac:dyDescent="0.2">
      <c r="A2009" s="5">
        <v>1948</v>
      </c>
      <c r="B2009" s="138">
        <f>'Cap Outlay Deprec 26'!C8</f>
        <v>18419969</v>
      </c>
      <c r="D2009" s="2" t="str">
        <f t="shared" si="30"/>
        <v>Error?</v>
      </c>
    </row>
    <row r="2010" spans="1:4" x14ac:dyDescent="0.2">
      <c r="A2010" s="5">
        <v>1949</v>
      </c>
      <c r="B2010" s="138">
        <f>'Cap Outlay Deprec 26'!C10</f>
        <v>324208</v>
      </c>
      <c r="D2010" s="2" t="str">
        <f t="shared" si="30"/>
        <v>Error?</v>
      </c>
    </row>
    <row r="2011" spans="1:4" x14ac:dyDescent="0.2">
      <c r="A2011" s="5">
        <v>1950</v>
      </c>
      <c r="B2011" s="138">
        <f>'Cap Outlay Deprec 26'!C12</f>
        <v>1740613</v>
      </c>
      <c r="D2011" s="2" t="str">
        <f t="shared" si="30"/>
        <v>Error?</v>
      </c>
    </row>
    <row r="2012" spans="1:4" x14ac:dyDescent="0.2">
      <c r="A2012" s="5">
        <v>1951</v>
      </c>
      <c r="B2012" s="138">
        <f>'Cap Outlay Deprec 26'!C13</f>
        <v>1962986</v>
      </c>
      <c r="D2012" s="2" t="str">
        <f t="shared" si="30"/>
        <v>Error?</v>
      </c>
    </row>
    <row r="2013" spans="1:4" x14ac:dyDescent="0.2">
      <c r="A2013" s="5">
        <v>1952</v>
      </c>
      <c r="B2013" s="138">
        <f>'Cap Outlay Deprec 26'!C16</f>
        <v>23009654</v>
      </c>
      <c r="C2013" s="2" t="s">
        <v>594</v>
      </c>
      <c r="D2013" s="2" t="str">
        <f t="shared" si="30"/>
        <v>Error?</v>
      </c>
    </row>
    <row r="2014" spans="1:4" x14ac:dyDescent="0.2">
      <c r="A2014" s="5">
        <v>1953</v>
      </c>
      <c r="B2014" s="138">
        <f>'Cap Outlay Deprec 26'!D5</f>
        <v>1</v>
      </c>
      <c r="D2014" s="2" t="str">
        <f t="shared" si="30"/>
        <v>Error?</v>
      </c>
    </row>
    <row r="2015" spans="1:4" x14ac:dyDescent="0.2">
      <c r="A2015" s="5">
        <v>1954</v>
      </c>
      <c r="B2015" s="138">
        <f>'Cap Outlay Deprec 26'!D8</f>
        <v>671524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78522</v>
      </c>
      <c r="D2018" s="2" t="str">
        <f t="shared" si="30"/>
        <v>Error?</v>
      </c>
    </row>
    <row r="2019" spans="1:4" x14ac:dyDescent="0.2">
      <c r="A2019" s="5">
        <v>1958</v>
      </c>
      <c r="B2019" s="138">
        <f>'Cap Outlay Deprec 26'!D16</f>
        <v>750047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205876</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205876</v>
      </c>
      <c r="C2025" s="2" t="s">
        <v>594</v>
      </c>
      <c r="D2025" s="2" t="str">
        <f t="shared" si="30"/>
        <v>Error?</v>
      </c>
    </row>
    <row r="2026" spans="1:4" x14ac:dyDescent="0.2">
      <c r="A2026" s="5">
        <v>1965</v>
      </c>
      <c r="B2026" s="138">
        <f>'Cap Outlay Deprec 26'!F5</f>
        <v>561879</v>
      </c>
      <c r="C2026" s="2" t="s">
        <v>594</v>
      </c>
      <c r="D2026" s="2" t="str">
        <f t="shared" si="30"/>
        <v>Error?</v>
      </c>
    </row>
    <row r="2027" spans="1:4" x14ac:dyDescent="0.2">
      <c r="A2027" s="5">
        <v>1966</v>
      </c>
      <c r="B2027" s="138">
        <f>'Cap Outlay Deprec 26'!F8</f>
        <v>18885617</v>
      </c>
      <c r="C2027" s="2" t="s">
        <v>594</v>
      </c>
      <c r="D2027" s="2" t="str">
        <f t="shared" si="30"/>
        <v>Error?</v>
      </c>
    </row>
    <row r="2028" spans="1:4" x14ac:dyDescent="0.2">
      <c r="A2028" s="5">
        <v>1967</v>
      </c>
      <c r="B2028" s="138">
        <f>'Cap Outlay Deprec 26'!F10</f>
        <v>324208</v>
      </c>
      <c r="C2028" s="2" t="s">
        <v>594</v>
      </c>
      <c r="D2028" s="2" t="str">
        <f t="shared" si="30"/>
        <v>Error?</v>
      </c>
    </row>
    <row r="2029" spans="1:4" x14ac:dyDescent="0.2">
      <c r="A2029" s="5">
        <v>1968</v>
      </c>
      <c r="B2029" s="138">
        <f>'Cap Outlay Deprec 26'!F12</f>
        <v>1740613</v>
      </c>
      <c r="C2029" s="2" t="s">
        <v>594</v>
      </c>
      <c r="D2029" s="2" t="str">
        <f t="shared" si="30"/>
        <v>Error?</v>
      </c>
    </row>
    <row r="2030" spans="1:4" x14ac:dyDescent="0.2">
      <c r="A2030" s="5">
        <v>1969</v>
      </c>
      <c r="B2030" s="138">
        <f>'Cap Outlay Deprec 26'!F13</f>
        <v>2041508</v>
      </c>
      <c r="C2030" s="2" t="s">
        <v>594</v>
      </c>
      <c r="D2030" s="2" t="str">
        <f t="shared" si="30"/>
        <v>Error?</v>
      </c>
    </row>
    <row r="2031" spans="1:4" x14ac:dyDescent="0.2">
      <c r="A2031" s="5">
        <v>1970</v>
      </c>
      <c r="B2031" s="138">
        <f>'Cap Outlay Deprec 26'!F16</f>
        <v>23553825</v>
      </c>
      <c r="C2031" s="2" t="s">
        <v>594</v>
      </c>
      <c r="D2031" s="2" t="str">
        <f t="shared" si="30"/>
        <v>Error?</v>
      </c>
    </row>
    <row r="2032" spans="1:4" x14ac:dyDescent="0.2">
      <c r="A2032" s="10">
        <v>1971</v>
      </c>
      <c r="D2032" s="2" t="str">
        <f t="shared" si="30"/>
        <v>OK</v>
      </c>
    </row>
    <row r="2033" spans="1:4" x14ac:dyDescent="0.2">
      <c r="A2033" s="5">
        <v>1972</v>
      </c>
      <c r="B2033" s="138">
        <f>'Cap Outlay Deprec 26'!H8</f>
        <v>9742713</v>
      </c>
      <c r="D2033" s="2" t="str">
        <f t="shared" si="30"/>
        <v>Error?</v>
      </c>
    </row>
    <row r="2034" spans="1:4" x14ac:dyDescent="0.2">
      <c r="A2034" s="5">
        <v>1973</v>
      </c>
      <c r="B2034" s="138">
        <f>'Cap Outlay Deprec 26'!H10</f>
        <v>246507</v>
      </c>
      <c r="D2034" s="2" t="str">
        <f t="shared" si="30"/>
        <v>Error?</v>
      </c>
    </row>
    <row r="2035" spans="1:4" x14ac:dyDescent="0.2">
      <c r="A2035" s="5">
        <v>1974</v>
      </c>
      <c r="B2035" s="138">
        <f>'Cap Outlay Deprec 26'!H12</f>
        <v>1685571</v>
      </c>
      <c r="D2035" s="2" t="str">
        <f t="shared" si="30"/>
        <v>Error?</v>
      </c>
    </row>
    <row r="2036" spans="1:4" x14ac:dyDescent="0.2">
      <c r="A2036" s="5">
        <v>1975</v>
      </c>
      <c r="B2036" s="138">
        <f>'Cap Outlay Deprec 26'!H13</f>
        <v>1856033</v>
      </c>
      <c r="D2036" s="2" t="str">
        <f t="shared" si="30"/>
        <v>Error?</v>
      </c>
    </row>
    <row r="2037" spans="1:4" x14ac:dyDescent="0.2">
      <c r="A2037" s="5">
        <v>1976</v>
      </c>
      <c r="B2037" s="138">
        <f>'Cap Outlay Deprec 26'!H16</f>
        <v>13530824</v>
      </c>
      <c r="C2037" s="2" t="s">
        <v>594</v>
      </c>
      <c r="D2037" s="2" t="str">
        <f t="shared" si="30"/>
        <v>Error?</v>
      </c>
    </row>
    <row r="2038" spans="1:4" x14ac:dyDescent="0.2">
      <c r="A2038" s="10">
        <v>1977</v>
      </c>
      <c r="D2038" s="2" t="str">
        <f t="shared" si="30"/>
        <v>OK</v>
      </c>
    </row>
    <row r="2039" spans="1:4" x14ac:dyDescent="0.2">
      <c r="A2039" s="5">
        <v>1978</v>
      </c>
      <c r="B2039" s="138">
        <f>'Cap Outlay Deprec 26'!I8</f>
        <v>442834</v>
      </c>
      <c r="D2039" s="2" t="str">
        <f t="shared" si="30"/>
        <v>Error?</v>
      </c>
    </row>
    <row r="2040" spans="1:4" x14ac:dyDescent="0.2">
      <c r="A2040" s="5">
        <v>1979</v>
      </c>
      <c r="B2040" s="138">
        <f>'Cap Outlay Deprec 26'!I10</f>
        <v>11659</v>
      </c>
      <c r="D2040" s="2" t="str">
        <f t="shared" si="30"/>
        <v>Error?</v>
      </c>
    </row>
    <row r="2041" spans="1:4" x14ac:dyDescent="0.2">
      <c r="A2041" s="5">
        <v>1980</v>
      </c>
      <c r="B2041" s="138">
        <f>'Cap Outlay Deprec 26'!I12</f>
        <v>9167</v>
      </c>
      <c r="D2041" s="2" t="str">
        <f t="shared" si="30"/>
        <v>Error?</v>
      </c>
    </row>
    <row r="2042" spans="1:4" x14ac:dyDescent="0.2">
      <c r="A2042" s="5">
        <v>1981</v>
      </c>
      <c r="B2042" s="138">
        <f>'Cap Outlay Deprec 26'!I13</f>
        <v>34992</v>
      </c>
      <c r="D2042" s="2" t="str">
        <f t="shared" si="30"/>
        <v>Error?</v>
      </c>
    </row>
    <row r="2043" spans="1:4" x14ac:dyDescent="0.2">
      <c r="A2043" s="5">
        <v>1982</v>
      </c>
      <c r="B2043" s="138">
        <f>'Cap Outlay Deprec 26'!I16</f>
        <v>498652</v>
      </c>
      <c r="C2043" s="2" t="s">
        <v>594</v>
      </c>
      <c r="D2043" s="2" t="str">
        <f t="shared" si="30"/>
        <v>Error?</v>
      </c>
    </row>
    <row r="2044" spans="1:4" x14ac:dyDescent="0.2">
      <c r="A2044" s="10">
        <v>1983</v>
      </c>
      <c r="D2044" s="2" t="str">
        <f t="shared" si="30"/>
        <v>OK</v>
      </c>
    </row>
    <row r="2045" spans="1:4" x14ac:dyDescent="0.2">
      <c r="A2045" s="5">
        <v>1984</v>
      </c>
      <c r="B2045" s="138">
        <f>'Cap Outlay Deprec 26'!J8</f>
        <v>60005</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60005</v>
      </c>
      <c r="C2049" s="2" t="s">
        <v>594</v>
      </c>
      <c r="D2049" s="2" t="str">
        <f t="shared" si="31"/>
        <v>Error?</v>
      </c>
    </row>
    <row r="2050" spans="1:4" x14ac:dyDescent="0.2">
      <c r="A2050" s="10">
        <v>1989</v>
      </c>
      <c r="D2050" s="2" t="str">
        <f t="shared" si="31"/>
        <v>OK</v>
      </c>
    </row>
    <row r="2051" spans="1:4" x14ac:dyDescent="0.2">
      <c r="A2051" s="5">
        <v>1990</v>
      </c>
      <c r="B2051" s="138">
        <f>'Cap Outlay Deprec 26'!K8</f>
        <v>10125542</v>
      </c>
      <c r="C2051" s="2" t="s">
        <v>594</v>
      </c>
      <c r="D2051" s="2" t="str">
        <f t="shared" si="31"/>
        <v>Error?</v>
      </c>
    </row>
    <row r="2052" spans="1:4" x14ac:dyDescent="0.2">
      <c r="A2052" s="5">
        <v>1991</v>
      </c>
      <c r="B2052" s="138">
        <f>'Cap Outlay Deprec 26'!K10</f>
        <v>258166</v>
      </c>
      <c r="C2052" s="2" t="s">
        <v>594</v>
      </c>
      <c r="D2052" s="2" t="str">
        <f t="shared" si="31"/>
        <v>Error?</v>
      </c>
    </row>
    <row r="2053" spans="1:4" x14ac:dyDescent="0.2">
      <c r="A2053" s="5">
        <v>1992</v>
      </c>
      <c r="B2053" s="138">
        <f>'Cap Outlay Deprec 26'!K12</f>
        <v>1694738</v>
      </c>
      <c r="C2053" s="2" t="s">
        <v>594</v>
      </c>
      <c r="D2053" s="2" t="str">
        <f t="shared" si="31"/>
        <v>Error?</v>
      </c>
    </row>
    <row r="2054" spans="1:4" x14ac:dyDescent="0.2">
      <c r="A2054" s="5">
        <v>1993</v>
      </c>
      <c r="B2054" s="138">
        <f>'Cap Outlay Deprec 26'!K13</f>
        <v>1891025</v>
      </c>
      <c r="C2054" s="2" t="s">
        <v>594</v>
      </c>
      <c r="D2054" s="2" t="str">
        <f t="shared" si="31"/>
        <v>Error?</v>
      </c>
    </row>
    <row r="2055" spans="1:4" x14ac:dyDescent="0.2">
      <c r="A2055" s="5">
        <v>1994</v>
      </c>
      <c r="B2055" s="138">
        <f>'Cap Outlay Deprec 26'!K16</f>
        <v>13969471</v>
      </c>
      <c r="C2055" s="2" t="s">
        <v>594</v>
      </c>
      <c r="D2055" s="2" t="str">
        <f t="shared" si="31"/>
        <v>Error?</v>
      </c>
    </row>
    <row r="2056" spans="1:4" x14ac:dyDescent="0.2">
      <c r="A2056" s="5">
        <v>1995</v>
      </c>
      <c r="B2056" s="138">
        <f>'Cap Outlay Deprec 26'!L5</f>
        <v>561879</v>
      </c>
      <c r="C2056" s="2" t="s">
        <v>594</v>
      </c>
      <c r="D2056" s="2" t="str">
        <f t="shared" si="31"/>
        <v>Error?</v>
      </c>
    </row>
    <row r="2057" spans="1:4" x14ac:dyDescent="0.2">
      <c r="A2057" s="5">
        <v>1996</v>
      </c>
      <c r="B2057" s="138">
        <f>'Cap Outlay Deprec 26'!L8</f>
        <v>8760075</v>
      </c>
      <c r="C2057" s="2" t="s">
        <v>594</v>
      </c>
      <c r="D2057" s="2" t="str">
        <f t="shared" si="31"/>
        <v>Error?</v>
      </c>
    </row>
    <row r="2058" spans="1:4" x14ac:dyDescent="0.2">
      <c r="A2058" s="5">
        <v>1997</v>
      </c>
      <c r="B2058" s="138">
        <f>'Cap Outlay Deprec 26'!L10</f>
        <v>66042</v>
      </c>
      <c r="C2058" s="2" t="s">
        <v>594</v>
      </c>
      <c r="D2058" s="2" t="str">
        <f t="shared" si="31"/>
        <v>Error?</v>
      </c>
    </row>
    <row r="2059" spans="1:4" x14ac:dyDescent="0.2">
      <c r="A2059" s="5">
        <v>1998</v>
      </c>
      <c r="B2059" s="138">
        <f>'Cap Outlay Deprec 26'!L12</f>
        <v>45875</v>
      </c>
      <c r="C2059" s="2" t="s">
        <v>594</v>
      </c>
      <c r="D2059" s="2" t="str">
        <f t="shared" si="31"/>
        <v>Error?</v>
      </c>
    </row>
    <row r="2060" spans="1:4" x14ac:dyDescent="0.2">
      <c r="A2060" s="5">
        <v>1999</v>
      </c>
      <c r="B2060" s="138">
        <f>'Cap Outlay Deprec 26'!L13</f>
        <v>150483</v>
      </c>
      <c r="C2060" s="2" t="s">
        <v>594</v>
      </c>
      <c r="D2060" s="2" t="str">
        <f t="shared" si="31"/>
        <v>Error?</v>
      </c>
    </row>
    <row r="2061" spans="1:4" x14ac:dyDescent="0.2">
      <c r="A2061" s="5">
        <v>2000</v>
      </c>
      <c r="B2061" s="138">
        <f>'Cap Outlay Deprec 26'!L16</f>
        <v>9584354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498343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498343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713631</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319244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31701</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109395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4021364</v>
      </c>
      <c r="C2551" s="2" t="s">
        <v>594</v>
      </c>
      <c r="D2551" s="2" t="str">
        <f t="shared" si="38"/>
        <v>Error?</v>
      </c>
    </row>
    <row r="2552" spans="1:4" x14ac:dyDescent="0.2">
      <c r="A2552" s="10">
        <v>2491</v>
      </c>
      <c r="D2552" s="2" t="str">
        <f t="shared" si="38"/>
        <v>OK</v>
      </c>
    </row>
    <row r="2553" spans="1:4" x14ac:dyDescent="0.2">
      <c r="A2553" s="5">
        <v>2492</v>
      </c>
      <c r="B2553" s="138">
        <f>'Acct Summary 7-8'!C6</f>
        <v>5820916</v>
      </c>
      <c r="C2553" s="2" t="s">
        <v>594</v>
      </c>
      <c r="D2553" s="2" t="str">
        <f t="shared" si="38"/>
        <v>Error?</v>
      </c>
    </row>
    <row r="2554" spans="1:4" x14ac:dyDescent="0.2">
      <c r="A2554" s="5">
        <v>2493</v>
      </c>
      <c r="B2554" s="138">
        <f>'Acct Summary 7-8'!C7</f>
        <v>1021292</v>
      </c>
      <c r="C2554" s="2" t="s">
        <v>594</v>
      </c>
      <c r="D2554" s="2" t="str">
        <f t="shared" si="38"/>
        <v>Error?</v>
      </c>
    </row>
    <row r="2555" spans="1:4" x14ac:dyDescent="0.2">
      <c r="A2555" s="5">
        <v>2494</v>
      </c>
      <c r="B2555" s="138">
        <f>'Acct Summary 7-8'!C8</f>
        <v>10863572</v>
      </c>
      <c r="C2555" s="2" t="s">
        <v>594</v>
      </c>
      <c r="D2555" s="2" t="str">
        <f t="shared" si="38"/>
        <v>Error?</v>
      </c>
    </row>
    <row r="2556" spans="1:4" x14ac:dyDescent="0.2">
      <c r="A2556" s="5">
        <v>2495</v>
      </c>
      <c r="B2556" s="138">
        <f>'Acct Summary 7-8'!C12</f>
        <v>8056706</v>
      </c>
      <c r="C2556" s="2" t="s">
        <v>594</v>
      </c>
      <c r="D2556" s="2" t="str">
        <f t="shared" si="38"/>
        <v>Error?</v>
      </c>
    </row>
    <row r="2557" spans="1:4" x14ac:dyDescent="0.2">
      <c r="A2557" s="5">
        <v>2496</v>
      </c>
      <c r="B2557" s="138">
        <f>'Acct Summary 7-8'!C13</f>
        <v>2244837</v>
      </c>
      <c r="C2557" s="2" t="s">
        <v>594</v>
      </c>
      <c r="D2557" s="2" t="str">
        <f t="shared" si="38"/>
        <v>Error?</v>
      </c>
    </row>
    <row r="2558" spans="1:4" x14ac:dyDescent="0.2">
      <c r="A2558" s="5">
        <v>2497</v>
      </c>
      <c r="B2558" s="138">
        <f>'Acct Summary 7-8'!C14</f>
        <v>128734</v>
      </c>
      <c r="C2558" s="2" t="s">
        <v>594</v>
      </c>
      <c r="D2558" s="2" t="str">
        <f t="shared" si="38"/>
        <v>Error?</v>
      </c>
    </row>
    <row r="2559" spans="1:4" x14ac:dyDescent="0.2">
      <c r="A2559" s="5">
        <v>2498</v>
      </c>
      <c r="B2559" s="138">
        <f>'Acct Summary 7-8'!C15</f>
        <v>498343</v>
      </c>
      <c r="C2559" s="2" t="s">
        <v>594</v>
      </c>
      <c r="D2559" s="2" t="str">
        <f t="shared" ref="D2559:D2622" si="39">IF(ISBLANK(B2559),"OK",IF(A2559-B2559=0,"OK","Error?"))</f>
        <v>Error?</v>
      </c>
    </row>
    <row r="2560" spans="1:4" x14ac:dyDescent="0.2">
      <c r="A2560" s="5">
        <v>2499</v>
      </c>
      <c r="B2560" s="138">
        <f>'Acct Summary 7-8'!C16</f>
        <v>8676</v>
      </c>
      <c r="C2560" s="2" t="s">
        <v>594</v>
      </c>
      <c r="D2560" s="2" t="str">
        <f t="shared" si="39"/>
        <v>Error?</v>
      </c>
    </row>
    <row r="2561" spans="1:4" x14ac:dyDescent="0.2">
      <c r="A2561" s="5">
        <v>2500</v>
      </c>
      <c r="B2561" s="138">
        <f>'Acct Summary 7-8'!C17</f>
        <v>10937296</v>
      </c>
      <c r="C2561" s="2" t="s">
        <v>594</v>
      </c>
      <c r="D2561" s="2" t="str">
        <f t="shared" si="39"/>
        <v>Error?</v>
      </c>
    </row>
    <row r="2562" spans="1:4" x14ac:dyDescent="0.2">
      <c r="A2562" s="5">
        <v>2501</v>
      </c>
      <c r="B2562" s="138">
        <f>'Acct Summary 7-8'!C20</f>
        <v>-73724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704574</v>
      </c>
      <c r="C2564" s="2" t="s">
        <v>594</v>
      </c>
      <c r="D2564" s="2" t="str">
        <f t="shared" si="39"/>
        <v>Error?</v>
      </c>
    </row>
    <row r="2565" spans="1:4" x14ac:dyDescent="0.2">
      <c r="A2565" s="10">
        <v>2504</v>
      </c>
      <c r="D2565" s="2" t="str">
        <f t="shared" si="39"/>
        <v>OK</v>
      </c>
    </row>
    <row r="2566" spans="1:4" x14ac:dyDescent="0.2">
      <c r="A2566" s="5">
        <v>2505</v>
      </c>
      <c r="B2566" s="138">
        <f>'Acct Summary 7-8'!D6</f>
        <v>350000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1054574</v>
      </c>
      <c r="C2568" s="2" t="s">
        <v>594</v>
      </c>
      <c r="D2568" s="2" t="str">
        <f t="shared" si="39"/>
        <v>Error?</v>
      </c>
    </row>
    <row r="2569" spans="1:4" x14ac:dyDescent="0.2">
      <c r="A2569" s="5">
        <v>2508</v>
      </c>
      <c r="B2569" s="138">
        <f>'Acct Summary 7-8'!D13</f>
        <v>1986136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1986136</v>
      </c>
      <c r="C2573" s="2" t="s">
        <v>594</v>
      </c>
      <c r="D2573" s="2" t="str">
        <f t="shared" si="39"/>
        <v>Error?</v>
      </c>
    </row>
    <row r="2574" spans="1:4" x14ac:dyDescent="0.2">
      <c r="A2574" s="5">
        <v>2513</v>
      </c>
      <c r="B2574" s="138">
        <f>'Acct Summary 7-8'!D20</f>
        <v>-931562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274862</v>
      </c>
      <c r="C2591" s="2" t="s">
        <v>594</v>
      </c>
      <c r="D2591" s="2" t="str">
        <f t="shared" si="39"/>
        <v>Error?</v>
      </c>
    </row>
    <row r="2592" spans="1:4" x14ac:dyDescent="0.2">
      <c r="A2592" s="10">
        <v>2531</v>
      </c>
      <c r="D2592" s="2" t="str">
        <f t="shared" si="39"/>
        <v>OK</v>
      </c>
    </row>
    <row r="2593" spans="1:4" x14ac:dyDescent="0.2">
      <c r="A2593" s="5">
        <v>2532</v>
      </c>
      <c r="B2593" s="138">
        <f>'Acct Summary 7-8'!F6</f>
        <v>424509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699371</v>
      </c>
      <c r="C2595" s="2" t="s">
        <v>594</v>
      </c>
      <c r="D2595" s="2" t="str">
        <f t="shared" si="39"/>
        <v>Error?</v>
      </c>
    </row>
    <row r="2596" spans="1:4" x14ac:dyDescent="0.2">
      <c r="A2596" s="5">
        <v>2535</v>
      </c>
      <c r="B2596" s="138">
        <f>'Acct Summary 7-8'!F13</f>
        <v>613184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173897</v>
      </c>
      <c r="C2599" s="2" t="s">
        <v>594</v>
      </c>
      <c r="D2599" s="2" t="str">
        <f t="shared" si="39"/>
        <v>Error?</v>
      </c>
    </row>
    <row r="2600" spans="1:4" x14ac:dyDescent="0.2">
      <c r="A2600" s="5">
        <v>2539</v>
      </c>
      <c r="B2600" s="138">
        <f>'Acct Summary 7-8'!F17</f>
        <v>787081</v>
      </c>
      <c r="C2600" s="2" t="s">
        <v>594</v>
      </c>
      <c r="D2600" s="2" t="str">
        <f t="shared" si="39"/>
        <v>Error?</v>
      </c>
    </row>
    <row r="2601" spans="1:4" x14ac:dyDescent="0.2">
      <c r="A2601" s="5">
        <v>2540</v>
      </c>
      <c r="B2601" s="138">
        <f>'Acct Summary 7-8'!F20</f>
        <v>-87710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588158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588158</v>
      </c>
      <c r="C2606" s="2" t="s">
        <v>594</v>
      </c>
      <c r="D2606" s="2" t="str">
        <f t="shared" si="39"/>
        <v>Error?</v>
      </c>
    </row>
    <row r="2607" spans="1:4" x14ac:dyDescent="0.2">
      <c r="A2607" s="5">
        <v>2546</v>
      </c>
      <c r="B2607" s="138">
        <f>'Acct Summary 7-8'!G12</f>
        <v>226674</v>
      </c>
      <c r="C2607" s="2" t="s">
        <v>594</v>
      </c>
      <c r="D2607" s="2" t="str">
        <f t="shared" si="39"/>
        <v>Error?</v>
      </c>
    </row>
    <row r="2608" spans="1:4" x14ac:dyDescent="0.2">
      <c r="A2608" s="5">
        <v>2547</v>
      </c>
      <c r="B2608" s="138">
        <f>'Acct Summary 7-8'!G13</f>
        <v>319359</v>
      </c>
      <c r="C2608" s="2" t="s">
        <v>594</v>
      </c>
      <c r="D2608" s="2" t="str">
        <f t="shared" si="39"/>
        <v>Error?</v>
      </c>
    </row>
    <row r="2609" spans="1:4" x14ac:dyDescent="0.2">
      <c r="A2609" s="5">
        <v>2548</v>
      </c>
      <c r="B2609" s="138">
        <f>'Acct Summary 7-8'!G14</f>
        <v>14001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560034</v>
      </c>
      <c r="C2612" s="2" t="s">
        <v>594</v>
      </c>
      <c r="D2612" s="2" t="str">
        <f t="shared" si="39"/>
        <v>Error?</v>
      </c>
    </row>
    <row r="2613" spans="1:4" x14ac:dyDescent="0.2">
      <c r="A2613" s="5">
        <v>2552</v>
      </c>
      <c r="B2613" s="138">
        <f>'Acct Summary 7-8'!G20</f>
        <v>28124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709868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709868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760869</v>
      </c>
      <c r="C2634" s="2" t="s">
        <v>594</v>
      </c>
      <c r="D2634" s="2" t="str">
        <f t="shared" si="40"/>
        <v>Error?</v>
      </c>
    </row>
    <row r="2635" spans="1:4" x14ac:dyDescent="0.2">
      <c r="A2635" s="5">
        <v>2574</v>
      </c>
      <c r="B2635" s="138">
        <f>'Acct Summary 7-8'!E17</f>
        <v>760869</v>
      </c>
      <c r="C2635" s="2" t="s">
        <v>594</v>
      </c>
      <c r="D2635" s="2" t="str">
        <f t="shared" si="40"/>
        <v>Error?</v>
      </c>
    </row>
    <row r="2636" spans="1:4" x14ac:dyDescent="0.2">
      <c r="A2636" s="5">
        <v>2575</v>
      </c>
      <c r="B2636" s="138">
        <f>'Acct Summary 7-8'!E20</f>
        <v>-51001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447992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447992</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447992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64062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2735459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240062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64062</v>
      </c>
      <c r="D2908" s="2" t="str">
        <f t="shared" si="44"/>
        <v>Error?</v>
      </c>
    </row>
    <row r="2909" spans="1:4" x14ac:dyDescent="0.2">
      <c r="A2909" s="10">
        <v>2848</v>
      </c>
      <c r="D2909" s="2" t="str">
        <f t="shared" si="44"/>
        <v>OK</v>
      </c>
    </row>
    <row r="2910" spans="1:4" x14ac:dyDescent="0.2">
      <c r="A2910" s="5">
        <v>2849</v>
      </c>
      <c r="B2910" s="138">
        <f>'Assets-Liab 5-6'!I34</f>
        <v>64062</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2671397</v>
      </c>
      <c r="D2912" s="2" t="str">
        <f t="shared" si="44"/>
        <v>Error?</v>
      </c>
    </row>
    <row r="2913" spans="1:4" x14ac:dyDescent="0.2">
      <c r="A2913" s="5">
        <v>2852</v>
      </c>
      <c r="B2913" s="138">
        <f>'Assets-Liab 5-6'!I41</f>
        <v>2735459</v>
      </c>
      <c r="C2913" s="2" t="s">
        <v>594</v>
      </c>
      <c r="D2913" s="2" t="str">
        <f t="shared" si="44"/>
        <v>Error?</v>
      </c>
    </row>
    <row r="2914" spans="1:4" x14ac:dyDescent="0.2">
      <c r="A2914" s="5">
        <v>2853</v>
      </c>
      <c r="B2914" s="138">
        <f>'Assets-Liab 5-6'!L33</f>
        <v>240062</v>
      </c>
      <c r="D2914" s="2" t="str">
        <f t="shared" si="44"/>
        <v>Error?</v>
      </c>
    </row>
    <row r="2915" spans="1:4" x14ac:dyDescent="0.2">
      <c r="A2915" s="10">
        <v>2854</v>
      </c>
      <c r="D2915" s="2" t="str">
        <f t="shared" si="44"/>
        <v>OK</v>
      </c>
    </row>
    <row r="2916" spans="1:4" x14ac:dyDescent="0.2">
      <c r="A2916" s="5">
        <v>2855</v>
      </c>
      <c r="B2916" s="138">
        <f>'Assets-Liab 5-6'!L34</f>
        <v>240062</v>
      </c>
      <c r="C2916" s="2" t="s">
        <v>594</v>
      </c>
      <c r="D2916" s="2" t="str">
        <f t="shared" si="44"/>
        <v>Error?</v>
      </c>
    </row>
    <row r="2917" spans="1:4" x14ac:dyDescent="0.2">
      <c r="A2917" s="5">
        <v>2856</v>
      </c>
      <c r="B2917" s="138">
        <f>'Assets-Liab 5-6'!L41</f>
        <v>240062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498343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498343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338597</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338597</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68319</v>
      </c>
      <c r="C3225" s="2" t="s">
        <v>594</v>
      </c>
      <c r="D3225" s="2" t="str">
        <f t="shared" si="49"/>
        <v>Error?</v>
      </c>
    </row>
    <row r="3226" spans="1:4" x14ac:dyDescent="0.2">
      <c r="A3226" s="5">
        <v>3165</v>
      </c>
      <c r="B3226" s="138">
        <f>'Acct Summary 7-8'!I8</f>
        <v>68319</v>
      </c>
      <c r="C3226" s="2" t="s">
        <v>594</v>
      </c>
      <c r="D3226" s="2" t="str">
        <f t="shared" si="49"/>
        <v>Error?</v>
      </c>
    </row>
    <row r="3227" spans="1:4" x14ac:dyDescent="0.2">
      <c r="A3227" s="5">
        <v>3166</v>
      </c>
      <c r="B3227" s="138">
        <f>'Acct Summary 7-8'!I20</f>
        <v>68319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713631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713631</v>
      </c>
      <c r="C3232" s="2" t="s">
        <v>594</v>
      </c>
      <c r="D3232" s="2" t="str">
        <f t="shared" si="49"/>
        <v>Error?</v>
      </c>
    </row>
    <row r="3233" spans="1:4" x14ac:dyDescent="0.2">
      <c r="A3233" s="5">
        <v>3172</v>
      </c>
      <c r="B3233" s="138">
        <f>'Acct Summary 7-8'!C78</f>
        <v>639907</v>
      </c>
      <c r="C3233" s="2" t="s">
        <v>594</v>
      </c>
      <c r="D3233" s="2" t="str">
        <f t="shared" si="49"/>
        <v>Error?</v>
      </c>
    </row>
    <row r="3234" spans="1:4" x14ac:dyDescent="0.2">
      <c r="A3234" s="5">
        <v>3173</v>
      </c>
      <c r="B3234" s="138">
        <f>'Acct Summary 7-8'!D43</f>
        <v>985000</v>
      </c>
      <c r="D3234" s="2" t="str">
        <f t="shared" si="49"/>
        <v>Error?</v>
      </c>
    </row>
    <row r="3235" spans="1:4" x14ac:dyDescent="0.2">
      <c r="A3235" s="5">
        <v>3174</v>
      </c>
      <c r="B3235" s="138">
        <f>'Acct Summary 7-8'!D44</f>
        <v>1323597</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1323597</v>
      </c>
      <c r="C3238" s="2" t="s">
        <v>594</v>
      </c>
      <c r="D3238" s="2" t="str">
        <f t="shared" si="49"/>
        <v>Error?</v>
      </c>
    </row>
    <row r="3239" spans="1:4" x14ac:dyDescent="0.2">
      <c r="A3239" s="5">
        <v>3178</v>
      </c>
      <c r="B3239" s="138">
        <f>'Acct Summary 7-8'!D78</f>
        <v>392035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35000</v>
      </c>
      <c r="D3251" s="2" t="str">
        <f t="shared" si="49"/>
        <v>Error?</v>
      </c>
    </row>
    <row r="3252" spans="1:4" x14ac:dyDescent="0.2">
      <c r="A3252" s="5">
        <v>3191</v>
      </c>
      <c r="B3252" s="138">
        <f>'Acct Summary 7-8'!F44</f>
        <v>35000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35000</v>
      </c>
      <c r="C3255" s="2" t="s">
        <v>594</v>
      </c>
      <c r="D3255" s="2" t="str">
        <f t="shared" si="49"/>
        <v>Error?</v>
      </c>
    </row>
    <row r="3256" spans="1:4" x14ac:dyDescent="0.2">
      <c r="A3256" s="5">
        <v>3195</v>
      </c>
      <c r="B3256" s="138">
        <f>'Acct Summary 7-8'!F78</f>
        <v>-52710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28124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-51001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338597</v>
      </c>
      <c r="C3298" s="2" t="s">
        <v>594</v>
      </c>
      <c r="D3298" s="2" t="str">
        <f t="shared" si="50"/>
        <v>Error?</v>
      </c>
    </row>
    <row r="3299" spans="1:4" x14ac:dyDescent="0.2">
      <c r="A3299" s="5">
        <v>3238</v>
      </c>
      <c r="B3299" s="138">
        <f>'Acct Summary 7-8'!H77</f>
        <v>-338597</v>
      </c>
      <c r="C3299" s="2" t="s">
        <v>594</v>
      </c>
      <c r="D3299" s="2" t="str">
        <f t="shared" si="50"/>
        <v>Error?</v>
      </c>
    </row>
    <row r="3300" spans="1:4" x14ac:dyDescent="0.2">
      <c r="A3300" s="5">
        <v>3239</v>
      </c>
      <c r="B3300" s="138">
        <f>'Acct Summary 7-8'!H78</f>
        <v>109395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671</v>
      </c>
      <c r="D3316" s="2" t="str">
        <f t="shared" si="50"/>
        <v>Error?</v>
      </c>
    </row>
    <row r="3317" spans="1:4" x14ac:dyDescent="0.2">
      <c r="A3317" s="5">
        <v>3256</v>
      </c>
      <c r="B3317" s="138">
        <f>'Acct Summary 7-8'!I44</f>
        <v>2596671</v>
      </c>
      <c r="C3317" s="2" t="s">
        <v>594</v>
      </c>
      <c r="D3317" s="2" t="str">
        <f t="shared" si="50"/>
        <v>Error?</v>
      </c>
    </row>
    <row r="3318" spans="1:4" x14ac:dyDescent="0.2">
      <c r="A3318" s="5">
        <v>3257</v>
      </c>
      <c r="B3318" s="138">
        <f>'Acct Summary 7-8'!I76</f>
        <v>748631</v>
      </c>
      <c r="C3318" s="2" t="s">
        <v>594</v>
      </c>
      <c r="D3318" s="2" t="str">
        <f t="shared" si="50"/>
        <v>Error?</v>
      </c>
    </row>
    <row r="3319" spans="1:4" x14ac:dyDescent="0.2">
      <c r="A3319" s="5">
        <v>3258</v>
      </c>
      <c r="B3319" s="138">
        <f>'Acct Summary 7-8'!I77</f>
        <v>1848040</v>
      </c>
      <c r="C3319" s="2" t="s">
        <v>594</v>
      </c>
      <c r="D3319" s="2" t="str">
        <f t="shared" si="50"/>
        <v>Error?</v>
      </c>
    </row>
    <row r="3320" spans="1:4" x14ac:dyDescent="0.2">
      <c r="A3320" s="5">
        <v>3259</v>
      </c>
      <c r="B3320" s="138">
        <f>'Acct Summary 7-8'!I78</f>
        <v>1916359</v>
      </c>
      <c r="C3320" s="2" t="s">
        <v>594</v>
      </c>
      <c r="D3320" s="2" t="str">
        <f t="shared" si="50"/>
        <v>Error?</v>
      </c>
    </row>
    <row r="3321" spans="1:4" x14ac:dyDescent="0.2">
      <c r="A3321" s="5">
        <v>3260</v>
      </c>
      <c r="B3321" s="138">
        <f>'Acct Summary 7-8'!I79</f>
        <v>755038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2671397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1078580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195181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15349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1292913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119081</v>
      </c>
      <c r="D3387" s="2" t="str">
        <f t="shared" si="51"/>
        <v>Error?</v>
      </c>
    </row>
    <row r="3388" spans="1:4" x14ac:dyDescent="0.2">
      <c r="A3388" s="5">
        <v>3327</v>
      </c>
      <c r="B3388" s="138">
        <f>'Expenditures 15-22'!D217</f>
        <v>81750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119081</v>
      </c>
      <c r="C3390" s="2" t="s">
        <v>594</v>
      </c>
      <c r="D3390" s="2" t="str">
        <f t="shared" si="51"/>
        <v>Error?</v>
      </c>
    </row>
    <row r="3391" spans="1:4" x14ac:dyDescent="0.2">
      <c r="A3391" s="5">
        <v>3330</v>
      </c>
      <c r="B3391" s="138">
        <f>'Expenditures 15-22'!K217</f>
        <v>81750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715039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347222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50116</v>
      </c>
      <c r="D3417" s="2" t="str">
        <f t="shared" si="52"/>
        <v>Error?</v>
      </c>
    </row>
    <row r="3418" spans="1:4" x14ac:dyDescent="0.2">
      <c r="A3418" s="10">
        <v>3357</v>
      </c>
      <c r="D3418" s="2" t="str">
        <f t="shared" si="52"/>
        <v>OK</v>
      </c>
    </row>
    <row r="3419" spans="1:4" x14ac:dyDescent="0.2">
      <c r="A3419" s="5">
        <v>3358</v>
      </c>
      <c r="B3419" s="138">
        <f>'Assets-Liab 5-6'!F4</f>
        <v>83953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293722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109395</v>
      </c>
      <c r="D3425" s="2" t="str">
        <f t="shared" si="52"/>
        <v>Error?</v>
      </c>
    </row>
    <row r="3426" spans="1:4" x14ac:dyDescent="0.2">
      <c r="A3426" s="10">
        <v>3365</v>
      </c>
      <c r="D3426" s="2" t="str">
        <f t="shared" si="52"/>
        <v>OK</v>
      </c>
    </row>
    <row r="3427" spans="1:4" x14ac:dyDescent="0.2">
      <c r="A3427" s="5">
        <v>3366</v>
      </c>
      <c r="B3427" s="138">
        <f>'Assets-Liab 5-6'!I4</f>
        <v>2546397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240062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280923</v>
      </c>
      <c r="C3446" s="2" t="s">
        <v>594</v>
      </c>
      <c r="D3446" s="2" t="str">
        <f t="shared" si="52"/>
        <v>Error?</v>
      </c>
    </row>
    <row r="3447" spans="1:4" x14ac:dyDescent="0.2">
      <c r="A3447" s="5">
        <v>3386</v>
      </c>
      <c r="B3447" s="138">
        <f>'Tax Sched 23'!D16</f>
        <v>280923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288804</v>
      </c>
      <c r="C3449" s="2" t="s">
        <v>594</v>
      </c>
      <c r="D3449" s="2" t="str">
        <f t="shared" si="52"/>
        <v>Error?</v>
      </c>
    </row>
    <row r="3450" spans="1:4" x14ac:dyDescent="0.2">
      <c r="A3450" s="5">
        <v>3389</v>
      </c>
      <c r="B3450" s="138">
        <f>'Tax Sched 23'!E16</f>
        <v>288804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2934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2934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2934</v>
      </c>
      <c r="D3567" s="2" t="str">
        <f t="shared" si="54"/>
        <v>Error?</v>
      </c>
    </row>
    <row r="3568" spans="1:4" x14ac:dyDescent="0.2">
      <c r="A3568" s="5">
        <v>3507</v>
      </c>
      <c r="B3568" s="138">
        <f>'Assets-Liab 5-6'!K41</f>
        <v>2934</v>
      </c>
      <c r="C3568" s="2" t="s">
        <v>594</v>
      </c>
      <c r="D3568" s="2" t="str">
        <f t="shared" si="54"/>
        <v>Error?</v>
      </c>
    </row>
    <row r="3569" spans="1:4" x14ac:dyDescent="0.2">
      <c r="A3569" s="5">
        <v>3508</v>
      </c>
      <c r="B3569" s="138">
        <f>'Acct Summary 7-8'!K4</f>
        <v>12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v>
      </c>
      <c r="C3571" s="2" t="s">
        <v>594</v>
      </c>
      <c r="D3571" s="2" t="str">
        <f t="shared" si="54"/>
        <v>Error?</v>
      </c>
    </row>
    <row r="3572" spans="1:4" x14ac:dyDescent="0.2">
      <c r="A3572" s="5">
        <v>3511</v>
      </c>
      <c r="B3572" s="138">
        <f>'Acct Summary 7-8'!K13</f>
        <v>6087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6087</v>
      </c>
      <c r="C3575" s="2" t="s">
        <v>594</v>
      </c>
      <c r="D3575" s="2" t="str">
        <f t="shared" si="54"/>
        <v>Error?</v>
      </c>
    </row>
    <row r="3576" spans="1:4" x14ac:dyDescent="0.2">
      <c r="A3576" s="5">
        <v>3515</v>
      </c>
      <c r="B3576" s="138">
        <f>'Acct Summary 7-8'!K20</f>
        <v>-6075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-6075</v>
      </c>
      <c r="C3588" s="2" t="s">
        <v>594</v>
      </c>
      <c r="D3588" s="2" t="str">
        <f t="shared" si="55"/>
        <v>Error?</v>
      </c>
    </row>
    <row r="3589" spans="1:4" x14ac:dyDescent="0.2">
      <c r="A3589" s="5">
        <v>3528</v>
      </c>
      <c r="B3589" s="138">
        <f>'Acct Summary 7-8'!K79</f>
        <v>9009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2934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6087</v>
      </c>
      <c r="D3632" s="2" t="str">
        <f t="shared" si="55"/>
        <v>Error?</v>
      </c>
    </row>
    <row r="3633" spans="1:4" x14ac:dyDescent="0.2">
      <c r="A3633" s="5">
        <v>3572</v>
      </c>
      <c r="B3633" s="138">
        <f>'Expenditures 15-22'!E350</f>
        <v>6087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6087</v>
      </c>
      <c r="C3635" s="2" t="s">
        <v>594</v>
      </c>
      <c r="D3635" s="2" t="str">
        <f t="shared" si="55"/>
        <v>Error?</v>
      </c>
    </row>
    <row r="3636" spans="1:4" x14ac:dyDescent="0.2">
      <c r="A3636" s="5">
        <v>3575</v>
      </c>
      <c r="B3636" s="138">
        <f>'Expenditures 15-22'!E367</f>
        <v>6087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6087</v>
      </c>
      <c r="C3669" s="2" t="s">
        <v>594</v>
      </c>
      <c r="D3669" s="2" t="str">
        <f t="shared" si="56"/>
        <v>Error?</v>
      </c>
    </row>
    <row r="3670" spans="1:4" x14ac:dyDescent="0.2">
      <c r="A3670" s="5">
        <v>3609</v>
      </c>
      <c r="B3670" s="138">
        <f>'Expenditures 15-22'!K350</f>
        <v>6087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6087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6087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-6075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66231</v>
      </c>
      <c r="C3725" s="2" t="s">
        <v>594</v>
      </c>
      <c r="D3725" s="2" t="str">
        <f t="shared" si="57"/>
        <v>Error?</v>
      </c>
    </row>
    <row r="3726" spans="1:4" x14ac:dyDescent="0.2">
      <c r="A3726" s="5">
        <v>3665</v>
      </c>
      <c r="B3726" s="138">
        <f>'Tax Sched 23'!D13</f>
        <v>66231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67980</v>
      </c>
      <c r="C3728" s="2" t="s">
        <v>594</v>
      </c>
      <c r="D3728" s="2" t="str">
        <f t="shared" si="57"/>
        <v>Error?</v>
      </c>
    </row>
    <row r="3729" spans="1:4" x14ac:dyDescent="0.2">
      <c r="A3729" s="5">
        <v>3668</v>
      </c>
      <c r="B3729" s="138">
        <f>'Tax Sched 23'!E13</f>
        <v>67980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52686</v>
      </c>
      <c r="D4081" s="2" t="str">
        <f t="shared" si="62"/>
        <v>Error?</v>
      </c>
    </row>
    <row r="4082" spans="1:4" x14ac:dyDescent="0.2">
      <c r="A4082" s="5">
        <v>4021</v>
      </c>
      <c r="B4082" s="138">
        <f>'Expenditures 15-22'!D180</f>
        <v>15006</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67692</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10863572</v>
      </c>
      <c r="C4122" s="2" t="s">
        <v>594</v>
      </c>
      <c r="D4122" s="2" t="str">
        <f t="shared" si="63"/>
        <v>Error?</v>
      </c>
    </row>
    <row r="4123" spans="1:4" x14ac:dyDescent="0.2">
      <c r="A4123" s="5">
        <v>4062</v>
      </c>
      <c r="B4123" s="138">
        <f>'Acct Summary 7-8'!D10</f>
        <v>1054574</v>
      </c>
      <c r="C4123" s="2" t="s">
        <v>594</v>
      </c>
      <c r="D4123" s="2" t="str">
        <f t="shared" si="63"/>
        <v>Error?</v>
      </c>
    </row>
    <row r="4124" spans="1:4" x14ac:dyDescent="0.2">
      <c r="A4124" s="5">
        <v>4063</v>
      </c>
      <c r="B4124" s="138">
        <f>'Acct Summary 7-8'!E10</f>
        <v>709868</v>
      </c>
      <c r="C4124" s="2" t="s">
        <v>594</v>
      </c>
      <c r="D4124" s="2" t="str">
        <f t="shared" si="63"/>
        <v>Error?</v>
      </c>
    </row>
    <row r="4125" spans="1:4" x14ac:dyDescent="0.2">
      <c r="A4125" s="5">
        <v>4064</v>
      </c>
      <c r="B4125" s="138">
        <f>'Acct Summary 7-8'!F10</f>
        <v>699371</v>
      </c>
      <c r="C4125" s="2" t="s">
        <v>594</v>
      </c>
      <c r="D4125" s="2" t="str">
        <f t="shared" si="63"/>
        <v>Error?</v>
      </c>
    </row>
    <row r="4126" spans="1:4" x14ac:dyDescent="0.2">
      <c r="A4126" s="5">
        <v>4065</v>
      </c>
      <c r="B4126" s="138">
        <f>'Acct Summary 7-8'!G10</f>
        <v>588158</v>
      </c>
      <c r="C4126" s="2" t="s">
        <v>594</v>
      </c>
      <c r="D4126" s="2" t="str">
        <f t="shared" si="63"/>
        <v>Error?</v>
      </c>
    </row>
    <row r="4127" spans="1:4" x14ac:dyDescent="0.2">
      <c r="A4127" s="5">
        <v>4066</v>
      </c>
      <c r="B4127" s="138">
        <f>'Acct Summary 7-8'!H10</f>
        <v>447992</v>
      </c>
      <c r="C4127" s="2" t="s">
        <v>594</v>
      </c>
      <c r="D4127" s="2" t="str">
        <f t="shared" si="63"/>
        <v>Error?</v>
      </c>
    </row>
    <row r="4128" spans="1:4" x14ac:dyDescent="0.2">
      <c r="A4128" s="5">
        <v>4067</v>
      </c>
      <c r="B4128" s="138">
        <f>'Acct Summary 7-8'!I10</f>
        <v>68319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10937296</v>
      </c>
      <c r="C4136" s="2" t="s">
        <v>594</v>
      </c>
      <c r="D4136" s="2" t="str">
        <f t="shared" si="63"/>
        <v>Error?</v>
      </c>
    </row>
    <row r="4137" spans="1:4" x14ac:dyDescent="0.2">
      <c r="A4137" s="5">
        <v>4076</v>
      </c>
      <c r="B4137" s="138">
        <f>'Acct Summary 7-8'!D19</f>
        <v>1986136</v>
      </c>
      <c r="C4137" s="2" t="s">
        <v>594</v>
      </c>
      <c r="D4137" s="2" t="str">
        <f t="shared" si="63"/>
        <v>Error?</v>
      </c>
    </row>
    <row r="4138" spans="1:4" x14ac:dyDescent="0.2">
      <c r="A4138" s="5">
        <v>4077</v>
      </c>
      <c r="B4138" s="138">
        <f>'Acct Summary 7-8'!E19</f>
        <v>760869</v>
      </c>
      <c r="C4138" s="2" t="s">
        <v>594</v>
      </c>
      <c r="D4138" s="2" t="str">
        <f t="shared" si="63"/>
        <v>Error?</v>
      </c>
    </row>
    <row r="4139" spans="1:4" x14ac:dyDescent="0.2">
      <c r="A4139" s="5">
        <v>4078</v>
      </c>
      <c r="B4139" s="138">
        <f>'Acct Summary 7-8'!F19</f>
        <v>787081</v>
      </c>
      <c r="C4139" s="2" t="s">
        <v>594</v>
      </c>
      <c r="D4139" s="2" t="str">
        <f t="shared" si="63"/>
        <v>Error?</v>
      </c>
    </row>
    <row r="4140" spans="1:4" x14ac:dyDescent="0.2">
      <c r="A4140" s="5">
        <v>4079</v>
      </c>
      <c r="B4140" s="138">
        <f>'Acct Summary 7-8'!G19</f>
        <v>560034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6087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4354252</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759892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170545</v>
      </c>
      <c r="D4210" s="2" t="str">
        <f t="shared" si="64"/>
        <v>Error?</v>
      </c>
    </row>
    <row r="4211" spans="1:4" x14ac:dyDescent="0.2">
      <c r="A4211" s="5">
        <v>4150</v>
      </c>
      <c r="B4211" s="138">
        <f>'Expenditures 15-22'!K206</f>
        <v>170545</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3318252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63546</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30930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140774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2294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2005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128123052</v>
      </c>
      <c r="D4995" s="2" t="str">
        <f t="shared" si="77"/>
        <v>Error?</v>
      </c>
    </row>
    <row r="4996" spans="1:4" x14ac:dyDescent="0.2">
      <c r="A4996" s="12">
        <v>4935</v>
      </c>
      <c r="B4996" s="138">
        <f>'FP Info 3'!H31</f>
        <v>17680981.176000003</v>
      </c>
      <c r="D4996" s="2" t="str">
        <f t="shared" si="77"/>
        <v>Error?</v>
      </c>
    </row>
    <row r="4997" spans="1:4" x14ac:dyDescent="0.2">
      <c r="A4997" s="12">
        <v>4936</v>
      </c>
      <c r="B4997" s="138">
        <f>'FP Info 3'!H37</f>
        <v>4354252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66231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2435395</v>
      </c>
      <c r="D5061" s="2" t="str">
        <f t="shared" si="78"/>
        <v>Error?</v>
      </c>
    </row>
    <row r="5062" spans="1:4" x14ac:dyDescent="0.2">
      <c r="A5062" s="10">
        <v>5001</v>
      </c>
      <c r="D5062" s="2" t="str">
        <f t="shared" si="78"/>
        <v>OK</v>
      </c>
    </row>
    <row r="5063" spans="1:4" x14ac:dyDescent="0.2">
      <c r="A5063" s="5">
        <v>5002</v>
      </c>
      <c r="B5063" s="138">
        <f>'Revenues 9-14'!C7</f>
        <v>53037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2554663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794789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794789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356597</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356597</v>
      </c>
      <c r="C5087" s="2" t="s">
        <v>594</v>
      </c>
      <c r="D5087" s="2" t="str">
        <f t="shared" si="78"/>
        <v>Error?</v>
      </c>
    </row>
    <row r="5088" spans="1:4" x14ac:dyDescent="0.2">
      <c r="A5088" s="5">
        <v>5027</v>
      </c>
      <c r="B5088" s="138">
        <f>'Revenues 9-14'!C65</f>
        <v>1411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1411</v>
      </c>
      <c r="C5090" s="2" t="s">
        <v>594</v>
      </c>
      <c r="D5090" s="2" t="str">
        <f t="shared" si="78"/>
        <v>Error?</v>
      </c>
    </row>
    <row r="5091" spans="1:4" x14ac:dyDescent="0.2">
      <c r="A5091" s="5">
        <v>5030</v>
      </c>
      <c r="B5091" s="138">
        <f>'Revenues 9-14'!C70</f>
        <v>10197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4588</v>
      </c>
      <c r="D5094" s="2" t="str">
        <f t="shared" si="78"/>
        <v>Error?</v>
      </c>
    </row>
    <row r="5095" spans="1:4" x14ac:dyDescent="0.2">
      <c r="A5095" s="5">
        <v>5034</v>
      </c>
      <c r="B5095" s="138">
        <f>'Revenues 9-14'!C74</f>
        <v>-782</v>
      </c>
      <c r="D5095" s="2" t="str">
        <f t="shared" si="78"/>
        <v>Error?</v>
      </c>
    </row>
    <row r="5096" spans="1:4" x14ac:dyDescent="0.2">
      <c r="A5096" s="5">
        <v>5035</v>
      </c>
      <c r="B5096" s="138">
        <f>'Revenues 9-14'!C75</f>
        <v>91006</v>
      </c>
      <c r="C5096" s="2" t="s">
        <v>594</v>
      </c>
      <c r="D5096" s="2" t="str">
        <f t="shared" si="78"/>
        <v>Error?</v>
      </c>
    </row>
    <row r="5097" spans="1:4" x14ac:dyDescent="0.2">
      <c r="A5097" s="5">
        <v>5036</v>
      </c>
      <c r="B5097" s="138">
        <f>'Revenues 9-14'!C77</f>
        <v>57169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24839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82008</v>
      </c>
      <c r="C5102" s="2" t="s">
        <v>594</v>
      </c>
      <c r="D5102" s="2" t="str">
        <f t="shared" si="78"/>
        <v>Error?</v>
      </c>
    </row>
    <row r="5103" spans="1:4" x14ac:dyDescent="0.2">
      <c r="A5103" s="5">
        <v>5042</v>
      </c>
      <c r="B5103" s="138">
        <f>'Revenues 9-14'!C84</f>
        <v>34598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34598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6409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88428</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106292</v>
      </c>
      <c r="C5120" s="2" t="s">
        <v>594</v>
      </c>
      <c r="D5120" s="2" t="str">
        <f t="shared" si="79"/>
        <v>Error?</v>
      </c>
    </row>
    <row r="5121" spans="1:4" x14ac:dyDescent="0.2">
      <c r="A5121" s="5">
        <v>5060</v>
      </c>
      <c r="B5121" s="138">
        <f>'Revenues 9-14'!C109</f>
        <v>4021364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5302806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5302806</v>
      </c>
      <c r="C5132" s="2" t="s">
        <v>594</v>
      </c>
      <c r="D5132" s="2" t="str">
        <f t="shared" si="79"/>
        <v>Error?</v>
      </c>
    </row>
    <row r="5133" spans="1:4" x14ac:dyDescent="0.2">
      <c r="A5133" s="5">
        <v>5072</v>
      </c>
      <c r="B5133" s="138">
        <f>'Revenues 9-14'!C124</f>
        <v>13003</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363855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440404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42683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53507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2867</v>
      </c>
      <c r="D5167" s="2" t="str">
        <f t="shared" si="79"/>
        <v>Error?</v>
      </c>
    </row>
    <row r="5168" spans="1:4" x14ac:dyDescent="0.2">
      <c r="A5168" s="5">
        <v>5107</v>
      </c>
      <c r="B5168" s="138">
        <f>'Revenues 9-14'!C147</f>
        <v>19327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518110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5820916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278615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94576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373191</v>
      </c>
      <c r="C5246" s="2" t="s">
        <v>594</v>
      </c>
      <c r="D5246" s="2" t="str">
        <f t="shared" si="80"/>
        <v>Error?</v>
      </c>
    </row>
    <row r="5247" spans="1:4" x14ac:dyDescent="0.2">
      <c r="A5247" s="5">
        <v>5186</v>
      </c>
      <c r="B5247" s="138">
        <f>'Revenues 9-14'!C203</f>
        <v>474103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474103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1021292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1021292</v>
      </c>
      <c r="C5326" s="2" t="s">
        <v>594</v>
      </c>
      <c r="D5326" s="2" t="str">
        <f t="shared" si="82"/>
        <v>Error?</v>
      </c>
    </row>
    <row r="5327" spans="1:4" x14ac:dyDescent="0.2">
      <c r="A5327" s="5">
        <v>5266</v>
      </c>
      <c r="B5327" s="138">
        <f>'Revenues 9-14'!C275</f>
        <v>10863572</v>
      </c>
      <c r="C5327" s="2" t="s">
        <v>594</v>
      </c>
      <c r="D5327" s="2" t="str">
        <f t="shared" si="82"/>
        <v>Error?</v>
      </c>
    </row>
    <row r="5328" spans="1:4" x14ac:dyDescent="0.2">
      <c r="A5328" s="5">
        <v>5267</v>
      </c>
      <c r="B5328" s="138">
        <f>'Revenues 9-14'!D5</f>
        <v>661788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661788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484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1150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42302</v>
      </c>
      <c r="C5355" s="2" t="s">
        <v>594</v>
      </c>
      <c r="D5355" s="2" t="str">
        <f t="shared" si="82"/>
        <v>Error?</v>
      </c>
    </row>
    <row r="5356" spans="1:4" x14ac:dyDescent="0.2">
      <c r="A5356" s="5">
        <v>5295</v>
      </c>
      <c r="B5356" s="138">
        <f>'Revenues 9-14'!D109</f>
        <v>704574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350000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350000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1054574</v>
      </c>
      <c r="C5508" s="2" t="s">
        <v>594</v>
      </c>
      <c r="D5508" s="2" t="str">
        <f t="shared" si="85"/>
        <v>Error?</v>
      </c>
    </row>
    <row r="5509" spans="1:4" x14ac:dyDescent="0.2">
      <c r="A5509" s="5">
        <v>5448</v>
      </c>
      <c r="B5509" s="138">
        <f>'Revenues 9-14'!E5</f>
        <v>709688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709688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180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709868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709868</v>
      </c>
      <c r="C5552" s="2" t="s">
        <v>594</v>
      </c>
      <c r="D5552" s="2" t="str">
        <f t="shared" si="85"/>
        <v>Error?</v>
      </c>
    </row>
    <row r="5553" spans="1:4" x14ac:dyDescent="0.2">
      <c r="A5553" s="5">
        <v>5492</v>
      </c>
      <c r="B5553" s="138">
        <f>'Revenues 9-14'!F5</f>
        <v>264794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264794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10007</v>
      </c>
      <c r="C5587" s="2" t="s">
        <v>594</v>
      </c>
      <c r="D5587" s="2" t="str">
        <f t="shared" si="86"/>
        <v>Error?</v>
      </c>
    </row>
    <row r="5588" spans="1:4" x14ac:dyDescent="0.2">
      <c r="A5588" s="5">
        <v>5527</v>
      </c>
      <c r="B5588" s="138">
        <f>'Revenues 9-14'!F109</f>
        <v>274862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286377</v>
      </c>
      <c r="D5615" s="2" t="str">
        <f t="shared" si="86"/>
        <v>Error?</v>
      </c>
    </row>
    <row r="5616" spans="1:4" x14ac:dyDescent="0.2">
      <c r="A5616" s="10">
        <v>5555</v>
      </c>
      <c r="D5616" s="2" t="str">
        <f t="shared" si="86"/>
        <v>OK</v>
      </c>
    </row>
    <row r="5617" spans="1:4" x14ac:dyDescent="0.2">
      <c r="A5617" s="5">
        <v>5556</v>
      </c>
      <c r="B5617" s="138">
        <f>'Revenues 9-14'!F152</f>
        <v>118132</v>
      </c>
      <c r="D5617" s="2" t="str">
        <f t="shared" si="86"/>
        <v>Error?</v>
      </c>
    </row>
    <row r="5618" spans="1:4" x14ac:dyDescent="0.2">
      <c r="A5618" s="5">
        <v>5557</v>
      </c>
      <c r="B5618" s="138">
        <f>'Revenues 9-14'!F154</f>
        <v>404509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404509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424509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699371</v>
      </c>
      <c r="C5720" s="2" t="s">
        <v>594</v>
      </c>
      <c r="D5720" s="2" t="str">
        <f t="shared" si="88"/>
        <v>Error?</v>
      </c>
    </row>
    <row r="5721" spans="1:4" x14ac:dyDescent="0.2">
      <c r="A5721" s="5">
        <v>5660</v>
      </c>
      <c r="B5721" s="138">
        <f>'Revenues 9-14'!G5</f>
        <v>306639</v>
      </c>
      <c r="D5721" s="2" t="str">
        <f t="shared" si="88"/>
        <v>Error?</v>
      </c>
    </row>
    <row r="5722" spans="1:4" x14ac:dyDescent="0.2">
      <c r="A5722" s="5">
        <v>5661</v>
      </c>
      <c r="B5722" s="138">
        <f>'Revenues 9-14'!G7</f>
        <v>0</v>
      </c>
      <c r="D5722" s="2" t="str">
        <f t="shared" si="88"/>
        <v>Error?</v>
      </c>
    </row>
    <row r="5723" spans="1:4" x14ac:dyDescent="0.2">
      <c r="A5723" s="5">
        <v>5662</v>
      </c>
      <c r="B5723" s="138">
        <f>'Revenues 9-14'!G8</f>
        <v>280923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587562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596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588158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304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447688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447992</v>
      </c>
      <c r="C5915" s="2" t="s">
        <v>594</v>
      </c>
      <c r="D5915" s="2" t="str">
        <f t="shared" si="91"/>
        <v>Error?</v>
      </c>
    </row>
    <row r="5916" spans="1:4" x14ac:dyDescent="0.2">
      <c r="A5916" s="5">
        <v>5855</v>
      </c>
      <c r="B5916" s="138">
        <f>'Revenues 9-14'!I5</f>
        <v>66231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66231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2088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2088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68319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v>
      </c>
      <c r="C6023" s="2" t="s">
        <v>594</v>
      </c>
      <c r="D6023" s="2" t="str">
        <f t="shared" si="93"/>
        <v>Error?</v>
      </c>
    </row>
    <row r="6024" spans="1:5" x14ac:dyDescent="0.2">
      <c r="A6024" s="5">
        <v>5963</v>
      </c>
      <c r="B6024" s="138">
        <f>'Revenues 9-14'!G109</f>
        <v>588158</v>
      </c>
      <c r="C6024" s="2" t="s">
        <v>594</v>
      </c>
      <c r="D6024" s="2" t="str">
        <f t="shared" si="93"/>
        <v>Error?</v>
      </c>
    </row>
    <row r="6025" spans="1:5" x14ac:dyDescent="0.2">
      <c r="A6025" s="5">
        <v>5964</v>
      </c>
      <c r="B6025" s="138">
        <f>'Revenues 9-14'!H109</f>
        <v>447992</v>
      </c>
      <c r="C6025" s="2" t="s">
        <v>594</v>
      </c>
      <c r="D6025" s="2" t="str">
        <f t="shared" si="93"/>
        <v>Error?</v>
      </c>
    </row>
    <row r="6026" spans="1:5" x14ac:dyDescent="0.2">
      <c r="A6026" s="5">
        <v>5965</v>
      </c>
      <c r="B6026" s="138">
        <f>'Revenues 9-14'!I109</f>
        <v>68319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77003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1385.48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125000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428788</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101773</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9268</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591690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125000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47968</v>
      </c>
      <c r="D6142" s="2" t="str">
        <f t="shared" si="94"/>
        <v>Error?</v>
      </c>
      <c r="E6142" s="2" t="s">
        <v>199</v>
      </c>
    </row>
    <row r="6143" spans="1:5" x14ac:dyDescent="0.2">
      <c r="A6143">
        <v>6082</v>
      </c>
      <c r="B6143" s="138">
        <f>'Assets-Liab 5-6'!D27</f>
        <v>27940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284</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64839</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783599</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28478</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1639</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423959</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425598</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166092</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591690</v>
      </c>
      <c r="D6216" s="2" t="str">
        <f t="shared" si="96"/>
        <v>Error?</v>
      </c>
      <c r="E6216" s="2" t="s">
        <v>199</v>
      </c>
    </row>
    <row r="6217" spans="1:5" x14ac:dyDescent="0.2">
      <c r="A6217">
        <v>6156</v>
      </c>
      <c r="B6217" s="138">
        <f>'Assets-Liab 5-6'!J4</f>
        <v>158463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423959</v>
      </c>
      <c r="D6219" s="2" t="str">
        <f t="shared" si="96"/>
        <v>Error?</v>
      </c>
      <c r="E6219" s="2" t="s">
        <v>199</v>
      </c>
    </row>
    <row r="6220" spans="1:5" x14ac:dyDescent="0.2">
      <c r="A6220">
        <v>6159</v>
      </c>
      <c r="B6220" s="138">
        <f>'Acct Summary 7-8'!J4</f>
        <v>418650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418650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418650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308942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308942</v>
      </c>
      <c r="D6229" s="2" t="str">
        <f t="shared" si="96"/>
        <v>Error?</v>
      </c>
      <c r="E6229" s="2" t="s">
        <v>199</v>
      </c>
    </row>
    <row r="6230" spans="1:5" x14ac:dyDescent="0.2">
      <c r="A6230">
        <v>6169</v>
      </c>
      <c r="B6230" s="138">
        <f>'Acct Summary 7-8'!J20</f>
        <v>109708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35000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109708</v>
      </c>
      <c r="D6263" s="2" t="str">
        <f t="shared" si="96"/>
        <v>Error?</v>
      </c>
      <c r="E6263" s="2" t="s">
        <v>199</v>
      </c>
    </row>
    <row r="6264" spans="1:5" x14ac:dyDescent="0.2">
      <c r="A6264">
        <v>6203</v>
      </c>
      <c r="B6264" s="138">
        <f>'Acct Summary 7-8'!J79</f>
        <v>56384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166092</v>
      </c>
      <c r="D6266" s="2" t="str">
        <f t="shared" si="96"/>
        <v>Error?</v>
      </c>
      <c r="E6266" s="2" t="s">
        <v>199</v>
      </c>
    </row>
    <row r="6267" spans="1:5" x14ac:dyDescent="0.2">
      <c r="A6267">
        <v>6206</v>
      </c>
      <c r="B6267" s="138">
        <f>'Acct Summary 7-8'!C82</f>
        <v>639907</v>
      </c>
      <c r="D6267" s="2" t="str">
        <f t="shared" si="96"/>
        <v>Error?</v>
      </c>
      <c r="E6267" s="2" t="s">
        <v>199</v>
      </c>
    </row>
    <row r="6268" spans="1:5" x14ac:dyDescent="0.2">
      <c r="A6268">
        <v>6207</v>
      </c>
      <c r="B6268" s="138">
        <f>'Acct Summary 7-8'!D82</f>
        <v>392035</v>
      </c>
      <c r="D6268" s="2" t="str">
        <f t="shared" si="96"/>
        <v>Error?</v>
      </c>
      <c r="E6268" s="2" t="s">
        <v>199</v>
      </c>
    </row>
    <row r="6269" spans="1:5" x14ac:dyDescent="0.2">
      <c r="A6269">
        <v>6208</v>
      </c>
      <c r="B6269" s="138">
        <f>'Acct Summary 7-8'!E82</f>
        <v>-51001</v>
      </c>
      <c r="D6269" s="2" t="str">
        <f t="shared" si="96"/>
        <v>Error?</v>
      </c>
      <c r="E6269" s="2" t="s">
        <v>199</v>
      </c>
    </row>
    <row r="6270" spans="1:5" x14ac:dyDescent="0.2">
      <c r="A6270">
        <v>6209</v>
      </c>
      <c r="B6270" s="138">
        <f>'Acct Summary 7-8'!F82</f>
        <v>-52710</v>
      </c>
      <c r="D6270" s="2" t="str">
        <f t="shared" si="96"/>
        <v>Error?</v>
      </c>
      <c r="E6270" s="2" t="s">
        <v>199</v>
      </c>
    </row>
    <row r="6271" spans="1:5" x14ac:dyDescent="0.2">
      <c r="A6271">
        <v>6210</v>
      </c>
      <c r="B6271" s="138">
        <f>'Acct Summary 7-8'!G82</f>
        <v>28124</v>
      </c>
      <c r="D6271" s="2" t="str">
        <f t="shared" ref="D6271:D6334" si="97">IF(ISBLANK(B6271),"OK",IF(A6271-B6271=0,"OK","Error?"))</f>
        <v>Error?</v>
      </c>
      <c r="E6271" s="2" t="s">
        <v>199</v>
      </c>
    </row>
    <row r="6272" spans="1:5" x14ac:dyDescent="0.2">
      <c r="A6272">
        <v>6211</v>
      </c>
      <c r="B6272" s="138">
        <f>'Acct Summary 7-8'!H82</f>
        <v>109395</v>
      </c>
      <c r="D6272" s="2" t="str">
        <f t="shared" si="97"/>
        <v>Error?</v>
      </c>
      <c r="E6272" s="2" t="s">
        <v>199</v>
      </c>
    </row>
    <row r="6273" spans="1:5" x14ac:dyDescent="0.2">
      <c r="A6273">
        <v>6212</v>
      </c>
      <c r="B6273" s="138">
        <f>'Acct Summary 7-8'!I82</f>
        <v>1916359</v>
      </c>
      <c r="D6273" s="2" t="str">
        <f t="shared" si="97"/>
        <v>Error?</v>
      </c>
      <c r="E6273" s="2" t="s">
        <v>199</v>
      </c>
    </row>
    <row r="6274" spans="1:5" x14ac:dyDescent="0.2">
      <c r="A6274">
        <v>6213</v>
      </c>
      <c r="B6274" s="138">
        <f>'Acct Summary 7-8'!J82</f>
        <v>109708</v>
      </c>
      <c r="D6274" s="2" t="str">
        <f t="shared" si="97"/>
        <v>Error?</v>
      </c>
      <c r="E6274" s="2" t="s">
        <v>199</v>
      </c>
    </row>
    <row r="6275" spans="1:5" x14ac:dyDescent="0.2">
      <c r="A6275">
        <v>6214</v>
      </c>
      <c r="B6275" s="138">
        <f>'Acct Summary 7-8'!K82</f>
        <v>-6075</v>
      </c>
      <c r="D6275" s="2" t="str">
        <f t="shared" si="97"/>
        <v>Error?</v>
      </c>
      <c r="E6275" s="2" t="s">
        <v>199</v>
      </c>
    </row>
    <row r="6276" spans="1:5" x14ac:dyDescent="0.2">
      <c r="A6276">
        <v>6215</v>
      </c>
      <c r="B6276" s="138">
        <f>'Acct Summary 7-8'!C83</f>
        <v>2.162505491534588</v>
      </c>
      <c r="D6276" s="2" t="str">
        <f t="shared" si="97"/>
        <v>Error?</v>
      </c>
      <c r="E6276" s="2" t="s">
        <v>199</v>
      </c>
    </row>
    <row r="6277" spans="1:5" x14ac:dyDescent="0.2">
      <c r="A6277">
        <v>6216</v>
      </c>
      <c r="B6277" s="138">
        <f>'Acct Summary 7-8'!D83</f>
        <v>1.228010549924196</v>
      </c>
      <c r="D6277" s="2" t="str">
        <f t="shared" si="97"/>
        <v>Error?</v>
      </c>
      <c r="E6277" s="2" t="s">
        <v>199</v>
      </c>
    </row>
    <row r="6278" spans="1:5" x14ac:dyDescent="0.2">
      <c r="A6278">
        <v>6217</v>
      </c>
      <c r="B6278" s="138">
        <f>'Acct Summary 7-8'!E83</f>
        <v>3.4640358622563334</v>
      </c>
      <c r="D6278" s="2" t="str">
        <f t="shared" si="97"/>
        <v>Error?</v>
      </c>
      <c r="E6278" s="2" t="s">
        <v>199</v>
      </c>
    </row>
    <row r="6279" spans="1:5" x14ac:dyDescent="0.2">
      <c r="A6279">
        <v>6218</v>
      </c>
      <c r="B6279" s="138">
        <f>'Acct Summary 7-8'!F83</f>
        <v>-1.6627235733888521</v>
      </c>
      <c r="D6279" s="2" t="str">
        <f t="shared" si="97"/>
        <v>Error?</v>
      </c>
      <c r="E6279" s="2" t="s">
        <v>199</v>
      </c>
    </row>
    <row r="6280" spans="1:5" x14ac:dyDescent="0.2">
      <c r="A6280">
        <v>6219</v>
      </c>
      <c r="B6280" s="138">
        <f>'Acct Summary 7-8'!G83</f>
        <v>9.5750077453927676E-2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0.71736211427953245</v>
      </c>
      <c r="D6282" s="2" t="str">
        <f t="shared" si="97"/>
        <v>Error?</v>
      </c>
      <c r="E6282" s="2" t="s">
        <v>199</v>
      </c>
    </row>
    <row r="6283" spans="1:5" x14ac:dyDescent="0.2">
      <c r="A6283">
        <v>6222</v>
      </c>
      <c r="B6283" s="138">
        <f>'Acct Summary 7-8'!J83</f>
        <v>0.66052549189605758</v>
      </c>
      <c r="D6283" s="2" t="str">
        <f t="shared" si="97"/>
        <v>Error?</v>
      </c>
      <c r="E6283" s="2" t="s">
        <v>199</v>
      </c>
    </row>
    <row r="6284" spans="1:5" x14ac:dyDescent="0.2">
      <c r="A6284">
        <v>6223</v>
      </c>
      <c r="B6284" s="138">
        <f>'Acct Summary 7-8'!K83</f>
        <v>-2.0705521472392636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418170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418170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280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280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8355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200</v>
      </c>
      <c r="D6351" s="2" t="str">
        <f t="shared" si="98"/>
        <v>Error?</v>
      </c>
      <c r="E6351" s="2" t="s">
        <v>199</v>
      </c>
    </row>
    <row r="6352" spans="1:5" x14ac:dyDescent="0.2">
      <c r="A6352">
        <v>6291</v>
      </c>
      <c r="B6352" s="138">
        <f>'Revenues 9-14'!J109</f>
        <v>418650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10824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190294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211668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104437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8676</v>
      </c>
      <c r="D7018" s="2" t="str">
        <f t="shared" si="108"/>
        <v>Error?</v>
      </c>
    </row>
    <row r="7019" spans="1:4" x14ac:dyDescent="0.2">
      <c r="A7019">
        <v>6958</v>
      </c>
      <c r="B7019" s="138">
        <f>'Expenditures 15-22'!K112</f>
        <v>8676</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308942</v>
      </c>
      <c r="D7042" s="2" t="str">
        <f t="shared" si="109"/>
        <v>Error?</v>
      </c>
    </row>
    <row r="7043" spans="1:5" x14ac:dyDescent="0.2">
      <c r="A7043">
        <v>6982</v>
      </c>
      <c r="B7043" s="138">
        <f>'Revenues 9-14'!H9</f>
        <v>0</v>
      </c>
      <c r="D7043" s="2" t="str">
        <f t="shared" si="109"/>
        <v>Error?</v>
      </c>
    </row>
    <row r="7044" spans="1:5" x14ac:dyDescent="0.2">
      <c r="A7044">
        <v>6983</v>
      </c>
      <c r="B7044" s="138">
        <f>'Revenues 9-14'!D106</f>
        <v>41152</v>
      </c>
      <c r="D7044" s="2" t="str">
        <f t="shared" si="109"/>
        <v>Error?</v>
      </c>
    </row>
    <row r="7045" spans="1:5" x14ac:dyDescent="0.2">
      <c r="A7045">
        <v>6984</v>
      </c>
      <c r="B7045" s="138">
        <f>'Revenues 9-14'!E106</f>
        <v>0</v>
      </c>
      <c r="D7045" s="2" t="str">
        <f t="shared" si="109"/>
        <v>Error?</v>
      </c>
    </row>
    <row r="7046" spans="1:5" x14ac:dyDescent="0.2">
      <c r="A7046">
        <v>6985</v>
      </c>
      <c r="B7046" s="138">
        <f>'Revenues 9-14'!F106</f>
        <v>10007</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418650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3352</v>
      </c>
      <c r="D7067" s="2" t="str">
        <f t="shared" si="109"/>
        <v>Error?</v>
      </c>
    </row>
    <row r="7068" spans="1:4" x14ac:dyDescent="0.2">
      <c r="A7068">
        <v>7007</v>
      </c>
      <c r="B7068" s="138">
        <f>'Expenditures 15-22'!K205</f>
        <v>3352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10083</v>
      </c>
      <c r="D7073" s="2" t="str">
        <f t="shared" si="109"/>
        <v>Error?</v>
      </c>
    </row>
    <row r="7074" spans="1:4" x14ac:dyDescent="0.2">
      <c r="A7074">
        <v>7013</v>
      </c>
      <c r="B7074" s="138">
        <f>'Expenditures 15-22'!K216</f>
        <v>10083</v>
      </c>
      <c r="D7074" s="2" t="str">
        <f t="shared" si="109"/>
        <v>Error?</v>
      </c>
    </row>
    <row r="7075" spans="1:4" x14ac:dyDescent="0.2">
      <c r="A7075">
        <v>7014</v>
      </c>
      <c r="B7075" s="138">
        <f>'Expenditures 15-22'!D218</f>
        <v>996</v>
      </c>
      <c r="D7075" s="2" t="str">
        <f t="shared" si="109"/>
        <v>Error?</v>
      </c>
    </row>
    <row r="7076" spans="1:4" x14ac:dyDescent="0.2">
      <c r="A7076">
        <v>7015</v>
      </c>
      <c r="B7076" s="138">
        <f>'Expenditures 15-22'!K218</f>
        <v>996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2840</v>
      </c>
      <c r="D7089" s="2" t="str">
        <f t="shared" si="109"/>
        <v>Error?</v>
      </c>
    </row>
    <row r="7090" spans="1:4" x14ac:dyDescent="0.2">
      <c r="A7090">
        <v>7029</v>
      </c>
      <c r="B7090" s="138">
        <f>'Expenditures 15-22'!K252</f>
        <v>2840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74602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74602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9521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9521</v>
      </c>
      <c r="D7153" s="2" t="str">
        <f t="shared" si="110"/>
        <v>Error?</v>
      </c>
    </row>
    <row r="7154" spans="1:4" x14ac:dyDescent="0.2">
      <c r="A7154">
        <v>7093</v>
      </c>
      <c r="B7154" s="138">
        <f>'Expenditures 15-22'!C323</f>
        <v>72806</v>
      </c>
      <c r="D7154" s="2" t="str">
        <f t="shared" si="110"/>
        <v>Error?</v>
      </c>
    </row>
    <row r="7155" spans="1:4" x14ac:dyDescent="0.2">
      <c r="A7155">
        <v>7094</v>
      </c>
      <c r="B7155" s="138">
        <f>'Expenditures 15-22'!D323</f>
        <v>8323</v>
      </c>
      <c r="D7155" s="2" t="str">
        <f t="shared" si="110"/>
        <v>Error?</v>
      </c>
    </row>
    <row r="7156" spans="1:4" x14ac:dyDescent="0.2">
      <c r="A7156">
        <v>7095</v>
      </c>
      <c r="B7156" s="138">
        <f>'Expenditures 15-22'!E323</f>
        <v>6724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87853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16309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16309</v>
      </c>
      <c r="D7198" s="2" t="str">
        <f t="shared" si="111"/>
        <v>Error?</v>
      </c>
    </row>
    <row r="7199" spans="1:4" x14ac:dyDescent="0.2">
      <c r="A7199">
        <v>7138</v>
      </c>
      <c r="B7199" s="138">
        <f>'Expenditures 15-22'!C330</f>
        <v>72806</v>
      </c>
      <c r="D7199" s="2" t="str">
        <f t="shared" si="111"/>
        <v>Error?</v>
      </c>
    </row>
    <row r="7200" spans="1:4" x14ac:dyDescent="0.2">
      <c r="A7200">
        <v>7139</v>
      </c>
      <c r="B7200" s="138">
        <f>'Expenditures 15-22'!D330</f>
        <v>8323</v>
      </c>
      <c r="D7200" s="2" t="str">
        <f t="shared" si="111"/>
        <v>Error?</v>
      </c>
    </row>
    <row r="7201" spans="1:4" x14ac:dyDescent="0.2">
      <c r="A7201">
        <v>7140</v>
      </c>
      <c r="B7201" s="138">
        <f>'Expenditures 15-22'!E330</f>
        <v>227813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308942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72806</v>
      </c>
      <c r="D7216" s="2" t="str">
        <f t="shared" si="111"/>
        <v>Error?</v>
      </c>
    </row>
    <row r="7217" spans="1:4" x14ac:dyDescent="0.2">
      <c r="A7217">
        <v>7156</v>
      </c>
      <c r="B7217" s="138">
        <f>'Expenditures 15-22'!D342</f>
        <v>8323</v>
      </c>
      <c r="D7217" s="2" t="str">
        <f t="shared" si="111"/>
        <v>Error?</v>
      </c>
    </row>
    <row r="7218" spans="1:4" x14ac:dyDescent="0.2">
      <c r="A7218">
        <v>7157</v>
      </c>
      <c r="B7218" s="138">
        <f>'Expenditures 15-22'!E342</f>
        <v>227813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308942</v>
      </c>
      <c r="D7224" s="2" t="str">
        <f t="shared" si="111"/>
        <v>Error?</v>
      </c>
    </row>
    <row r="7225" spans="1:4" x14ac:dyDescent="0.2">
      <c r="A7225">
        <v>7164</v>
      </c>
      <c r="B7225" s="138">
        <f>'Expenditures 15-22'!K343</f>
        <v>109708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20562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812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86043</v>
      </c>
      <c r="D7251" s="2" t="str">
        <f t="shared" si="112"/>
        <v>Error?</v>
      </c>
    </row>
    <row r="7252" spans="1:4" x14ac:dyDescent="0.2">
      <c r="A7252">
        <f t="shared" si="113"/>
        <v>7191</v>
      </c>
      <c r="B7252" s="138">
        <f>'Expenditures 15-22'!D9</f>
        <v>18394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498652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200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120657</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120657</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447688</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0</v>
      </c>
      <c r="D7797" s="2" t="str">
        <f t="shared" si="127"/>
        <v>Error?</v>
      </c>
      <c r="E7797" s="4" t="s">
        <v>2018</v>
      </c>
    </row>
    <row r="7798" spans="1:5" x14ac:dyDescent="0.2">
      <c r="A7798">
        <v>7737</v>
      </c>
      <c r="B7798" s="138">
        <f>'Contracts Paid in CY 29'!F141</f>
        <v>0</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23" sqref="B2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1798</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Wabash CUSD #348</v>
      </c>
      <c r="B7" s="2424"/>
      <c r="C7" s="2424"/>
      <c r="D7" s="2425"/>
      <c r="E7" s="2426" t="str">
        <f>COVER!A13</f>
        <v>20-093-3480-26</v>
      </c>
      <c r="F7" s="2427"/>
      <c r="G7" s="2433" t="str">
        <f>COVER!T23</f>
        <v>65-016025</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Watler Accounting, CPA, PC</v>
      </c>
      <c r="H9" s="2439"/>
      <c r="I9" s="2439"/>
      <c r="J9" s="2439"/>
      <c r="K9" s="2439"/>
      <c r="L9" s="2440"/>
    </row>
    <row r="10" spans="1:29" ht="13.5" customHeight="1" x14ac:dyDescent="0.2">
      <c r="A10" s="2413" t="str">
        <f>COVER!A38</f>
        <v>Charles Bleyer</v>
      </c>
      <c r="B10" s="2414"/>
      <c r="C10" s="2414"/>
      <c r="D10" s="2414"/>
      <c r="E10" s="2414"/>
      <c r="F10" s="2415"/>
      <c r="G10" s="2407" t="str">
        <f>COVER!T17</f>
        <v>528 N. Market St.</v>
      </c>
      <c r="H10" s="2408"/>
      <c r="I10" s="2408"/>
      <c r="J10" s="2408"/>
      <c r="K10" s="2408"/>
      <c r="L10" s="2409"/>
    </row>
    <row r="11" spans="1:29" ht="13.5" customHeight="1" x14ac:dyDescent="0.2">
      <c r="A11" s="1185" t="s">
        <v>1599</v>
      </c>
      <c r="B11" s="1186"/>
      <c r="C11" s="1187"/>
      <c r="D11" s="1192"/>
      <c r="E11" s="1187"/>
      <c r="F11" s="1191"/>
      <c r="G11" s="2407" t="str">
        <f>COVER!T19</f>
        <v>Mt. Carmel</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jls@watler.com</v>
      </c>
      <c r="J13" s="2420"/>
      <c r="K13" s="2420"/>
      <c r="L13" s="2421"/>
    </row>
    <row r="14" spans="1:29" ht="13.5" customHeight="1" x14ac:dyDescent="0.2">
      <c r="A14" s="2407" t="str">
        <f>COVER!A19</f>
        <v>218 W. 13th Street</v>
      </c>
      <c r="B14" s="2408"/>
      <c r="C14" s="2408"/>
      <c r="D14" s="2408"/>
      <c r="E14" s="2408"/>
      <c r="F14" s="2409"/>
      <c r="G14" s="1196" t="s">
        <v>1247</v>
      </c>
      <c r="H14" s="1194"/>
      <c r="I14" s="1194"/>
      <c r="J14" s="1194"/>
      <c r="K14" s="1194"/>
      <c r="L14" s="1195"/>
    </row>
    <row r="15" spans="1:29" ht="13.5" customHeight="1" x14ac:dyDescent="0.2">
      <c r="A15" s="2407" t="str">
        <f>COVER!A21</f>
        <v>Mt. Carmel, IL</v>
      </c>
      <c r="B15" s="2408"/>
      <c r="C15" s="2408"/>
      <c r="D15" s="2408"/>
      <c r="E15" s="2408"/>
      <c r="F15" s="2409"/>
      <c r="G15" s="2404" t="str">
        <f>COVER!T15</f>
        <v>Janet L. Storey, CPA</v>
      </c>
      <c r="H15" s="2405"/>
      <c r="I15" s="2405"/>
      <c r="J15" s="2405"/>
      <c r="K15" s="2405"/>
      <c r="L15" s="2406"/>
    </row>
    <row r="16" spans="1:29" ht="12.2" customHeight="1" x14ac:dyDescent="0.2">
      <c r="A16" s="2429">
        <f>COVER!A25</f>
        <v>62863</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618-262-5446</v>
      </c>
      <c r="H18" s="2424"/>
      <c r="I18" s="2424"/>
      <c r="J18" s="2424"/>
      <c r="K18" s="2423" t="str">
        <f>COVER!X21</f>
        <v>618-262-8921</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1800</v>
      </c>
    </row>
    <row r="27" spans="1:13" s="1199" customFormat="1" ht="9" customHeight="1" x14ac:dyDescent="0.2">
      <c r="B27" s="1204"/>
      <c r="C27" s="1203"/>
    </row>
    <row r="28" spans="1:13" s="1199" customFormat="1" ht="12.2" customHeight="1" x14ac:dyDescent="0.2">
      <c r="A28" s="1206"/>
      <c r="B28" s="1202" t="s">
        <v>2077</v>
      </c>
      <c r="C28" s="1203" t="s">
        <v>1801</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2077</v>
      </c>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Wabash CUSD #348</v>
      </c>
      <c r="B1" s="2422"/>
      <c r="C1" s="2422"/>
      <c r="D1" s="2422"/>
    </row>
    <row r="2" spans="1:11" s="1215" customFormat="1" ht="12.75" x14ac:dyDescent="0.2">
      <c r="A2" s="2446" t="str">
        <f>'Single Audit Cover'!E7</f>
        <v>20-093-3480-26</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Wabash CUSD #348</v>
      </c>
      <c r="B1" s="2449"/>
      <c r="C1" s="2449"/>
      <c r="D1" s="2449"/>
      <c r="E1" s="2449"/>
    </row>
    <row r="2" spans="1:5" x14ac:dyDescent="0.2">
      <c r="A2" s="2450" t="str">
        <f>'Single Audit Cover'!E7</f>
        <v>20-093-3480-26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1021292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-140774</v>
      </c>
    </row>
    <row r="19" spans="1:4" ht="13.5" thickBot="1" x14ac:dyDescent="0.25">
      <c r="A19" s="1265" t="s">
        <v>1297</v>
      </c>
      <c r="D19" s="1266">
        <f>SUM(D10:D17)</f>
        <v>880518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880518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880518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6"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Wabash CUSD #348</v>
      </c>
      <c r="B1" s="2462"/>
      <c r="C1" s="2462"/>
      <c r="D1" s="2462"/>
      <c r="E1" s="2462"/>
      <c r="F1" s="2462"/>
    </row>
    <row r="2" spans="1:7" ht="13.5" customHeight="1" x14ac:dyDescent="0.2">
      <c r="A2" s="2463" t="str">
        <f>'Single Audit Cover'!E7</f>
        <v>20-093-3480-26</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1830</v>
      </c>
      <c r="C6" s="317"/>
      <c r="D6" s="317"/>
    </row>
    <row r="7" spans="1:7" ht="60.95" customHeight="1" x14ac:dyDescent="0.2">
      <c r="A7" s="2461" t="s">
        <v>1831</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1" t="s">
        <v>1833</v>
      </c>
      <c r="B13" s="2461"/>
      <c r="C13" s="2461"/>
      <c r="D13" s="2461"/>
      <c r="E13" s="2461"/>
      <c r="F13" s="2461"/>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5" t="s">
        <v>1834</v>
      </c>
      <c r="B32" s="2455"/>
      <c r="C32" s="2455"/>
      <c r="D32" s="2455"/>
      <c r="E32" s="2455"/>
      <c r="F32" s="2455"/>
    </row>
    <row r="33" spans="1:6" ht="13.5" customHeight="1" x14ac:dyDescent="0.2">
      <c r="A33" s="328" t="s">
        <v>1509</v>
      </c>
      <c r="B33" s="328"/>
      <c r="C33" s="1288">
        <v>0</v>
      </c>
      <c r="D33" s="1928"/>
      <c r="E33" s="1286"/>
    </row>
    <row r="34" spans="1:6" ht="13.5" customHeight="1" x14ac:dyDescent="0.2">
      <c r="A34" s="328" t="s">
        <v>1947</v>
      </c>
      <c r="B34" s="328"/>
      <c r="C34" s="1289">
        <v>0</v>
      </c>
      <c r="D34" s="1928" t="s">
        <v>1671</v>
      </c>
      <c r="E34" s="2456">
        <f>+C33+C34</f>
        <v>0</v>
      </c>
      <c r="F34" s="2457"/>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70"/>
      <c r="C50" s="1870"/>
      <c r="D50" s="1870"/>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7" zoomScaleNormal="100" workbookViewId="0">
      <selection activeCell="I17" sqref="I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Wabash CUSD #348</v>
      </c>
      <c r="C1" s="2466"/>
      <c r="D1" s="2466"/>
      <c r="E1" s="2466"/>
      <c r="F1" s="2466"/>
      <c r="G1" s="2466"/>
      <c r="H1" s="2466"/>
      <c r="I1" s="2466"/>
      <c r="J1" s="2466"/>
      <c r="K1" s="2466"/>
      <c r="L1" s="2466"/>
      <c r="M1" s="2466"/>
    </row>
    <row r="2" spans="2:14" ht="15" x14ac:dyDescent="0.2">
      <c r="B2" s="2463" t="str">
        <f>'Single Audit Cover'!E7</f>
        <v>20-093-3480-26</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1837</v>
      </c>
      <c r="D9" s="1314" t="s">
        <v>1838</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2096</v>
      </c>
      <c r="C11" s="1338"/>
      <c r="D11" s="1339"/>
      <c r="E11" s="1340"/>
      <c r="F11" s="1340"/>
      <c r="G11" s="1340"/>
      <c r="H11" s="1340"/>
      <c r="I11" s="1340"/>
      <c r="J11" s="1340"/>
      <c r="K11" s="1340"/>
      <c r="L11" s="1340">
        <f>+G11+I11+K11</f>
        <v>0</v>
      </c>
      <c r="M11" s="1340"/>
    </row>
    <row r="12" spans="2:14" ht="20.100000000000001" customHeight="1" x14ac:dyDescent="0.2">
      <c r="B12" s="1337" t="s">
        <v>974</v>
      </c>
      <c r="C12" s="1341" t="s">
        <v>2094</v>
      </c>
      <c r="D12" s="1342"/>
      <c r="E12" s="1343">
        <v>416687</v>
      </c>
      <c r="F12" s="1343">
        <v>474103</v>
      </c>
      <c r="G12" s="1343">
        <v>435183</v>
      </c>
      <c r="H12" s="1343"/>
      <c r="I12" s="1343">
        <v>465717</v>
      </c>
      <c r="J12" s="1343"/>
      <c r="K12" s="1343"/>
      <c r="L12" s="1340">
        <f t="shared" ref="L12:L27" si="0">+G12+I12+K12</f>
        <v>900900</v>
      </c>
      <c r="M12" s="1343">
        <v>466858</v>
      </c>
    </row>
    <row r="13" spans="2:14" ht="20.100000000000001" customHeight="1" x14ac:dyDescent="0.2">
      <c r="B13" s="1337" t="s">
        <v>782</v>
      </c>
      <c r="C13" s="1341" t="s">
        <v>2095</v>
      </c>
      <c r="D13" s="1342"/>
      <c r="E13" s="1343">
        <v>14380</v>
      </c>
      <c r="F13" s="1343">
        <v>2294</v>
      </c>
      <c r="G13" s="1343">
        <v>14830</v>
      </c>
      <c r="H13" s="1343"/>
      <c r="I13" s="1343">
        <v>2330</v>
      </c>
      <c r="J13" s="1343"/>
      <c r="K13" s="1343"/>
      <c r="L13" s="1340">
        <f t="shared" si="0"/>
        <v>17160</v>
      </c>
      <c r="M13" s="1343">
        <v>2294</v>
      </c>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t="s">
        <v>2097</v>
      </c>
      <c r="C16" s="1341"/>
      <c r="D16" s="1342"/>
      <c r="E16" s="1343"/>
      <c r="F16" s="1343"/>
      <c r="G16" s="1343"/>
      <c r="H16" s="1343"/>
      <c r="I16" s="1343"/>
      <c r="J16" s="1343"/>
      <c r="K16" s="1343"/>
      <c r="L16" s="1340">
        <f t="shared" si="0"/>
        <v>0</v>
      </c>
      <c r="M16" s="1343"/>
    </row>
    <row r="17" spans="2:14" ht="20.100000000000001" customHeight="1" x14ac:dyDescent="0.2">
      <c r="B17" s="1337" t="s">
        <v>2098</v>
      </c>
      <c r="C17" s="1341">
        <v>93.787999999999997</v>
      </c>
      <c r="D17" s="1342"/>
      <c r="E17" s="1343">
        <v>133431</v>
      </c>
      <c r="F17" s="1343">
        <v>171704</v>
      </c>
      <c r="G17" s="1343">
        <v>156370</v>
      </c>
      <c r="H17" s="1343"/>
      <c r="I17" s="1343">
        <v>140774</v>
      </c>
      <c r="J17" s="1343"/>
      <c r="K17" s="1343"/>
      <c r="L17" s="1340">
        <f t="shared" si="0"/>
        <v>297144</v>
      </c>
      <c r="M17" s="1343">
        <v>179000</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t="s">
        <v>2099</v>
      </c>
      <c r="C20" s="1341"/>
      <c r="D20" s="1342"/>
      <c r="E20" s="1343"/>
      <c r="F20" s="1343"/>
      <c r="G20" s="1343"/>
      <c r="H20" s="1343"/>
      <c r="I20" s="1343"/>
      <c r="J20" s="1343"/>
      <c r="K20" s="1343"/>
      <c r="L20" s="1340">
        <f t="shared" si="0"/>
        <v>0</v>
      </c>
      <c r="M20" s="1343"/>
    </row>
    <row r="21" spans="2:14" ht="20.100000000000001" customHeight="1" x14ac:dyDescent="0.2">
      <c r="B21" s="1337" t="s">
        <v>1118</v>
      </c>
      <c r="C21" s="1341">
        <v>10.555</v>
      </c>
      <c r="D21" s="1342"/>
      <c r="E21" s="1343">
        <v>234145</v>
      </c>
      <c r="F21" s="1343">
        <v>278915</v>
      </c>
      <c r="G21" s="1343">
        <v>252522</v>
      </c>
      <c r="H21" s="1343"/>
      <c r="I21" s="1343">
        <v>278915</v>
      </c>
      <c r="J21" s="1343"/>
      <c r="K21" s="1343"/>
      <c r="L21" s="1340">
        <f t="shared" si="0"/>
        <v>531437</v>
      </c>
      <c r="M21" s="1343">
        <v>247500</v>
      </c>
    </row>
    <row r="22" spans="2:14" ht="20.100000000000001" customHeight="1" x14ac:dyDescent="0.2">
      <c r="B22" s="1337" t="s">
        <v>1119</v>
      </c>
      <c r="C22" s="1341">
        <v>10.553000000000001</v>
      </c>
      <c r="D22" s="1342"/>
      <c r="E22" s="1343">
        <v>88763</v>
      </c>
      <c r="F22" s="1343">
        <v>94276</v>
      </c>
      <c r="G22" s="1343">
        <f>+E21+E22-G21</f>
        <v>70386</v>
      </c>
      <c r="H22" s="1343"/>
      <c r="I22" s="1343">
        <v>94276</v>
      </c>
      <c r="J22" s="1343"/>
      <c r="K22" s="1343"/>
      <c r="L22" s="1340">
        <f t="shared" si="0"/>
        <v>164662</v>
      </c>
      <c r="M22" s="1343">
        <v>82500</v>
      </c>
    </row>
    <row r="23" spans="2:14" ht="20.100000000000001" customHeight="1" x14ac:dyDescent="0.2">
      <c r="B23" s="1337" t="s">
        <v>2127</v>
      </c>
      <c r="C23" s="1341">
        <v>10.555</v>
      </c>
      <c r="D23" s="1342"/>
      <c r="E23" s="1343">
        <v>48548</v>
      </c>
      <c r="F23" s="1343">
        <v>44199</v>
      </c>
      <c r="G23" s="1343">
        <v>48548</v>
      </c>
      <c r="H23" s="1343"/>
      <c r="I23" s="1343">
        <v>44199</v>
      </c>
      <c r="J23" s="1343"/>
      <c r="K23" s="1343"/>
      <c r="L23" s="1340">
        <f t="shared" si="0"/>
        <v>92747</v>
      </c>
      <c r="M23" s="1343">
        <v>44199</v>
      </c>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view="pageBreakPreview" topLeftCell="A70" colorId="8" zoomScale="6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1730</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2019</v>
      </c>
      <c r="I77" s="1861"/>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2100</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t="s">
        <v>2101</v>
      </c>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9" zoomScale="110" zoomScaleNormal="110" workbookViewId="0">
      <selection activeCell="D47" sqref="D4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Wabash CUSD #348</v>
      </c>
      <c r="C1" s="2481"/>
      <c r="D1" s="2481"/>
      <c r="E1" s="2481"/>
      <c r="F1" s="2481"/>
      <c r="G1" s="2481"/>
      <c r="H1" s="2481"/>
      <c r="I1" s="2481"/>
      <c r="J1" s="1422"/>
    </row>
    <row r="2" spans="2:10" s="317" customFormat="1" ht="12.75" customHeight="1" x14ac:dyDescent="0.2">
      <c r="B2" s="2482" t="str">
        <f>'Single Audit Cover'!E7</f>
        <v>20-093-3480-26</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t="s">
        <v>2105</v>
      </c>
      <c r="E29" s="2487"/>
      <c r="F29" s="2487"/>
      <c r="G29" s="2487"/>
      <c r="H29" s="2487"/>
      <c r="I29" s="2487"/>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8" t="s">
        <v>1853</v>
      </c>
      <c r="D37" s="2489"/>
      <c r="E37" s="2489"/>
      <c r="F37" s="2490"/>
      <c r="G37" s="2488" t="s">
        <v>1674</v>
      </c>
      <c r="H37" s="2489"/>
      <c r="I37" s="2490"/>
    </row>
    <row r="38" spans="2:9" ht="16.5" customHeight="1" x14ac:dyDescent="0.2">
      <c r="B38" s="1444" t="s">
        <v>2102</v>
      </c>
      <c r="C38" s="2476" t="s">
        <v>1118</v>
      </c>
      <c r="D38" s="2477"/>
      <c r="E38" s="2477"/>
      <c r="F38" s="2478"/>
      <c r="G38" s="2491">
        <v>278915</v>
      </c>
      <c r="H38" s="2492"/>
      <c r="I38" s="2493"/>
    </row>
    <row r="39" spans="2:9" ht="16.5" customHeight="1" x14ac:dyDescent="0.2">
      <c r="B39" s="1444">
        <v>10.553000000000001</v>
      </c>
      <c r="C39" s="2476" t="s">
        <v>1119</v>
      </c>
      <c r="D39" s="2477"/>
      <c r="E39" s="2477"/>
      <c r="F39" s="2478"/>
      <c r="G39" s="2479">
        <v>94276</v>
      </c>
      <c r="H39" s="2479"/>
      <c r="I39" s="2479"/>
    </row>
    <row r="40" spans="2:9" ht="16.5" customHeight="1" x14ac:dyDescent="0.2">
      <c r="B40" s="1444">
        <v>84.01</v>
      </c>
      <c r="C40" s="2476" t="s">
        <v>974</v>
      </c>
      <c r="D40" s="2477"/>
      <c r="E40" s="2477"/>
      <c r="F40" s="2478"/>
      <c r="G40" s="2479">
        <v>474103</v>
      </c>
      <c r="H40" s="2479"/>
      <c r="I40" s="2479"/>
    </row>
    <row r="41" spans="2:9" ht="16.5" customHeight="1" x14ac:dyDescent="0.2">
      <c r="B41" s="1444" t="s">
        <v>2103</v>
      </c>
      <c r="C41" s="2476" t="s">
        <v>782</v>
      </c>
      <c r="D41" s="2477"/>
      <c r="E41" s="2477"/>
      <c r="F41" s="2478"/>
      <c r="G41" s="2479">
        <v>2294</v>
      </c>
      <c r="H41" s="2479"/>
      <c r="I41" s="2479"/>
    </row>
    <row r="42" spans="2:9" ht="16.5" customHeight="1" x14ac:dyDescent="0.2">
      <c r="B42" s="1444">
        <v>93.787999999999997</v>
      </c>
      <c r="C42" s="2476" t="s">
        <v>2104</v>
      </c>
      <c r="D42" s="2477"/>
      <c r="E42" s="2477"/>
      <c r="F42" s="2478"/>
      <c r="G42" s="2479">
        <v>171704</v>
      </c>
      <c r="H42" s="2479"/>
      <c r="I42" s="2479"/>
    </row>
    <row r="43" spans="2:9" ht="16.5" customHeight="1" x14ac:dyDescent="0.2">
      <c r="B43" s="1444"/>
      <c r="C43" s="2469" t="s">
        <v>1675</v>
      </c>
      <c r="D43" s="2470"/>
      <c r="E43" s="2470"/>
      <c r="F43" s="2471"/>
      <c r="G43" s="2472">
        <f>SUM(G38:I42)</f>
        <v>1021292</v>
      </c>
      <c r="H43" s="2472"/>
      <c r="I43" s="2472"/>
    </row>
    <row r="44" spans="2:9" ht="12.75" customHeight="1" x14ac:dyDescent="0.2"/>
    <row r="45" spans="2:9" ht="12.75" customHeight="1" x14ac:dyDescent="0.2">
      <c r="B45" s="1435" t="s">
        <v>1950</v>
      </c>
      <c r="D45" s="2473">
        <v>1026211</v>
      </c>
      <c r="E45" s="2474"/>
    </row>
    <row r="46" spans="2:9" ht="5.25" customHeight="1" x14ac:dyDescent="0.2">
      <c r="B46" s="1445"/>
      <c r="D46" s="1446"/>
      <c r="E46" s="1447"/>
    </row>
    <row r="47" spans="2:9" ht="12.75" customHeight="1" x14ac:dyDescent="0.2">
      <c r="B47" s="1300" t="s">
        <v>1676</v>
      </c>
      <c r="C47" s="1300"/>
      <c r="D47" s="1448">
        <f>+G43/D45</f>
        <v>0.99520663879065807</v>
      </c>
      <c r="E47" s="1449"/>
      <c r="F47" s="1450"/>
      <c r="I47" s="1451"/>
    </row>
    <row r="48" spans="2:9" ht="9.9499999999999993" customHeight="1" x14ac:dyDescent="0.2"/>
    <row r="49" spans="1:9" x14ac:dyDescent="0.2">
      <c r="B49" s="1368" t="s">
        <v>1335</v>
      </c>
      <c r="C49" s="1282"/>
      <c r="D49" s="1282"/>
      <c r="E49" s="2475">
        <v>750000</v>
      </c>
      <c r="F49" s="2475"/>
      <c r="G49" s="2475"/>
      <c r="H49" s="322"/>
    </row>
    <row r="51" spans="1:9" ht="13.5" customHeight="1" x14ac:dyDescent="0.2">
      <c r="B51" s="1368" t="s">
        <v>1334</v>
      </c>
      <c r="C51" s="1282"/>
      <c r="E51" s="1438" t="s">
        <v>2077</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F34" sqref="F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Wabash CUSD #348</v>
      </c>
      <c r="C1" s="2480"/>
      <c r="D1" s="2480"/>
      <c r="E1" s="2480"/>
      <c r="F1" s="2480"/>
      <c r="G1" s="2480"/>
      <c r="H1" s="2480"/>
      <c r="I1" s="2480"/>
      <c r="J1" s="2480"/>
      <c r="K1" s="2480"/>
      <c r="L1" s="1374"/>
      <c r="M1" s="1374"/>
    </row>
    <row r="2" spans="1:13" ht="12" customHeight="1" x14ac:dyDescent="0.2">
      <c r="B2" s="2482" t="str">
        <f>'Single Audit Cover'!E7</f>
        <v>20-093-3480-26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v>1</v>
      </c>
      <c r="E10" s="322"/>
      <c r="F10" s="1387" t="s">
        <v>1362</v>
      </c>
      <c r="G10" s="1388"/>
      <c r="H10" s="1389" t="s">
        <v>1361</v>
      </c>
      <c r="I10" s="1388" t="s">
        <v>2114</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2116</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2115</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2117</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2118</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4" t="s">
        <v>2119</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Wabash CUSD #348</v>
      </c>
      <c r="C1" s="2503"/>
      <c r="D1" s="2503"/>
      <c r="E1" s="2503"/>
      <c r="F1" s="2503"/>
      <c r="G1" s="2503"/>
      <c r="H1" s="2503"/>
      <c r="I1" s="2503"/>
      <c r="J1" s="2503"/>
      <c r="K1" s="2503"/>
      <c r="L1" s="1465"/>
    </row>
    <row r="2" spans="1:12" ht="12.75" customHeight="1" x14ac:dyDescent="0.2">
      <c r="B2" s="2504" t="str">
        <f>'Single Audit Cover'!E7</f>
        <v>20-093-3480-26</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Wabash CUSD #348</v>
      </c>
      <c r="C1" s="2480"/>
      <c r="D1" s="2480"/>
      <c r="E1" s="1491"/>
    </row>
    <row r="2" spans="2:5" s="1282" customFormat="1" ht="12.75" customHeight="1" x14ac:dyDescent="0.2">
      <c r="B2" s="2482" t="str">
        <f>'Single Audit Cover'!E7</f>
        <v>20-093-3480-26</v>
      </c>
      <c r="C2" s="2482"/>
      <c r="D2" s="2482"/>
      <c r="E2" s="1492"/>
    </row>
    <row r="3" spans="2:5" ht="12.75" customHeight="1" x14ac:dyDescent="0.2">
      <c r="B3" s="2496" t="s">
        <v>1868</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t="s">
        <v>2120</v>
      </c>
      <c r="C7" s="324" t="s">
        <v>2121</v>
      </c>
      <c r="D7" s="324" t="s">
        <v>2122</v>
      </c>
      <c r="E7" s="324"/>
    </row>
    <row r="8" spans="2:5" ht="13.5" customHeight="1" x14ac:dyDescent="0.2">
      <c r="B8" s="1496" t="s">
        <v>2123</v>
      </c>
      <c r="C8" s="324" t="s">
        <v>2125</v>
      </c>
      <c r="D8" s="324" t="s">
        <v>2124</v>
      </c>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view="pageBreakPreview" colorId="8" zoomScale="60" zoomScaleNormal="110" workbookViewId="0">
      <selection activeCell="J16" sqref="J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128123052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54">
        <f>ROUND(D10+F10+H10,5)</f>
        <v>2.5399999999999999E-2</v>
      </c>
      <c r="K10" s="222"/>
      <c r="L10" s="355">
        <v>5.0000000000000001E-3</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12685836</v>
      </c>
      <c r="E16" s="356"/>
      <c r="F16" s="1755">
        <f>SUM('Acct Summary 7-8'!C17,'Acct Summary 7-8'!D17,'Acct Summary 7-8'!F17)</f>
        <v>13710513</v>
      </c>
      <c r="G16" s="356"/>
      <c r="H16" s="1755">
        <f>SUM(D16-F16)</f>
        <v>-1024677</v>
      </c>
      <c r="I16" s="222"/>
      <c r="J16" s="1755">
        <f>SUM('Acct Summary 7-8'!C81,'Acct Summary 7-8'!D81,'Acct Summary 7-8'!F81,'Acct Summary 7-8'!I81)</f>
        <v>3318252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17680981.176000003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4354252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zoomScale="6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Wabash CUSD #348</v>
      </c>
      <c r="E7" s="391"/>
      <c r="G7" s="252"/>
      <c r="H7" s="387"/>
      <c r="I7" s="387"/>
      <c r="J7" s="387"/>
      <c r="K7" s="387"/>
      <c r="L7" s="329"/>
      <c r="M7" s="329"/>
      <c r="N7" s="329"/>
      <c r="O7" s="329"/>
      <c r="P7" s="329"/>
    </row>
    <row r="8" spans="1:18" ht="12.75" x14ac:dyDescent="0.2">
      <c r="A8" s="329"/>
      <c r="B8" s="329"/>
      <c r="C8" s="389" t="s">
        <v>1187</v>
      </c>
      <c r="D8" s="392" t="str">
        <f>COVER!A13</f>
        <v>20-093-3480-26</v>
      </c>
      <c r="E8" s="393"/>
      <c r="G8" s="329"/>
      <c r="H8" s="329"/>
      <c r="I8" s="329"/>
      <c r="J8" s="329"/>
      <c r="K8" s="329"/>
      <c r="L8" s="329"/>
      <c r="M8" s="329"/>
      <c r="N8" s="329"/>
      <c r="O8" s="329"/>
      <c r="P8" s="329"/>
    </row>
    <row r="9" spans="1:18" ht="12.75" x14ac:dyDescent="0.2">
      <c r="A9" s="329"/>
      <c r="B9" s="329"/>
      <c r="C9" s="389" t="s">
        <v>737</v>
      </c>
      <c r="D9" s="394" t="str">
        <f>COVER!A15</f>
        <v>Wabash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3318252</v>
      </c>
      <c r="I12" s="404"/>
      <c r="J12" s="404"/>
      <c r="K12" s="405">
        <f>TRUNC((H12/H13*100000),5)/100000</f>
        <v>0.26157140919999999</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12685836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13710513</v>
      </c>
      <c r="I17" s="404"/>
      <c r="J17" s="416"/>
      <c r="K17" s="405">
        <f>TRUNC((H17/H18*100000),5)/100000</f>
        <v>1.0807733127999999</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12685836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2.0003067999999997</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3692611</v>
      </c>
      <c r="I24" s="422"/>
      <c r="J24" s="422"/>
      <c r="K24" s="423">
        <f>TRUNC(((H24/H25*100000)/100000),2)</f>
        <v>96.95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38084.758329999997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2766176.6926799999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4354252</v>
      </c>
      <c r="I32" s="420"/>
      <c r="J32" s="420"/>
      <c r="K32" s="423">
        <f>TRUNC(100-((((H32/H33*100))*100)/100),2)</f>
        <v>75.37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17680981.176000003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N44"/>
  <sheetViews>
    <sheetView showGridLines="0" defaultGridColor="0" view="pageBreakPreview" colorId="8" zoomScale="60" zoomScaleNormal="110" workbookViewId="0">
      <selection activeCell="H16" sqref="H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1749</v>
      </c>
      <c r="B4" s="464"/>
      <c r="C4" s="465">
        <v>715039</v>
      </c>
      <c r="D4" s="466">
        <v>347222</v>
      </c>
      <c r="E4" s="466">
        <v>50116</v>
      </c>
      <c r="F4" s="466">
        <v>83953</v>
      </c>
      <c r="G4" s="466">
        <v>293722</v>
      </c>
      <c r="H4" s="466">
        <v>109395</v>
      </c>
      <c r="I4" s="466">
        <v>2546397</v>
      </c>
      <c r="J4" s="467">
        <v>158463</v>
      </c>
      <c r="K4" s="466">
        <v>2934</v>
      </c>
      <c r="L4" s="466">
        <v>240062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2472775</v>
      </c>
      <c r="D6" s="466">
        <v>640615</v>
      </c>
      <c r="E6" s="466">
        <v>695068</v>
      </c>
      <c r="F6" s="466">
        <v>256246</v>
      </c>
      <c r="G6" s="471">
        <v>604101</v>
      </c>
      <c r="H6" s="471"/>
      <c r="I6" s="466">
        <v>64062</v>
      </c>
      <c r="J6" s="474">
        <v>423959</v>
      </c>
      <c r="K6" s="471"/>
      <c r="L6" s="475"/>
      <c r="M6" s="468"/>
      <c r="N6" s="469"/>
    </row>
    <row r="7" spans="1:14" ht="13.5" customHeight="1" x14ac:dyDescent="0.2">
      <c r="A7" s="473" t="s">
        <v>438</v>
      </c>
      <c r="B7" s="470">
        <v>140</v>
      </c>
      <c r="C7" s="476"/>
      <c r="D7" s="467"/>
      <c r="E7" s="467"/>
      <c r="F7" s="467"/>
      <c r="G7" s="467"/>
      <c r="H7" s="467"/>
      <c r="I7" s="467">
        <v>125000</v>
      </c>
      <c r="J7" s="467"/>
      <c r="K7" s="467"/>
      <c r="L7" s="477"/>
      <c r="M7" s="468"/>
      <c r="N7" s="469"/>
    </row>
    <row r="8" spans="1:14" ht="13.5" customHeight="1" x14ac:dyDescent="0.2">
      <c r="A8" s="473" t="s">
        <v>287</v>
      </c>
      <c r="B8" s="470">
        <v>150</v>
      </c>
      <c r="C8" s="476">
        <v>428788</v>
      </c>
      <c r="D8" s="467"/>
      <c r="E8" s="467"/>
      <c r="F8" s="467">
        <v>101773</v>
      </c>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v>9268</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3616602</v>
      </c>
      <c r="D13" s="1759">
        <f t="shared" ref="D13:L13" si="0">SUM(D4:D12)</f>
        <v>987837</v>
      </c>
      <c r="E13" s="1759">
        <f t="shared" si="0"/>
        <v>745184</v>
      </c>
      <c r="F13" s="1759">
        <f t="shared" si="0"/>
        <v>441972</v>
      </c>
      <c r="G13" s="1759">
        <f t="shared" si="0"/>
        <v>897823</v>
      </c>
      <c r="H13" s="1759">
        <f t="shared" si="0"/>
        <v>109395</v>
      </c>
      <c r="I13" s="1759">
        <f t="shared" si="0"/>
        <v>2735459</v>
      </c>
      <c r="J13" s="1759">
        <f t="shared" si="0"/>
        <v>591690</v>
      </c>
      <c r="K13" s="1759">
        <f t="shared" si="0"/>
        <v>2934</v>
      </c>
      <c r="L13" s="1759">
        <f t="shared" si="0"/>
        <v>240062</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561879</v>
      </c>
      <c r="N16" s="484"/>
    </row>
    <row r="17" spans="1:14" s="485" customFormat="1" ht="12.75" customHeight="1" x14ac:dyDescent="0.2">
      <c r="A17" s="482" t="s">
        <v>1470</v>
      </c>
      <c r="B17" s="483">
        <v>230</v>
      </c>
      <c r="C17" s="477"/>
      <c r="D17" s="477"/>
      <c r="E17" s="477"/>
      <c r="F17" s="477"/>
      <c r="G17" s="477"/>
      <c r="H17" s="477"/>
      <c r="I17" s="477"/>
      <c r="J17" s="477"/>
      <c r="K17" s="477"/>
      <c r="L17" s="477"/>
      <c r="M17" s="467">
        <v>8760075</v>
      </c>
      <c r="N17" s="484"/>
    </row>
    <row r="18" spans="1:14" s="485" customFormat="1" ht="12.75" customHeight="1" x14ac:dyDescent="0.2">
      <c r="A18" s="482" t="s">
        <v>1471</v>
      </c>
      <c r="B18" s="483">
        <v>240</v>
      </c>
      <c r="C18" s="477"/>
      <c r="D18" s="477"/>
      <c r="E18" s="477"/>
      <c r="F18" s="477"/>
      <c r="G18" s="477"/>
      <c r="H18" s="477"/>
      <c r="I18" s="477"/>
      <c r="J18" s="477"/>
      <c r="K18" s="477"/>
      <c r="L18" s="477"/>
      <c r="M18" s="467">
        <v>66042</v>
      </c>
      <c r="N18" s="484"/>
    </row>
    <row r="19" spans="1:14" s="485" customFormat="1" ht="12.75" customHeight="1" x14ac:dyDescent="0.2">
      <c r="A19" s="482" t="s">
        <v>1472</v>
      </c>
      <c r="B19" s="483">
        <v>250</v>
      </c>
      <c r="C19" s="477"/>
      <c r="D19" s="477"/>
      <c r="E19" s="477"/>
      <c r="F19" s="477"/>
      <c r="G19" s="477"/>
      <c r="H19" s="477"/>
      <c r="I19" s="477"/>
      <c r="J19" s="477"/>
      <c r="K19" s="477"/>
      <c r="L19" s="477"/>
      <c r="M19" s="467">
        <v>196358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4354252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9584354</v>
      </c>
      <c r="N23" s="1710">
        <f>SUM(N21:N22)</f>
        <v>4354252</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v>125000</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47968</v>
      </c>
      <c r="D27" s="467">
        <v>27940</v>
      </c>
      <c r="E27" s="467"/>
      <c r="F27" s="467">
        <v>284</v>
      </c>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v>64839</v>
      </c>
      <c r="F29" s="467"/>
      <c r="G29" s="474"/>
      <c r="H29" s="474"/>
      <c r="I29" s="474"/>
      <c r="J29" s="474"/>
      <c r="K29" s="467"/>
      <c r="L29" s="468"/>
      <c r="M29" s="468"/>
      <c r="N29" s="468"/>
    </row>
    <row r="30" spans="1:14" ht="13.5" customHeight="1" x14ac:dyDescent="0.2">
      <c r="A30" s="473" t="s">
        <v>671</v>
      </c>
      <c r="B30" s="470">
        <v>470</v>
      </c>
      <c r="C30" s="467">
        <v>783599</v>
      </c>
      <c r="D30" s="474"/>
      <c r="E30" s="467"/>
      <c r="F30" s="467">
        <v>28478</v>
      </c>
      <c r="G30" s="467"/>
      <c r="H30" s="467"/>
      <c r="I30" s="467"/>
      <c r="J30" s="467">
        <v>1639</v>
      </c>
      <c r="K30" s="478"/>
      <c r="L30" s="468"/>
      <c r="M30" s="468"/>
      <c r="N30" s="468"/>
    </row>
    <row r="31" spans="1:14" ht="13.5" customHeight="1" x14ac:dyDescent="0.2">
      <c r="A31" s="473" t="s">
        <v>672</v>
      </c>
      <c r="B31" s="470">
        <v>480</v>
      </c>
      <c r="C31" s="466">
        <v>38</v>
      </c>
      <c r="D31" s="467">
        <v>38</v>
      </c>
      <c r="E31" s="467"/>
      <c r="F31" s="466">
        <v>263</v>
      </c>
      <c r="G31" s="467"/>
      <c r="H31" s="467"/>
      <c r="I31" s="467"/>
      <c r="J31" s="467"/>
      <c r="K31" s="467"/>
      <c r="L31" s="468"/>
      <c r="M31" s="468"/>
      <c r="N31" s="468"/>
    </row>
    <row r="32" spans="1:14" ht="13.5" customHeight="1" x14ac:dyDescent="0.2">
      <c r="A32" s="490" t="s">
        <v>673</v>
      </c>
      <c r="B32" s="491">
        <v>490</v>
      </c>
      <c r="C32" s="492">
        <v>2489087</v>
      </c>
      <c r="D32" s="492">
        <v>640615</v>
      </c>
      <c r="E32" s="474">
        <v>695068</v>
      </c>
      <c r="F32" s="474">
        <v>256246</v>
      </c>
      <c r="G32" s="474">
        <v>604100</v>
      </c>
      <c r="H32" s="474"/>
      <c r="I32" s="474">
        <v>64062</v>
      </c>
      <c r="J32" s="474">
        <v>423959</v>
      </c>
      <c r="K32" s="479"/>
      <c r="L32" s="468"/>
      <c r="M32" s="468"/>
      <c r="N32" s="468"/>
    </row>
    <row r="33" spans="1:14" ht="13.5" customHeight="1" x14ac:dyDescent="0.2">
      <c r="A33" s="493" t="s">
        <v>321</v>
      </c>
      <c r="B33" s="491">
        <v>493</v>
      </c>
      <c r="C33" s="467"/>
      <c r="D33" s="467"/>
      <c r="E33" s="467"/>
      <c r="F33" s="467"/>
      <c r="G33" s="467"/>
      <c r="H33" s="467"/>
      <c r="I33" s="467"/>
      <c r="J33" s="467"/>
      <c r="K33" s="467"/>
      <c r="L33" s="467">
        <v>240062</v>
      </c>
      <c r="M33" s="468"/>
      <c r="N33" s="469"/>
    </row>
    <row r="34" spans="1:14" ht="13.5" customHeight="1" thickBot="1" x14ac:dyDescent="0.25">
      <c r="A34" s="1760" t="s">
        <v>675</v>
      </c>
      <c r="B34" s="1761"/>
      <c r="C34" s="1762">
        <f>SUM(C25:C33)</f>
        <v>3320692</v>
      </c>
      <c r="D34" s="1762">
        <f t="shared" ref="D34:K34" si="1">SUM(D25:D33)</f>
        <v>668593</v>
      </c>
      <c r="E34" s="1762">
        <f t="shared" si="1"/>
        <v>759907</v>
      </c>
      <c r="F34" s="1762">
        <f t="shared" si="1"/>
        <v>410271</v>
      </c>
      <c r="G34" s="1762">
        <f t="shared" si="1"/>
        <v>604100</v>
      </c>
      <c r="H34" s="1762">
        <f t="shared" si="1"/>
        <v>0</v>
      </c>
      <c r="I34" s="1762">
        <f t="shared" si="1"/>
        <v>64062</v>
      </c>
      <c r="J34" s="1762">
        <f t="shared" si="1"/>
        <v>425598</v>
      </c>
      <c r="K34" s="1762">
        <f t="shared" si="1"/>
        <v>0</v>
      </c>
      <c r="L34" s="1743">
        <f>SUM(L33)</f>
        <v>240062</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4354252</v>
      </c>
    </row>
    <row r="37" spans="1:14" ht="13.5" thickBot="1" x14ac:dyDescent="0.25">
      <c r="A37" s="1758" t="s">
        <v>674</v>
      </c>
      <c r="B37" s="1763"/>
      <c r="C37" s="477"/>
      <c r="D37" s="477"/>
      <c r="E37" s="477"/>
      <c r="F37" s="477"/>
      <c r="G37" s="477"/>
      <c r="H37" s="477"/>
      <c r="I37" s="477"/>
      <c r="J37" s="477"/>
      <c r="K37" s="477"/>
      <c r="L37" s="480"/>
      <c r="M37" s="468"/>
      <c r="N37" s="1710">
        <f>SUM(N36:N36)</f>
        <v>4354252</v>
      </c>
    </row>
    <row r="38" spans="1:14" s="329" customFormat="1" ht="13.5" customHeight="1" thickTop="1" x14ac:dyDescent="0.2">
      <c r="A38" s="496" t="s">
        <v>440</v>
      </c>
      <c r="B38" s="483">
        <v>714</v>
      </c>
      <c r="C38" s="466"/>
      <c r="D38" s="466">
        <v>319244</v>
      </c>
      <c r="E38" s="466">
        <v>0</v>
      </c>
      <c r="F38" s="466">
        <v>31701</v>
      </c>
      <c r="G38" s="466">
        <v>0</v>
      </c>
      <c r="H38" s="466">
        <v>109395</v>
      </c>
      <c r="I38" s="466">
        <v>0</v>
      </c>
      <c r="J38" s="467">
        <v>166092</v>
      </c>
      <c r="K38" s="466">
        <v>0</v>
      </c>
      <c r="L38" s="481">
        <v>0</v>
      </c>
      <c r="M38" s="497"/>
      <c r="N38" s="497"/>
    </row>
    <row r="39" spans="1:14" s="329" customFormat="1" ht="13.5" customHeight="1" x14ac:dyDescent="0.2">
      <c r="A39" s="496" t="s">
        <v>360</v>
      </c>
      <c r="B39" s="483">
        <v>730</v>
      </c>
      <c r="C39" s="466">
        <v>295910</v>
      </c>
      <c r="D39" s="466">
        <v>0</v>
      </c>
      <c r="E39" s="466">
        <v>-14723</v>
      </c>
      <c r="F39" s="466"/>
      <c r="G39" s="466">
        <v>293723</v>
      </c>
      <c r="H39" s="466">
        <v>0</v>
      </c>
      <c r="I39" s="466">
        <v>2671397</v>
      </c>
      <c r="J39" s="467">
        <v>0</v>
      </c>
      <c r="K39" s="466">
        <v>2934</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9584354</v>
      </c>
      <c r="N40" s="497"/>
    </row>
    <row r="41" spans="1:14" ht="13.5" customHeight="1" thickBot="1" x14ac:dyDescent="0.25">
      <c r="A41" s="1758" t="s">
        <v>676</v>
      </c>
      <c r="B41" s="1728"/>
      <c r="C41" s="1710">
        <f>(SUM(C34,C37,C38,C39))</f>
        <v>3616602</v>
      </c>
      <c r="D41" s="1710">
        <f t="shared" ref="D41:L41" si="2">SUM(D34,D37,D38:D39)</f>
        <v>987837</v>
      </c>
      <c r="E41" s="1710">
        <f t="shared" si="2"/>
        <v>745184</v>
      </c>
      <c r="F41" s="1710">
        <f t="shared" si="2"/>
        <v>441972</v>
      </c>
      <c r="G41" s="1710">
        <f t="shared" si="2"/>
        <v>897823</v>
      </c>
      <c r="H41" s="1710">
        <f t="shared" si="2"/>
        <v>109395</v>
      </c>
      <c r="I41" s="1710">
        <f t="shared" si="2"/>
        <v>2735459</v>
      </c>
      <c r="J41" s="1710">
        <f t="shared" si="2"/>
        <v>591690</v>
      </c>
      <c r="K41" s="1710">
        <f t="shared" si="2"/>
        <v>2934</v>
      </c>
      <c r="L41" s="1710">
        <f t="shared" si="2"/>
        <v>240062</v>
      </c>
      <c r="M41" s="1710">
        <f>SUM(M40)</f>
        <v>9584354</v>
      </c>
      <c r="N41" s="1710">
        <f>SUM(N37)</f>
        <v>4354252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5" right="0.25" top="0.75" bottom="0.75" header="0.3" footer="0.3"/>
  <pageSetup scale="5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10" zoomScaleSheetLayoutView="100" workbookViewId="0">
      <pane ySplit="2" topLeftCell="A45" activePane="bottomLeft" state="frozenSplit"/>
      <selection activeCell="A47" sqref="A47"/>
      <selection pane="bottomLeft" activeCell="I81" sqref="I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4021364</v>
      </c>
      <c r="D4" s="1764">
        <f>'Revenues 9-14'!D109</f>
        <v>704574</v>
      </c>
      <c r="E4" s="1764">
        <f>'Revenues 9-14'!E109</f>
        <v>709868</v>
      </c>
      <c r="F4" s="1764">
        <f>'Revenues 9-14'!F109</f>
        <v>274862</v>
      </c>
      <c r="G4" s="1764">
        <f>'Revenues 9-14'!G109</f>
        <v>588158</v>
      </c>
      <c r="H4" s="1764">
        <f>'Revenues 9-14'!H109</f>
        <v>447992</v>
      </c>
      <c r="I4" s="1764">
        <f>'Revenues 9-14'!I109</f>
        <v>68319</v>
      </c>
      <c r="J4" s="1764">
        <f>'Revenues 9-14'!J109</f>
        <v>418650</v>
      </c>
      <c r="K4" s="1764">
        <f>'Revenues 9-14'!K109</f>
        <v>12</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5820916</v>
      </c>
      <c r="D6" s="1765">
        <f>'Revenues 9-14'!D173</f>
        <v>350000</v>
      </c>
      <c r="E6" s="1765">
        <f>'Revenues 9-14'!E173</f>
        <v>0</v>
      </c>
      <c r="F6" s="1765">
        <f>'Revenues 9-14'!F173</f>
        <v>424509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1021292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10863572</v>
      </c>
      <c r="D8" s="1710">
        <f t="shared" ref="D8:K8" si="0">SUM(D4:D7)</f>
        <v>1054574</v>
      </c>
      <c r="E8" s="1710">
        <f t="shared" si="0"/>
        <v>709868</v>
      </c>
      <c r="F8" s="1710">
        <f t="shared" si="0"/>
        <v>699371</v>
      </c>
      <c r="G8" s="1710">
        <f t="shared" si="0"/>
        <v>588158</v>
      </c>
      <c r="H8" s="1710">
        <f t="shared" si="0"/>
        <v>447992</v>
      </c>
      <c r="I8" s="1710">
        <f t="shared" si="0"/>
        <v>68319</v>
      </c>
      <c r="J8" s="1710">
        <f t="shared" si="0"/>
        <v>418650</v>
      </c>
      <c r="K8" s="1710">
        <f t="shared" si="0"/>
        <v>12</v>
      </c>
      <c r="L8" s="347"/>
    </row>
    <row r="9" spans="1:13" ht="15.75" thickTop="1" x14ac:dyDescent="0.2">
      <c r="A9" s="514" t="s">
        <v>1751</v>
      </c>
      <c r="B9" s="515">
        <v>3998</v>
      </c>
      <c r="C9" s="481">
        <v>0</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10863572</v>
      </c>
      <c r="D10" s="1710">
        <f t="shared" ref="D10:K10" si="1">SUM(D8:D9)</f>
        <v>1054574</v>
      </c>
      <c r="E10" s="1710">
        <f t="shared" si="1"/>
        <v>709868</v>
      </c>
      <c r="F10" s="1710">
        <f t="shared" si="1"/>
        <v>699371</v>
      </c>
      <c r="G10" s="1710">
        <f t="shared" si="1"/>
        <v>588158</v>
      </c>
      <c r="H10" s="1710">
        <f t="shared" si="1"/>
        <v>447992</v>
      </c>
      <c r="I10" s="1710">
        <f t="shared" si="1"/>
        <v>68319</v>
      </c>
      <c r="J10" s="1710">
        <f t="shared" si="1"/>
        <v>418650</v>
      </c>
      <c r="K10" s="1710">
        <f t="shared" si="1"/>
        <v>12</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8056706</v>
      </c>
      <c r="D12" s="520" t="s">
        <v>1231</v>
      </c>
      <c r="E12" s="468" t="s">
        <v>1231</v>
      </c>
      <c r="F12" s="468" t="s">
        <v>1231</v>
      </c>
      <c r="G12" s="1764">
        <f>'Expenditures 15-22'!K229</f>
        <v>226674</v>
      </c>
      <c r="H12" s="521"/>
      <c r="I12" s="468" t="s">
        <v>1231</v>
      </c>
      <c r="J12" s="468" t="s">
        <v>1231</v>
      </c>
      <c r="K12" s="521" t="s">
        <v>1231</v>
      </c>
      <c r="L12" s="347"/>
    </row>
    <row r="13" spans="1:13" ht="15.75" customHeight="1" x14ac:dyDescent="0.2">
      <c r="A13" s="1598" t="s">
        <v>477</v>
      </c>
      <c r="B13" s="1600">
        <v>2000</v>
      </c>
      <c r="C13" s="1765">
        <f>'Expenditures 15-22'!K74</f>
        <v>2244837</v>
      </c>
      <c r="D13" s="1765">
        <f>'Expenditures 15-22'!K129</f>
        <v>1986136</v>
      </c>
      <c r="E13" s="469" t="s">
        <v>1231</v>
      </c>
      <c r="F13" s="1765">
        <f>'Expenditures 15-22'!K184</f>
        <v>613184</v>
      </c>
      <c r="G13" s="1765">
        <f>'Expenditures 15-22'!K279</f>
        <v>319359</v>
      </c>
      <c r="H13" s="1765">
        <f>'Expenditures 15-22'!K303</f>
        <v>0</v>
      </c>
      <c r="I13" s="468" t="s">
        <v>1231</v>
      </c>
      <c r="J13" s="1765">
        <f>'Expenditures 15-22'!K330</f>
        <v>308942</v>
      </c>
      <c r="K13" s="1769">
        <f>'Expenditures 15-22'!K352</f>
        <v>6087</v>
      </c>
      <c r="L13" s="347"/>
    </row>
    <row r="14" spans="1:13" ht="15.75" customHeight="1" x14ac:dyDescent="0.2">
      <c r="A14" s="1598" t="s">
        <v>469</v>
      </c>
      <c r="B14" s="1600">
        <v>3000</v>
      </c>
      <c r="C14" s="1765">
        <f>'Expenditures 15-22'!K75</f>
        <v>128734</v>
      </c>
      <c r="D14" s="1765">
        <f>'Expenditures 15-22'!K130</f>
        <v>0</v>
      </c>
      <c r="E14" s="520" t="s">
        <v>1231</v>
      </c>
      <c r="F14" s="1765">
        <f>'Expenditures 15-22'!K185</f>
        <v>0</v>
      </c>
      <c r="G14" s="1765">
        <f>'Expenditures 15-22'!K280</f>
        <v>14001</v>
      </c>
      <c r="H14" s="512"/>
      <c r="I14" s="468" t="s">
        <v>1231</v>
      </c>
      <c r="J14" s="468" t="s">
        <v>1231</v>
      </c>
      <c r="K14" s="512" t="s">
        <v>1231</v>
      </c>
      <c r="L14" s="347"/>
    </row>
    <row r="15" spans="1:13" ht="15.75" customHeight="1" x14ac:dyDescent="0.2">
      <c r="A15" s="1598" t="s">
        <v>109</v>
      </c>
      <c r="B15" s="1600">
        <v>4000</v>
      </c>
      <c r="C15" s="1765">
        <f>'Expenditures 15-22'!K102</f>
        <v>498343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8676</v>
      </c>
      <c r="D16" s="1765">
        <f>'Expenditures 15-22'!K149</f>
        <v>0</v>
      </c>
      <c r="E16" s="1765">
        <f>'Expenditures 15-22'!K172</f>
        <v>760869</v>
      </c>
      <c r="F16" s="1765">
        <f>'Expenditures 15-22'!K208</f>
        <v>173897</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10937296</v>
      </c>
      <c r="D17" s="1710">
        <f t="shared" si="2"/>
        <v>1986136</v>
      </c>
      <c r="E17" s="1710">
        <f t="shared" si="2"/>
        <v>760869</v>
      </c>
      <c r="F17" s="1710">
        <f t="shared" si="2"/>
        <v>787081</v>
      </c>
      <c r="G17" s="1710">
        <f t="shared" si="2"/>
        <v>560034</v>
      </c>
      <c r="H17" s="1710">
        <f t="shared" si="2"/>
        <v>0</v>
      </c>
      <c r="I17" s="468"/>
      <c r="J17" s="1710">
        <f>SUM(J12:J16)</f>
        <v>308942</v>
      </c>
      <c r="K17" s="1710">
        <f>SUM(K12:K16)</f>
        <v>6087</v>
      </c>
      <c r="L17" s="347"/>
    </row>
    <row r="18" spans="1:12" ht="15" customHeight="1" thickTop="1" x14ac:dyDescent="0.2">
      <c r="A18" s="1766" t="s">
        <v>1752</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10937296</v>
      </c>
      <c r="D19" s="1710">
        <f t="shared" si="4"/>
        <v>1986136</v>
      </c>
      <c r="E19" s="1710">
        <f t="shared" si="4"/>
        <v>760869</v>
      </c>
      <c r="F19" s="1710">
        <f t="shared" si="4"/>
        <v>787081</v>
      </c>
      <c r="G19" s="1710">
        <f t="shared" si="4"/>
        <v>560034</v>
      </c>
      <c r="H19" s="1710">
        <f t="shared" si="4"/>
        <v>0</v>
      </c>
      <c r="I19" s="468"/>
      <c r="J19" s="1710">
        <f>SUM(J17:J18)</f>
        <v>308942</v>
      </c>
      <c r="K19" s="1710">
        <f>SUM(K17:K18)</f>
        <v>6087</v>
      </c>
      <c r="L19" s="347"/>
    </row>
    <row r="20" spans="1:12" ht="16.5" thickTop="1" thickBot="1" x14ac:dyDescent="0.25">
      <c r="A20" s="2146" t="s">
        <v>1753</v>
      </c>
      <c r="B20" s="2147"/>
      <c r="C20" s="1768">
        <f>C8-C17</f>
        <v>-73724</v>
      </c>
      <c r="D20" s="1768">
        <f t="shared" ref="D20:K20" si="5">D8-D17</f>
        <v>-931562</v>
      </c>
      <c r="E20" s="1768">
        <f t="shared" si="5"/>
        <v>-51001</v>
      </c>
      <c r="F20" s="1768">
        <f t="shared" si="5"/>
        <v>-87710</v>
      </c>
      <c r="G20" s="1768">
        <f t="shared" si="5"/>
        <v>28124</v>
      </c>
      <c r="H20" s="1768">
        <f t="shared" si="5"/>
        <v>447992</v>
      </c>
      <c r="I20" s="1768">
        <f t="shared" si="5"/>
        <v>68319</v>
      </c>
      <c r="J20" s="1768">
        <f t="shared" si="5"/>
        <v>109708</v>
      </c>
      <c r="K20" s="1768">
        <f t="shared" si="5"/>
        <v>-6075</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1754</v>
      </c>
      <c r="B24" s="525">
        <v>7110</v>
      </c>
      <c r="C24" s="467">
        <v>713631</v>
      </c>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v>338597</v>
      </c>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2596000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v>985000</v>
      </c>
      <c r="E43" s="467"/>
      <c r="F43" s="467">
        <v>35000</v>
      </c>
      <c r="G43" s="467"/>
      <c r="H43" s="467"/>
      <c r="I43" s="467">
        <v>671</v>
      </c>
      <c r="J43" s="467"/>
      <c r="K43" s="467"/>
      <c r="L43" s="524"/>
    </row>
    <row r="44" spans="1:12" s="485" customFormat="1" ht="13.5" customHeight="1" thickBot="1" x14ac:dyDescent="0.25">
      <c r="A44" s="2160" t="s">
        <v>392</v>
      </c>
      <c r="B44" s="2161"/>
      <c r="C44" s="1725">
        <f>SUM(C24:C43)</f>
        <v>713631</v>
      </c>
      <c r="D44" s="1725">
        <f t="shared" ref="D44:K44" si="6">SUM(D24:D43)</f>
        <v>1323597</v>
      </c>
      <c r="E44" s="1725">
        <f t="shared" si="6"/>
        <v>0</v>
      </c>
      <c r="F44" s="1725">
        <f t="shared" si="6"/>
        <v>35000</v>
      </c>
      <c r="G44" s="1725">
        <f t="shared" si="6"/>
        <v>0</v>
      </c>
      <c r="H44" s="1725">
        <f t="shared" si="6"/>
        <v>0</v>
      </c>
      <c r="I44" s="1725">
        <f t="shared" si="6"/>
        <v>2596671</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713631</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338597</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35000</v>
      </c>
      <c r="J75" s="530"/>
      <c r="K75" s="532"/>
      <c r="L75" s="524"/>
    </row>
    <row r="76" spans="1:12" s="485" customFormat="1" ht="14.25" thickTop="1" thickBot="1" x14ac:dyDescent="0.25">
      <c r="A76" s="2136" t="s">
        <v>460</v>
      </c>
      <c r="B76" s="2137"/>
      <c r="C76" s="1725">
        <f t="shared" ref="C76:K76" si="7">SUM(C47:C75)</f>
        <v>0</v>
      </c>
      <c r="D76" s="1725">
        <f t="shared" si="7"/>
        <v>0</v>
      </c>
      <c r="E76" s="1725">
        <f t="shared" si="7"/>
        <v>0</v>
      </c>
      <c r="F76" s="1725">
        <f t="shared" si="7"/>
        <v>0</v>
      </c>
      <c r="G76" s="1725">
        <f t="shared" si="7"/>
        <v>0</v>
      </c>
      <c r="H76" s="1725">
        <f t="shared" si="7"/>
        <v>338597</v>
      </c>
      <c r="I76" s="1725">
        <f t="shared" si="7"/>
        <v>748631</v>
      </c>
      <c r="J76" s="1725">
        <f t="shared" si="7"/>
        <v>0</v>
      </c>
      <c r="K76" s="1725">
        <f t="shared" si="7"/>
        <v>0</v>
      </c>
      <c r="L76" s="524"/>
    </row>
    <row r="77" spans="1:12" ht="14.25" thickTop="1" thickBot="1" x14ac:dyDescent="0.25">
      <c r="A77" s="2138" t="s">
        <v>1239</v>
      </c>
      <c r="B77" s="2139"/>
      <c r="C77" s="1725">
        <f t="shared" ref="C77:K77" si="8">C44-C76</f>
        <v>713631</v>
      </c>
      <c r="D77" s="1725">
        <f t="shared" si="8"/>
        <v>1323597</v>
      </c>
      <c r="E77" s="1725">
        <f t="shared" si="8"/>
        <v>0</v>
      </c>
      <c r="F77" s="1725">
        <f t="shared" si="8"/>
        <v>35000</v>
      </c>
      <c r="G77" s="1725">
        <f t="shared" si="8"/>
        <v>0</v>
      </c>
      <c r="H77" s="1725">
        <f t="shared" si="8"/>
        <v>-338597</v>
      </c>
      <c r="I77" s="1725">
        <f t="shared" si="8"/>
        <v>1848040</v>
      </c>
      <c r="J77" s="1725">
        <f t="shared" si="8"/>
        <v>0</v>
      </c>
      <c r="K77" s="1725">
        <f t="shared" si="8"/>
        <v>0</v>
      </c>
      <c r="L77" s="347"/>
    </row>
    <row r="78" spans="1:12" ht="21.75" customHeight="1" thickTop="1" thickBot="1" x14ac:dyDescent="0.25">
      <c r="A78" s="2142" t="s">
        <v>618</v>
      </c>
      <c r="B78" s="2143"/>
      <c r="C78" s="1724">
        <f t="shared" ref="C78:K78" si="9">C20+C77</f>
        <v>639907</v>
      </c>
      <c r="D78" s="1724">
        <f t="shared" si="9"/>
        <v>392035</v>
      </c>
      <c r="E78" s="1724">
        <f t="shared" si="9"/>
        <v>-51001</v>
      </c>
      <c r="F78" s="1724">
        <f t="shared" si="9"/>
        <v>-52710</v>
      </c>
      <c r="G78" s="1724">
        <f t="shared" si="9"/>
        <v>28124</v>
      </c>
      <c r="H78" s="1724">
        <f t="shared" si="9"/>
        <v>109395</v>
      </c>
      <c r="I78" s="1724">
        <f t="shared" si="9"/>
        <v>1916359</v>
      </c>
      <c r="J78" s="1724">
        <f t="shared" si="9"/>
        <v>109708</v>
      </c>
      <c r="K78" s="1724">
        <f t="shared" si="9"/>
        <v>-6075</v>
      </c>
      <c r="L78" s="533"/>
    </row>
    <row r="79" spans="1:12" ht="13.5" thickTop="1" x14ac:dyDescent="0.2">
      <c r="A79" s="1516" t="s">
        <v>2070</v>
      </c>
      <c r="B79" s="534"/>
      <c r="C79" s="478">
        <v>-343997</v>
      </c>
      <c r="D79" s="535">
        <v>-72791</v>
      </c>
      <c r="E79" s="535">
        <v>36278</v>
      </c>
      <c r="F79" s="535">
        <v>84411</v>
      </c>
      <c r="G79" s="535">
        <v>265599</v>
      </c>
      <c r="H79" s="535"/>
      <c r="I79" s="535">
        <v>755038</v>
      </c>
      <c r="J79" s="535">
        <v>56384</v>
      </c>
      <c r="K79" s="535">
        <v>9009</v>
      </c>
      <c r="L79" s="347"/>
    </row>
    <row r="80" spans="1:12" x14ac:dyDescent="0.2">
      <c r="A80" s="2148" t="s">
        <v>1897</v>
      </c>
      <c r="B80" s="2149"/>
      <c r="C80" s="467"/>
      <c r="D80" s="467"/>
      <c r="E80" s="467"/>
      <c r="F80" s="467"/>
      <c r="G80" s="467"/>
      <c r="H80" s="467"/>
      <c r="I80" s="467"/>
      <c r="J80" s="467"/>
      <c r="K80" s="467"/>
      <c r="L80" s="347"/>
    </row>
    <row r="81" spans="1:12" ht="13.5" thickBot="1" x14ac:dyDescent="0.25">
      <c r="A81" s="2140" t="s">
        <v>2071</v>
      </c>
      <c r="B81" s="2141"/>
      <c r="C81" s="1710">
        <f>(SUM(C78:C80))</f>
        <v>295910</v>
      </c>
      <c r="D81" s="1710">
        <f>SUM(D78:D80)</f>
        <v>319244</v>
      </c>
      <c r="E81" s="1710">
        <f t="shared" ref="E81:K81" si="10">SUM(E78:E80)</f>
        <v>-14723</v>
      </c>
      <c r="F81" s="1710">
        <f t="shared" si="10"/>
        <v>31701</v>
      </c>
      <c r="G81" s="1710">
        <f t="shared" si="10"/>
        <v>293723</v>
      </c>
      <c r="H81" s="1710">
        <f t="shared" si="10"/>
        <v>109395</v>
      </c>
      <c r="I81" s="1710">
        <f t="shared" si="10"/>
        <v>2671397</v>
      </c>
      <c r="J81" s="1710">
        <f t="shared" si="10"/>
        <v>166092</v>
      </c>
      <c r="K81" s="1710">
        <f t="shared" si="10"/>
        <v>2934</v>
      </c>
      <c r="L81" s="347"/>
    </row>
    <row r="82" spans="1:12" ht="0.75" customHeight="1" thickTop="1" thickBot="1" x14ac:dyDescent="0.25">
      <c r="A82" s="536" t="s">
        <v>361</v>
      </c>
      <c r="B82" s="537"/>
      <c r="C82" s="538">
        <f>(C81-C79)</f>
        <v>639907</v>
      </c>
      <c r="D82" s="538">
        <f t="shared" ref="D82:K82" si="11">(D81-D79)</f>
        <v>392035</v>
      </c>
      <c r="E82" s="538">
        <f t="shared" si="11"/>
        <v>-51001</v>
      </c>
      <c r="F82" s="538">
        <f t="shared" si="11"/>
        <v>-52710</v>
      </c>
      <c r="G82" s="538">
        <f t="shared" si="11"/>
        <v>28124</v>
      </c>
      <c r="H82" s="538">
        <f t="shared" si="11"/>
        <v>109395</v>
      </c>
      <c r="I82" s="538">
        <f t="shared" si="11"/>
        <v>1916359</v>
      </c>
      <c r="J82" s="538">
        <f t="shared" si="11"/>
        <v>109708</v>
      </c>
      <c r="K82" s="538">
        <f t="shared" si="11"/>
        <v>-6075</v>
      </c>
    </row>
    <row r="83" spans="1:12" ht="14.25" hidden="1" thickTop="1" thickBot="1" x14ac:dyDescent="0.25">
      <c r="A83" s="539" t="s">
        <v>362</v>
      </c>
      <c r="B83" s="464"/>
      <c r="C83" s="540">
        <f>C82/C81</f>
        <v>2.162505491534588</v>
      </c>
      <c r="D83" s="540">
        <f t="shared" ref="D83:K83" si="12">D82/D81</f>
        <v>1.228010549924196</v>
      </c>
      <c r="E83" s="540">
        <f t="shared" si="12"/>
        <v>3.4640358622563334</v>
      </c>
      <c r="F83" s="540">
        <f t="shared" si="12"/>
        <v>-1.6627235733888521</v>
      </c>
      <c r="G83" s="540">
        <f t="shared" si="12"/>
        <v>9.5750077453927676E-2</v>
      </c>
      <c r="H83" s="540">
        <f t="shared" si="12"/>
        <v>1</v>
      </c>
      <c r="I83" s="540">
        <f t="shared" si="12"/>
        <v>0.71736211427953245</v>
      </c>
      <c r="J83" s="540">
        <f t="shared" si="12"/>
        <v>0.66052549189605758</v>
      </c>
      <c r="K83" s="540">
        <f t="shared" si="12"/>
        <v>-2.0705521472392636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view="pageBreakPreview" colorId="8" zoomScale="75"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1904</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2435395</v>
      </c>
      <c r="D5" s="481">
        <v>661788</v>
      </c>
      <c r="E5" s="466">
        <v>709688</v>
      </c>
      <c r="F5" s="548">
        <v>264794</v>
      </c>
      <c r="G5" s="466">
        <v>306639</v>
      </c>
      <c r="H5" s="466"/>
      <c r="I5" s="466">
        <v>66231</v>
      </c>
      <c r="J5" s="467">
        <v>418170</v>
      </c>
      <c r="K5" s="466"/>
    </row>
    <row r="6" spans="1:12" ht="15" x14ac:dyDescent="0.2">
      <c r="A6" s="463" t="s">
        <v>1760</v>
      </c>
      <c r="B6" s="470">
        <v>1130</v>
      </c>
      <c r="C6" s="466">
        <v>66231</v>
      </c>
      <c r="D6" s="466"/>
      <c r="E6" s="475"/>
      <c r="F6" s="475"/>
      <c r="G6" s="468"/>
      <c r="H6" s="468"/>
      <c r="I6" s="468"/>
      <c r="J6" s="468"/>
      <c r="K6" s="468"/>
    </row>
    <row r="7" spans="1:12" x14ac:dyDescent="0.2">
      <c r="A7" s="463" t="s">
        <v>112</v>
      </c>
      <c r="B7" s="549">
        <v>1140</v>
      </c>
      <c r="C7" s="466">
        <v>53037</v>
      </c>
      <c r="D7" s="466"/>
      <c r="E7" s="468"/>
      <c r="F7" s="467"/>
      <c r="G7" s="467"/>
      <c r="H7" s="467"/>
      <c r="I7" s="468"/>
      <c r="J7" s="468"/>
      <c r="K7" s="468"/>
    </row>
    <row r="8" spans="1:12" x14ac:dyDescent="0.2">
      <c r="A8" s="463" t="s">
        <v>433</v>
      </c>
      <c r="B8" s="470">
        <v>1150</v>
      </c>
      <c r="C8" s="475"/>
      <c r="D8" s="475"/>
      <c r="E8" s="477"/>
      <c r="F8" s="477"/>
      <c r="G8" s="481">
        <v>280923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2554663</v>
      </c>
      <c r="D12" s="1729">
        <f t="shared" si="0"/>
        <v>661788</v>
      </c>
      <c r="E12" s="1729">
        <f t="shared" si="0"/>
        <v>709688</v>
      </c>
      <c r="F12" s="1729">
        <f t="shared" si="0"/>
        <v>264794</v>
      </c>
      <c r="G12" s="1729">
        <f t="shared" si="0"/>
        <v>587562</v>
      </c>
      <c r="H12" s="1729">
        <f t="shared" si="0"/>
        <v>0</v>
      </c>
      <c r="I12" s="1729">
        <f t="shared" si="0"/>
        <v>66231</v>
      </c>
      <c r="J12" s="1729">
        <f t="shared" si="0"/>
        <v>418170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794789</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794789</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v>356597</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356597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1411</v>
      </c>
      <c r="D65" s="466">
        <v>484</v>
      </c>
      <c r="E65" s="466">
        <v>180</v>
      </c>
      <c r="F65" s="467">
        <v>61</v>
      </c>
      <c r="G65" s="466">
        <v>596</v>
      </c>
      <c r="H65" s="466">
        <v>304</v>
      </c>
      <c r="I65" s="466">
        <v>2088</v>
      </c>
      <c r="J65" s="467">
        <v>280</v>
      </c>
      <c r="K65" s="466">
        <v>12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1411</v>
      </c>
      <c r="D67" s="1710">
        <f t="shared" ref="D67:K67" si="2">SUM(D65:D66)</f>
        <v>484</v>
      </c>
      <c r="E67" s="1710">
        <f t="shared" si="2"/>
        <v>180</v>
      </c>
      <c r="F67" s="1710">
        <f t="shared" si="2"/>
        <v>61</v>
      </c>
      <c r="G67" s="1710">
        <f t="shared" si="2"/>
        <v>596</v>
      </c>
      <c r="H67" s="1710">
        <f t="shared" si="2"/>
        <v>304</v>
      </c>
      <c r="I67" s="1710">
        <f t="shared" si="2"/>
        <v>2088</v>
      </c>
      <c r="J67" s="1710">
        <f t="shared" si="2"/>
        <v>280</v>
      </c>
      <c r="K67" s="1710">
        <f t="shared" si="2"/>
        <v>12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77003</v>
      </c>
      <c r="D69" s="468"/>
      <c r="E69" s="468"/>
      <c r="F69" s="468"/>
      <c r="G69" s="468"/>
      <c r="H69" s="468"/>
      <c r="I69" s="468"/>
      <c r="J69" s="468"/>
      <c r="K69" s="468"/>
    </row>
    <row r="70" spans="1:11" ht="12.75" customHeight="1" x14ac:dyDescent="0.2">
      <c r="A70" s="463" t="s">
        <v>1054</v>
      </c>
      <c r="B70" s="470">
        <v>1612</v>
      </c>
      <c r="C70" s="551">
        <v>10197</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4588</v>
      </c>
      <c r="D73" s="468"/>
      <c r="E73" s="468"/>
      <c r="F73" s="468"/>
      <c r="G73" s="468"/>
      <c r="H73" s="468"/>
      <c r="I73" s="468"/>
      <c r="J73" s="468"/>
      <c r="K73" s="468"/>
    </row>
    <row r="74" spans="1:11" ht="12.75" customHeight="1" x14ac:dyDescent="0.2">
      <c r="A74" s="463" t="s">
        <v>25</v>
      </c>
      <c r="B74" s="470">
        <v>1690</v>
      </c>
      <c r="C74" s="551">
        <v>-782</v>
      </c>
      <c r="D74" s="468"/>
      <c r="E74" s="468"/>
      <c r="F74" s="468"/>
      <c r="G74" s="468"/>
      <c r="H74" s="468"/>
      <c r="I74" s="468"/>
      <c r="J74" s="468"/>
      <c r="K74" s="468"/>
    </row>
    <row r="75" spans="1:11" ht="12.75" customHeight="1" thickBot="1" x14ac:dyDescent="0.25">
      <c r="A75" s="1730" t="s">
        <v>569</v>
      </c>
      <c r="B75" s="1731"/>
      <c r="C75" s="1710">
        <f>SUM(C69:C74)</f>
        <v>91006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57169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24839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82008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34598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34598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1150</v>
      </c>
      <c r="E95" s="521"/>
      <c r="F95" s="521"/>
      <c r="G95" s="521"/>
      <c r="H95" s="521"/>
      <c r="I95" s="521"/>
      <c r="J95" s="521"/>
      <c r="K95" s="521"/>
    </row>
    <row r="96" spans="1:11" ht="12.75" customHeight="1" x14ac:dyDescent="0.2">
      <c r="A96" s="463" t="s">
        <v>409</v>
      </c>
      <c r="B96" s="470">
        <v>1920</v>
      </c>
      <c r="C96" s="551">
        <v>3100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6409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8355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447688</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88428</v>
      </c>
      <c r="D106" s="489">
        <v>41152</v>
      </c>
      <c r="E106" s="467"/>
      <c r="F106" s="467">
        <v>10007</v>
      </c>
      <c r="G106" s="467"/>
      <c r="H106" s="467"/>
      <c r="I106" s="521"/>
      <c r="J106" s="467">
        <v>200</v>
      </c>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106292</v>
      </c>
      <c r="D108" s="1729">
        <f t="shared" ref="D108:K108" si="3">SUM(D95:D107)</f>
        <v>42302</v>
      </c>
      <c r="E108" s="1729">
        <f t="shared" si="3"/>
        <v>0</v>
      </c>
      <c r="F108" s="1729">
        <f t="shared" si="3"/>
        <v>10007</v>
      </c>
      <c r="G108" s="1729">
        <f t="shared" si="3"/>
        <v>0</v>
      </c>
      <c r="H108" s="1729">
        <f t="shared" si="3"/>
        <v>447688</v>
      </c>
      <c r="I108" s="1729">
        <f t="shared" si="3"/>
        <v>0</v>
      </c>
      <c r="J108" s="1729">
        <f t="shared" si="3"/>
        <v>200</v>
      </c>
      <c r="K108" s="1710">
        <f t="shared" si="3"/>
        <v>0</v>
      </c>
    </row>
    <row r="109" spans="1:12" ht="14.25" thickTop="1" thickBot="1" x14ac:dyDescent="0.25">
      <c r="A109" s="1735" t="s">
        <v>266</v>
      </c>
      <c r="B109" s="1736" t="s">
        <v>591</v>
      </c>
      <c r="C109" s="1737">
        <f t="shared" ref="C109:K109" si="4">SUM(C12,C18,C40,C63,C67,C75,C82,C93,C108,)</f>
        <v>4021364</v>
      </c>
      <c r="D109" s="1737">
        <f t="shared" si="4"/>
        <v>704574</v>
      </c>
      <c r="E109" s="1737">
        <f t="shared" si="4"/>
        <v>709868</v>
      </c>
      <c r="F109" s="1737">
        <f t="shared" si="4"/>
        <v>274862</v>
      </c>
      <c r="G109" s="1737">
        <f t="shared" si="4"/>
        <v>588158</v>
      </c>
      <c r="H109" s="1737">
        <f t="shared" si="4"/>
        <v>447992</v>
      </c>
      <c r="I109" s="1737">
        <f t="shared" si="4"/>
        <v>68319</v>
      </c>
      <c r="J109" s="1737">
        <f t="shared" si="4"/>
        <v>418650</v>
      </c>
      <c r="K109" s="1724">
        <f t="shared" si="4"/>
        <v>12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5302806</v>
      </c>
      <c r="D117" s="481">
        <v>350000</v>
      </c>
      <c r="E117" s="466"/>
      <c r="F117" s="481">
        <v>20000</v>
      </c>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5302806</v>
      </c>
      <c r="D121" s="1729">
        <f t="shared" si="5"/>
        <v>350000</v>
      </c>
      <c r="E121" s="1729">
        <f t="shared" si="5"/>
        <v>0</v>
      </c>
      <c r="F121" s="1729">
        <f t="shared" si="5"/>
        <v>20000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13003</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363855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v>63546</v>
      </c>
      <c r="D130" s="467"/>
      <c r="E130" s="468"/>
      <c r="F130" s="466"/>
      <c r="G130" s="468"/>
      <c r="H130" s="468"/>
      <c r="I130" s="468"/>
      <c r="J130" s="468"/>
      <c r="K130" s="468"/>
    </row>
    <row r="131" spans="1:11" ht="12.75" customHeight="1" thickBot="1" x14ac:dyDescent="0.25">
      <c r="A131" s="1730" t="s">
        <v>1092</v>
      </c>
      <c r="B131" s="1742"/>
      <c r="C131" s="1729">
        <f>SUM(C124:C130)</f>
        <v>440404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42683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10824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53507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2867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19327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286377</v>
      </c>
      <c r="G151" s="467"/>
      <c r="H151" s="468"/>
      <c r="I151" s="468"/>
      <c r="J151" s="468"/>
      <c r="K151" s="468"/>
    </row>
    <row r="152" spans="1:11" ht="12.75" customHeight="1" x14ac:dyDescent="0.2">
      <c r="A152" s="463" t="s">
        <v>1117</v>
      </c>
      <c r="B152" s="562">
        <v>3510</v>
      </c>
      <c r="C152" s="551"/>
      <c r="D152" s="466"/>
      <c r="E152" s="561"/>
      <c r="F152" s="466">
        <v>118132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404509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2005</v>
      </c>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518110</v>
      </c>
      <c r="D172" s="1744">
        <f t="shared" si="6"/>
        <v>0</v>
      </c>
      <c r="E172" s="1744">
        <f t="shared" si="6"/>
        <v>0</v>
      </c>
      <c r="F172" s="1744">
        <f t="shared" si="6"/>
        <v>404509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5820916</v>
      </c>
      <c r="D173" s="1737">
        <f>SUM(D121,D172)</f>
        <v>350000</v>
      </c>
      <c r="E173" s="1737">
        <f>SUM(E121,E172)</f>
        <v>0</v>
      </c>
      <c r="F173" s="1737">
        <f t="shared" ref="F173:K173" si="7">SUM(F121,F172)</f>
        <v>424509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1763</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1762</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1905</v>
      </c>
      <c r="B185" s="2169"/>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278615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94576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373191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474103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474103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2294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30930</v>
      </c>
      <c r="D270" s="576"/>
      <c r="E270" s="468"/>
      <c r="F270" s="576"/>
      <c r="G270" s="576"/>
      <c r="H270" s="468"/>
      <c r="I270" s="468"/>
      <c r="J270" s="468"/>
      <c r="K270" s="468"/>
    </row>
    <row r="271" spans="1:11" ht="12.75" customHeight="1" thickTop="1" thickBot="1" x14ac:dyDescent="0.25">
      <c r="A271" s="463" t="s">
        <v>395</v>
      </c>
      <c r="B271" s="470">
        <v>4992</v>
      </c>
      <c r="C271" s="575">
        <v>140774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1021292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1021292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10863572</v>
      </c>
      <c r="D275" s="1737">
        <f t="shared" si="12"/>
        <v>1054574</v>
      </c>
      <c r="E275" s="1737">
        <f t="shared" si="12"/>
        <v>709868</v>
      </c>
      <c r="F275" s="1737">
        <f t="shared" si="12"/>
        <v>699371</v>
      </c>
      <c r="G275" s="1737">
        <f t="shared" si="12"/>
        <v>588158</v>
      </c>
      <c r="H275" s="1737">
        <f t="shared" si="12"/>
        <v>447992</v>
      </c>
      <c r="I275" s="1737">
        <f t="shared" si="12"/>
        <v>68319</v>
      </c>
      <c r="J275" s="1737">
        <f t="shared" si="12"/>
        <v>418650</v>
      </c>
      <c r="K275" s="1724">
        <f t="shared" si="12"/>
        <v>12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fitToHeight="6"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Normal="100" zoomScaleSheetLayoutView="100" workbookViewId="0">
      <pane ySplit="2" topLeftCell="A165" activePane="bottomLeft" state="frozen"/>
      <selection activeCell="A47" sqref="A47"/>
      <selection pane="bottomLeft" activeCell="H172" sqref="H17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4861583</v>
      </c>
      <c r="D5" s="466">
        <v>731884</v>
      </c>
      <c r="E5" s="466">
        <v>52880</v>
      </c>
      <c r="F5" s="466">
        <v>185828</v>
      </c>
      <c r="G5" s="466">
        <v>4438</v>
      </c>
      <c r="H5" s="466">
        <v>630</v>
      </c>
      <c r="I5" s="467"/>
      <c r="J5" s="467"/>
      <c r="K5" s="1693">
        <f>SUM(C5:J5)</f>
        <v>5837243</v>
      </c>
      <c r="L5" s="466">
        <v>5202225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190294</v>
      </c>
      <c r="D7" s="467">
        <v>20562</v>
      </c>
      <c r="E7" s="467"/>
      <c r="F7" s="467">
        <v>812</v>
      </c>
      <c r="G7" s="467"/>
      <c r="H7" s="467"/>
      <c r="I7" s="467"/>
      <c r="J7" s="467"/>
      <c r="K7" s="1693">
        <f t="shared" ref="K7:K32" si="0">SUM(C7:J7)</f>
        <v>211668</v>
      </c>
      <c r="L7" s="466">
        <v>200846</v>
      </c>
    </row>
    <row r="8" spans="1:14" x14ac:dyDescent="0.2">
      <c r="A8" s="1526" t="s">
        <v>166</v>
      </c>
      <c r="B8" s="615">
        <v>1200</v>
      </c>
      <c r="C8" s="466">
        <v>1078580</v>
      </c>
      <c r="D8" s="466">
        <v>195181</v>
      </c>
      <c r="E8" s="466">
        <v>15349</v>
      </c>
      <c r="F8" s="466">
        <v>3803</v>
      </c>
      <c r="G8" s="466"/>
      <c r="H8" s="466"/>
      <c r="I8" s="467"/>
      <c r="J8" s="467"/>
      <c r="K8" s="1693">
        <f t="shared" si="0"/>
        <v>1292913</v>
      </c>
      <c r="L8" s="466">
        <v>1128253</v>
      </c>
    </row>
    <row r="9" spans="1:14" x14ac:dyDescent="0.2">
      <c r="A9" s="1526" t="s">
        <v>745</v>
      </c>
      <c r="B9" s="615" t="s">
        <v>1025</v>
      </c>
      <c r="C9" s="467">
        <v>86043</v>
      </c>
      <c r="D9" s="467">
        <v>18394</v>
      </c>
      <c r="E9" s="467"/>
      <c r="F9" s="467"/>
      <c r="G9" s="467"/>
      <c r="H9" s="467"/>
      <c r="I9" s="467"/>
      <c r="J9" s="467"/>
      <c r="K9" s="1693">
        <f t="shared" si="0"/>
        <v>104437</v>
      </c>
      <c r="L9" s="466">
        <v>69254</v>
      </c>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325878</v>
      </c>
      <c r="D13" s="466">
        <v>50944</v>
      </c>
      <c r="E13" s="466">
        <v>3266</v>
      </c>
      <c r="F13" s="466">
        <v>15261</v>
      </c>
      <c r="G13" s="466"/>
      <c r="H13" s="466"/>
      <c r="I13" s="467"/>
      <c r="J13" s="467"/>
      <c r="K13" s="1693">
        <f t="shared" si="0"/>
        <v>395349</v>
      </c>
      <c r="L13" s="466">
        <v>431673</v>
      </c>
    </row>
    <row r="14" spans="1:14" x14ac:dyDescent="0.2">
      <c r="A14" s="1526" t="s">
        <v>1020</v>
      </c>
      <c r="B14" s="615">
        <v>1500</v>
      </c>
      <c r="C14" s="466">
        <v>135545</v>
      </c>
      <c r="D14" s="466">
        <v>16623</v>
      </c>
      <c r="E14" s="466">
        <v>41282</v>
      </c>
      <c r="F14" s="466">
        <v>21286</v>
      </c>
      <c r="G14" s="466"/>
      <c r="H14" s="466">
        <v>360</v>
      </c>
      <c r="I14" s="467"/>
      <c r="J14" s="467"/>
      <c r="K14" s="1693">
        <f t="shared" si="0"/>
        <v>215096</v>
      </c>
      <c r="L14" s="466">
        <v>220456</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1766</v>
      </c>
      <c r="B33" s="1691" t="s">
        <v>591</v>
      </c>
      <c r="C33" s="1692">
        <f>SUM(C5:C32)</f>
        <v>6677923</v>
      </c>
      <c r="D33" s="1692">
        <f t="shared" ref="D33:L33" si="1">SUM(D5:D32)</f>
        <v>1033588</v>
      </c>
      <c r="E33" s="1692">
        <f t="shared" si="1"/>
        <v>112777</v>
      </c>
      <c r="F33" s="1692">
        <f t="shared" si="1"/>
        <v>226990</v>
      </c>
      <c r="G33" s="1692">
        <f t="shared" si="1"/>
        <v>4438</v>
      </c>
      <c r="H33" s="1692">
        <f t="shared" si="1"/>
        <v>990</v>
      </c>
      <c r="I33" s="1692">
        <f t="shared" si="1"/>
        <v>0</v>
      </c>
      <c r="J33" s="1692">
        <f t="shared" si="1"/>
        <v>0</v>
      </c>
      <c r="K33" s="1692">
        <f t="shared" si="1"/>
        <v>8056706</v>
      </c>
      <c r="L33" s="1692">
        <f t="shared" si="1"/>
        <v>7252707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300536</v>
      </c>
      <c r="D37" s="466">
        <v>44355</v>
      </c>
      <c r="E37" s="466"/>
      <c r="F37" s="466">
        <v>1000</v>
      </c>
      <c r="G37" s="466"/>
      <c r="H37" s="466"/>
      <c r="I37" s="467"/>
      <c r="J37" s="467"/>
      <c r="K37" s="1693">
        <f t="shared" si="2"/>
        <v>345891</v>
      </c>
      <c r="L37" s="466">
        <v>315441</v>
      </c>
    </row>
    <row r="38" spans="1:14" x14ac:dyDescent="0.2">
      <c r="A38" s="1526" t="s">
        <v>207</v>
      </c>
      <c r="B38" s="615">
        <v>2130</v>
      </c>
      <c r="C38" s="466">
        <v>108464</v>
      </c>
      <c r="D38" s="466">
        <v>14889</v>
      </c>
      <c r="E38" s="466">
        <v>942</v>
      </c>
      <c r="F38" s="466">
        <v>3261</v>
      </c>
      <c r="G38" s="466"/>
      <c r="H38" s="466"/>
      <c r="I38" s="467"/>
      <c r="J38" s="467"/>
      <c r="K38" s="1693">
        <f t="shared" si="2"/>
        <v>127556</v>
      </c>
      <c r="L38" s="466">
        <v>114691</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169502</v>
      </c>
      <c r="D40" s="466">
        <v>32347</v>
      </c>
      <c r="E40" s="466"/>
      <c r="F40" s="466">
        <v>649</v>
      </c>
      <c r="G40" s="466"/>
      <c r="H40" s="466"/>
      <c r="I40" s="467"/>
      <c r="J40" s="467"/>
      <c r="K40" s="1693">
        <f t="shared" si="2"/>
        <v>202498</v>
      </c>
      <c r="L40" s="466">
        <v>192310</v>
      </c>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578502</v>
      </c>
      <c r="D42" s="1692">
        <f t="shared" ref="D42:L42" si="3">SUM(D36:D41)</f>
        <v>91591</v>
      </c>
      <c r="E42" s="1692">
        <f t="shared" si="3"/>
        <v>942</v>
      </c>
      <c r="F42" s="1692">
        <f t="shared" si="3"/>
        <v>4910</v>
      </c>
      <c r="G42" s="1692">
        <f t="shared" si="3"/>
        <v>0</v>
      </c>
      <c r="H42" s="1692">
        <f t="shared" si="3"/>
        <v>0</v>
      </c>
      <c r="I42" s="1692">
        <f t="shared" si="3"/>
        <v>0</v>
      </c>
      <c r="J42" s="1692">
        <f t="shared" si="3"/>
        <v>0</v>
      </c>
      <c r="K42" s="1692">
        <f t="shared" si="3"/>
        <v>675945</v>
      </c>
      <c r="L42" s="1692">
        <f t="shared" si="3"/>
        <v>622442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6050</v>
      </c>
      <c r="D44" s="481">
        <v>492</v>
      </c>
      <c r="E44" s="481">
        <v>18241</v>
      </c>
      <c r="F44" s="481"/>
      <c r="G44" s="481">
        <v>2330</v>
      </c>
      <c r="H44" s="481"/>
      <c r="I44" s="467"/>
      <c r="J44" s="467"/>
      <c r="K44" s="1694">
        <f>SUM(C44:J44)</f>
        <v>27113</v>
      </c>
      <c r="L44" s="481">
        <v>22471</v>
      </c>
    </row>
    <row r="45" spans="1:14" x14ac:dyDescent="0.2">
      <c r="A45" s="1526" t="s">
        <v>869</v>
      </c>
      <c r="B45" s="615">
        <v>2220</v>
      </c>
      <c r="C45" s="466">
        <v>89229</v>
      </c>
      <c r="D45" s="466">
        <v>16321</v>
      </c>
      <c r="E45" s="466">
        <v>0</v>
      </c>
      <c r="F45" s="466">
        <v>6806</v>
      </c>
      <c r="G45" s="466"/>
      <c r="H45" s="466"/>
      <c r="I45" s="467"/>
      <c r="J45" s="467"/>
      <c r="K45" s="1694">
        <f>SUM(C45:J45)</f>
        <v>112356</v>
      </c>
      <c r="L45" s="466">
        <v>95989</v>
      </c>
    </row>
    <row r="46" spans="1:14" x14ac:dyDescent="0.2">
      <c r="A46" s="1526" t="s">
        <v>870</v>
      </c>
      <c r="B46" s="615">
        <v>2230</v>
      </c>
      <c r="C46" s="466"/>
      <c r="D46" s="466"/>
      <c r="E46" s="466">
        <v>8787</v>
      </c>
      <c r="F46" s="466"/>
      <c r="G46" s="466"/>
      <c r="H46" s="466"/>
      <c r="I46" s="467"/>
      <c r="J46" s="467"/>
      <c r="K46" s="1694">
        <f>SUM(C46:J46)</f>
        <v>8787</v>
      </c>
      <c r="L46" s="466">
        <v>15324</v>
      </c>
    </row>
    <row r="47" spans="1:14" ht="12.75" customHeight="1" thickBot="1" x14ac:dyDescent="0.25">
      <c r="A47" s="1690" t="s">
        <v>582</v>
      </c>
      <c r="B47" s="1691" t="s">
        <v>32</v>
      </c>
      <c r="C47" s="1692">
        <f>SUM(C44:C46)</f>
        <v>95279</v>
      </c>
      <c r="D47" s="1692">
        <f t="shared" ref="D47:K47" si="4">SUM(D44:D46)</f>
        <v>16813</v>
      </c>
      <c r="E47" s="1692">
        <f t="shared" si="4"/>
        <v>27028</v>
      </c>
      <c r="F47" s="1692">
        <f t="shared" si="4"/>
        <v>6806</v>
      </c>
      <c r="G47" s="1692">
        <f t="shared" si="4"/>
        <v>2330</v>
      </c>
      <c r="H47" s="1692">
        <f t="shared" si="4"/>
        <v>0</v>
      </c>
      <c r="I47" s="1692">
        <f t="shared" si="4"/>
        <v>0</v>
      </c>
      <c r="J47" s="1692">
        <f t="shared" si="4"/>
        <v>0</v>
      </c>
      <c r="K47" s="1692">
        <f t="shared" si="4"/>
        <v>148256</v>
      </c>
      <c r="L47" s="1692">
        <f>SUM(L44:L46)</f>
        <v>133784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21124</v>
      </c>
      <c r="D49" s="481">
        <v>2354</v>
      </c>
      <c r="E49" s="481">
        <v>15763</v>
      </c>
      <c r="F49" s="481">
        <v>446</v>
      </c>
      <c r="G49" s="481"/>
      <c r="H49" s="481">
        <v>8662</v>
      </c>
      <c r="I49" s="467"/>
      <c r="J49" s="467"/>
      <c r="K49" s="1694">
        <f>SUM(C49:J49)</f>
        <v>48349</v>
      </c>
      <c r="L49" s="481">
        <v>16000</v>
      </c>
    </row>
    <row r="50" spans="1:14" x14ac:dyDescent="0.2">
      <c r="A50" s="1526" t="s">
        <v>872</v>
      </c>
      <c r="B50" s="615">
        <v>2320</v>
      </c>
      <c r="C50" s="466">
        <v>251425</v>
      </c>
      <c r="D50" s="466">
        <v>59850</v>
      </c>
      <c r="E50" s="466">
        <v>24112</v>
      </c>
      <c r="F50" s="466">
        <v>17270</v>
      </c>
      <c r="G50" s="466"/>
      <c r="H50" s="466">
        <v>350</v>
      </c>
      <c r="I50" s="467"/>
      <c r="J50" s="467"/>
      <c r="K50" s="1694">
        <f>SUM(C50:J50)</f>
        <v>353007</v>
      </c>
      <c r="L50" s="466">
        <v>339845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272549</v>
      </c>
      <c r="D53" s="1692">
        <f t="shared" ref="D53:L53" si="5">SUM(D49:D52)</f>
        <v>62204</v>
      </c>
      <c r="E53" s="1692">
        <f t="shared" si="5"/>
        <v>39875</v>
      </c>
      <c r="F53" s="1692">
        <f t="shared" si="5"/>
        <v>17716</v>
      </c>
      <c r="G53" s="1692">
        <f t="shared" si="5"/>
        <v>0</v>
      </c>
      <c r="H53" s="1692">
        <f t="shared" si="5"/>
        <v>9012</v>
      </c>
      <c r="I53" s="1692">
        <f t="shared" si="5"/>
        <v>0</v>
      </c>
      <c r="J53" s="1692">
        <f t="shared" si="5"/>
        <v>0</v>
      </c>
      <c r="K53" s="1692">
        <f t="shared" si="5"/>
        <v>401356</v>
      </c>
      <c r="L53" s="1692">
        <f t="shared" si="5"/>
        <v>355845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390105</v>
      </c>
      <c r="D55" s="481">
        <v>90877</v>
      </c>
      <c r="E55" s="481">
        <v>61301</v>
      </c>
      <c r="F55" s="481">
        <v>5396</v>
      </c>
      <c r="G55" s="481"/>
      <c r="H55" s="481"/>
      <c r="I55" s="467"/>
      <c r="J55" s="467"/>
      <c r="K55" s="1694">
        <f>SUM(C55:J55)</f>
        <v>547679</v>
      </c>
      <c r="L55" s="481">
        <v>705988</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390105</v>
      </c>
      <c r="D57" s="1696">
        <f t="shared" ref="D57:K57" si="6">SUM(D55:D56)</f>
        <v>90877</v>
      </c>
      <c r="E57" s="1696">
        <f t="shared" si="6"/>
        <v>61301</v>
      </c>
      <c r="F57" s="1696">
        <f t="shared" si="6"/>
        <v>5396</v>
      </c>
      <c r="G57" s="1696">
        <f t="shared" si="6"/>
        <v>0</v>
      </c>
      <c r="H57" s="1696">
        <f t="shared" si="6"/>
        <v>0</v>
      </c>
      <c r="I57" s="1696">
        <f t="shared" si="6"/>
        <v>0</v>
      </c>
      <c r="J57" s="1696">
        <f t="shared" si="6"/>
        <v>0</v>
      </c>
      <c r="K57" s="1696">
        <f t="shared" si="6"/>
        <v>547679</v>
      </c>
      <c r="L57" s="1692">
        <f>SUM(L55:L56)</f>
        <v>705988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v>304</v>
      </c>
      <c r="F61" s="466">
        <v>12570</v>
      </c>
      <c r="G61" s="466">
        <v>28310</v>
      </c>
      <c r="H61" s="466"/>
      <c r="I61" s="467"/>
      <c r="J61" s="467"/>
      <c r="K61" s="1694">
        <f t="shared" si="7"/>
        <v>41184</v>
      </c>
      <c r="L61" s="466">
        <v>5000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159562</v>
      </c>
      <c r="D63" s="466">
        <v>35121</v>
      </c>
      <c r="E63" s="466">
        <v>758</v>
      </c>
      <c r="F63" s="466">
        <v>149607</v>
      </c>
      <c r="G63" s="466">
        <v>4553</v>
      </c>
      <c r="H63" s="466"/>
      <c r="I63" s="467"/>
      <c r="J63" s="467"/>
      <c r="K63" s="1694">
        <f t="shared" si="7"/>
        <v>349601</v>
      </c>
      <c r="L63" s="466">
        <v>341487</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159562</v>
      </c>
      <c r="D65" s="1692">
        <f t="shared" ref="D65:L65" si="8">SUM(D59:D64)</f>
        <v>35121</v>
      </c>
      <c r="E65" s="1692">
        <f t="shared" si="8"/>
        <v>1062</v>
      </c>
      <c r="F65" s="1692">
        <f t="shared" si="8"/>
        <v>162177</v>
      </c>
      <c r="G65" s="1692">
        <f t="shared" si="8"/>
        <v>32863</v>
      </c>
      <c r="H65" s="1692">
        <f t="shared" si="8"/>
        <v>0</v>
      </c>
      <c r="I65" s="1692">
        <f t="shared" si="8"/>
        <v>0</v>
      </c>
      <c r="J65" s="1692">
        <f t="shared" si="8"/>
        <v>0</v>
      </c>
      <c r="K65" s="1692">
        <f t="shared" si="8"/>
        <v>390785</v>
      </c>
      <c r="L65" s="1692">
        <f t="shared" si="8"/>
        <v>346487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v>44109</v>
      </c>
      <c r="D68" s="466">
        <v>82</v>
      </c>
      <c r="E68" s="466">
        <v>19561</v>
      </c>
      <c r="F68" s="466">
        <v>12964</v>
      </c>
      <c r="G68" s="466"/>
      <c r="H68" s="466"/>
      <c r="I68" s="467"/>
      <c r="J68" s="467"/>
      <c r="K68" s="1694">
        <f>SUM(C68:J68)</f>
        <v>76716</v>
      </c>
      <c r="L68" s="466">
        <v>64397</v>
      </c>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4100</v>
      </c>
      <c r="F71" s="466"/>
      <c r="G71" s="466"/>
      <c r="H71" s="466"/>
      <c r="I71" s="467"/>
      <c r="J71" s="467"/>
      <c r="K71" s="1694">
        <f>SUM(C71:J71)</f>
        <v>4100</v>
      </c>
      <c r="L71" s="466">
        <v>15000</v>
      </c>
      <c r="M71" s="610"/>
      <c r="N71" s="610"/>
    </row>
    <row r="72" spans="1:14" s="343" customFormat="1" ht="12.75" customHeight="1" thickBot="1" x14ac:dyDescent="0.25">
      <c r="A72" s="1690" t="s">
        <v>37</v>
      </c>
      <c r="B72" s="1697" t="s">
        <v>36</v>
      </c>
      <c r="C72" s="1692">
        <f>SUM(C67:C71)</f>
        <v>44109</v>
      </c>
      <c r="D72" s="1692">
        <f t="shared" ref="D72:K72" si="9">SUM(D67:D71)</f>
        <v>82</v>
      </c>
      <c r="E72" s="1692">
        <f t="shared" si="9"/>
        <v>23661</v>
      </c>
      <c r="F72" s="1692">
        <f t="shared" si="9"/>
        <v>12964</v>
      </c>
      <c r="G72" s="1692">
        <f t="shared" si="9"/>
        <v>0</v>
      </c>
      <c r="H72" s="1692">
        <f t="shared" si="9"/>
        <v>0</v>
      </c>
      <c r="I72" s="1692">
        <f t="shared" si="9"/>
        <v>0</v>
      </c>
      <c r="J72" s="1692">
        <f t="shared" si="9"/>
        <v>0</v>
      </c>
      <c r="K72" s="1692">
        <f t="shared" si="9"/>
        <v>80816</v>
      </c>
      <c r="L72" s="1692">
        <f>SUM(L67:L71)</f>
        <v>79397</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1540106</v>
      </c>
      <c r="D74" s="1699">
        <f t="shared" ref="D74:K74" si="10">SUM(D42,D47,D53,D57,D65,D72,D73)</f>
        <v>296688</v>
      </c>
      <c r="E74" s="1699">
        <f t="shared" si="10"/>
        <v>153869</v>
      </c>
      <c r="F74" s="1699">
        <f t="shared" si="10"/>
        <v>209969</v>
      </c>
      <c r="G74" s="1699">
        <f t="shared" si="10"/>
        <v>35193</v>
      </c>
      <c r="H74" s="1699">
        <f t="shared" si="10"/>
        <v>9012</v>
      </c>
      <c r="I74" s="1699">
        <f t="shared" si="10"/>
        <v>0</v>
      </c>
      <c r="J74" s="1699">
        <f t="shared" si="10"/>
        <v>0</v>
      </c>
      <c r="K74" s="1699">
        <f t="shared" si="10"/>
        <v>2244837</v>
      </c>
      <c r="L74" s="1699">
        <f>SUM(L42,L47,L53,L57,L65,L72,L73)</f>
        <v>2243943</v>
      </c>
    </row>
    <row r="75" spans="1:14" s="259" customFormat="1" ht="15.75" customHeight="1" thickTop="1" thickBot="1" x14ac:dyDescent="0.25">
      <c r="A75" s="1632" t="s">
        <v>49</v>
      </c>
      <c r="B75" s="1633" t="s">
        <v>596</v>
      </c>
      <c r="C75" s="573">
        <v>101414</v>
      </c>
      <c r="D75" s="573">
        <v>22377</v>
      </c>
      <c r="E75" s="573">
        <v>3742</v>
      </c>
      <c r="F75" s="573">
        <v>1201</v>
      </c>
      <c r="G75" s="573"/>
      <c r="H75" s="573"/>
      <c r="I75" s="531"/>
      <c r="J75" s="531"/>
      <c r="K75" s="1692">
        <f>SUM(C75:J75)</f>
        <v>128734</v>
      </c>
      <c r="L75" s="576">
        <v>129864</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498343</v>
      </c>
      <c r="I79" s="477"/>
      <c r="J79" s="477"/>
      <c r="K79" s="1693">
        <f t="shared" si="11"/>
        <v>498343</v>
      </c>
      <c r="L79" s="466">
        <v>650000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498343</v>
      </c>
      <c r="I84" s="477"/>
      <c r="J84" s="477"/>
      <c r="K84" s="1692">
        <f>SUM(K78:K83)</f>
        <v>498343</v>
      </c>
      <c r="L84" s="1692">
        <f>SUM(L78:L83)</f>
        <v>650000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498343</v>
      </c>
      <c r="I102" s="477"/>
      <c r="J102" s="477"/>
      <c r="K102" s="1699">
        <f>SUM(K84,K92,K100,K101)</f>
        <v>498343</v>
      </c>
      <c r="L102" s="1699">
        <f>SUM(L84,L92,L100,L101)</f>
        <v>650000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v>8676</v>
      </c>
      <c r="I109" s="468"/>
      <c r="J109" s="468"/>
      <c r="K109" s="1693">
        <f>H109</f>
        <v>8676</v>
      </c>
      <c r="L109" s="466"/>
      <c r="M109" s="210"/>
      <c r="N109" s="210"/>
    </row>
    <row r="110" spans="1:14" s="598" customFormat="1" ht="12.75" customHeight="1" thickBot="1" x14ac:dyDescent="0.25">
      <c r="A110" s="1690" t="s">
        <v>1164</v>
      </c>
      <c r="B110" s="1697" t="s">
        <v>742</v>
      </c>
      <c r="C110" s="617"/>
      <c r="D110" s="617"/>
      <c r="E110" s="617"/>
      <c r="F110" s="617"/>
      <c r="G110" s="617"/>
      <c r="H110" s="1692">
        <f>SUM(H105:H109)</f>
        <v>8676</v>
      </c>
      <c r="I110" s="468"/>
      <c r="J110" s="468"/>
      <c r="K110" s="1692">
        <f>SUM(K105:K109)</f>
        <v>8676</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8676</v>
      </c>
      <c r="I112" s="468"/>
      <c r="J112" s="468"/>
      <c r="K112" s="1692">
        <f>SUM(K110:K111)</f>
        <v>8676</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8319443</v>
      </c>
      <c r="D114" s="1692">
        <f t="shared" ref="D114:K114" si="13">SUM(D33,D74,D75,D102,D112,D113)</f>
        <v>1352653</v>
      </c>
      <c r="E114" s="1692">
        <f t="shared" si="13"/>
        <v>270388</v>
      </c>
      <c r="F114" s="1692">
        <f t="shared" si="13"/>
        <v>438160</v>
      </c>
      <c r="G114" s="1692">
        <f t="shared" si="13"/>
        <v>39631</v>
      </c>
      <c r="H114" s="1692">
        <f>SUM(H33,H74,H75,H102,H112,H113)</f>
        <v>517021</v>
      </c>
      <c r="I114" s="1692">
        <f t="shared" si="13"/>
        <v>0</v>
      </c>
      <c r="J114" s="1692">
        <f t="shared" si="13"/>
        <v>0</v>
      </c>
      <c r="K114" s="1692">
        <f t="shared" si="13"/>
        <v>10937296</v>
      </c>
      <c r="L114" s="1692">
        <f>SUM(L33,L74,L75,L102,L112,L113)</f>
        <v>10276514</v>
      </c>
    </row>
    <row r="115" spans="1:14" ht="13.5" thickTop="1" x14ac:dyDescent="0.2">
      <c r="A115" s="2201" t="s">
        <v>1053</v>
      </c>
      <c r="B115" s="2202"/>
      <c r="C115" s="619"/>
      <c r="D115" s="619"/>
      <c r="E115" s="619"/>
      <c r="F115" s="619"/>
      <c r="G115" s="619"/>
      <c r="H115" s="619"/>
      <c r="I115" s="619"/>
      <c r="J115" s="619"/>
      <c r="K115" s="1706">
        <f>'Revenues 9-14'!C275-'Expenditures 15-22'!K114</f>
        <v>-73724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v>195</v>
      </c>
      <c r="H123" s="466"/>
      <c r="I123" s="467"/>
      <c r="J123" s="467"/>
      <c r="K123" s="1692">
        <f>SUM(C123:J123)</f>
        <v>195</v>
      </c>
      <c r="L123" s="466"/>
    </row>
    <row r="124" spans="1:14" ht="14.25" thickTop="1" thickBot="1" x14ac:dyDescent="0.25">
      <c r="A124" s="1526" t="s">
        <v>206</v>
      </c>
      <c r="B124" s="615">
        <v>2540</v>
      </c>
      <c r="C124" s="466">
        <v>548133</v>
      </c>
      <c r="D124" s="466">
        <v>122588</v>
      </c>
      <c r="E124" s="466">
        <v>846021</v>
      </c>
      <c r="F124" s="466">
        <v>469199</v>
      </c>
      <c r="G124" s="466"/>
      <c r="H124" s="466"/>
      <c r="I124" s="467"/>
      <c r="J124" s="467"/>
      <c r="K124" s="1692">
        <f>SUM(C124:J124)</f>
        <v>1985941</v>
      </c>
      <c r="L124" s="466">
        <v>1053204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548133</v>
      </c>
      <c r="D127" s="1692">
        <f t="shared" ref="D127:L127" si="14">SUM(D122:D126)</f>
        <v>122588</v>
      </c>
      <c r="E127" s="1692">
        <f t="shared" si="14"/>
        <v>846021</v>
      </c>
      <c r="F127" s="1692">
        <f t="shared" si="14"/>
        <v>469199</v>
      </c>
      <c r="G127" s="1692">
        <f t="shared" si="14"/>
        <v>195</v>
      </c>
      <c r="H127" s="1692">
        <f t="shared" si="14"/>
        <v>0</v>
      </c>
      <c r="I127" s="1692">
        <f t="shared" si="14"/>
        <v>0</v>
      </c>
      <c r="J127" s="1692">
        <f t="shared" si="14"/>
        <v>0</v>
      </c>
      <c r="K127" s="1692">
        <f t="shared" si="14"/>
        <v>1986136</v>
      </c>
      <c r="L127" s="1692">
        <f t="shared" si="14"/>
        <v>1053204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548133</v>
      </c>
      <c r="D129" s="1699">
        <f t="shared" ref="D129:L129" si="15">SUM(D120,D127,D128)</f>
        <v>122588</v>
      </c>
      <c r="E129" s="1699">
        <f t="shared" si="15"/>
        <v>846021</v>
      </c>
      <c r="F129" s="1699">
        <f t="shared" si="15"/>
        <v>469199</v>
      </c>
      <c r="G129" s="1699">
        <f t="shared" si="15"/>
        <v>195</v>
      </c>
      <c r="H129" s="1699">
        <f t="shared" si="15"/>
        <v>0</v>
      </c>
      <c r="I129" s="1699">
        <f t="shared" si="15"/>
        <v>0</v>
      </c>
      <c r="J129" s="1699">
        <f t="shared" si="15"/>
        <v>0</v>
      </c>
      <c r="K129" s="1699">
        <f t="shared" si="15"/>
        <v>1986136</v>
      </c>
      <c r="L129" s="1699">
        <f t="shared" si="15"/>
        <v>1053204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3"/>
      <c r="C151" s="1692">
        <f>SUM(C129,C130,C139,C149,C150)</f>
        <v>548133</v>
      </c>
      <c r="D151" s="1692">
        <f t="shared" ref="D151:K151" si="16">SUM(D129,D130,D139,D149,D150)</f>
        <v>122588</v>
      </c>
      <c r="E151" s="1692">
        <f t="shared" si="16"/>
        <v>846021</v>
      </c>
      <c r="F151" s="1692">
        <f t="shared" si="16"/>
        <v>469199</v>
      </c>
      <c r="G151" s="1692">
        <f t="shared" si="16"/>
        <v>195</v>
      </c>
      <c r="H151" s="1692">
        <f t="shared" si="16"/>
        <v>0</v>
      </c>
      <c r="I151" s="1692">
        <f t="shared" si="16"/>
        <v>0</v>
      </c>
      <c r="J151" s="1692">
        <f t="shared" si="16"/>
        <v>0</v>
      </c>
      <c r="K151" s="1692">
        <f t="shared" si="16"/>
        <v>1986136</v>
      </c>
      <c r="L151" s="1692">
        <f>SUM(L129,L130,L139,L149,L150)</f>
        <v>1053204</v>
      </c>
    </row>
    <row r="152" spans="1:14" ht="12.75" customHeight="1" thickTop="1" x14ac:dyDescent="0.2">
      <c r="A152" s="2194" t="s">
        <v>1240</v>
      </c>
      <c r="B152" s="2195"/>
      <c r="C152" s="619"/>
      <c r="D152" s="619"/>
      <c r="E152" s="619"/>
      <c r="F152" s="619"/>
      <c r="G152" s="619"/>
      <c r="H152" s="619"/>
      <c r="I152" s="619"/>
      <c r="J152" s="617"/>
      <c r="K152" s="1706">
        <f>'Revenues 9-14'!D275-'Expenditures 15-22'!K151</f>
        <v>-931562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84592</v>
      </c>
      <c r="I169" s="617"/>
      <c r="J169" s="617"/>
      <c r="K169" s="1693">
        <f>SUM(C169:H169)</f>
        <v>84592</v>
      </c>
      <c r="L169" s="657">
        <v>19753</v>
      </c>
    </row>
    <row r="170" spans="1:14" ht="33.75" customHeight="1" x14ac:dyDescent="0.2">
      <c r="A170" s="670" t="s">
        <v>1768</v>
      </c>
      <c r="B170" s="672" t="s">
        <v>31</v>
      </c>
      <c r="C170" s="617"/>
      <c r="D170" s="617"/>
      <c r="E170" s="617"/>
      <c r="F170" s="617"/>
      <c r="G170" s="617"/>
      <c r="H170" s="569">
        <v>675300</v>
      </c>
      <c r="I170" s="617"/>
      <c r="J170" s="617"/>
      <c r="K170" s="1693">
        <f>SUM(C170:J170)</f>
        <v>675300</v>
      </c>
      <c r="L170" s="569">
        <v>675300</v>
      </c>
    </row>
    <row r="171" spans="1:14" ht="15.75" customHeight="1" x14ac:dyDescent="0.2">
      <c r="A171" s="622" t="s">
        <v>790</v>
      </c>
      <c r="B171" s="673" t="s">
        <v>86</v>
      </c>
      <c r="C171" s="617"/>
      <c r="D171" s="617"/>
      <c r="E171" s="466">
        <v>977</v>
      </c>
      <c r="F171" s="617"/>
      <c r="G171" s="617"/>
      <c r="H171" s="569"/>
      <c r="I171" s="477"/>
      <c r="J171" s="617"/>
      <c r="K171" s="1693">
        <f>SUM(C171:J171)</f>
        <v>977</v>
      </c>
      <c r="L171" s="569">
        <v>970</v>
      </c>
    </row>
    <row r="172" spans="1:14" ht="12.75" customHeight="1" thickBot="1" x14ac:dyDescent="0.25">
      <c r="A172" s="1690" t="s">
        <v>659</v>
      </c>
      <c r="B172" s="1691" t="s">
        <v>513</v>
      </c>
      <c r="C172" s="617"/>
      <c r="D172" s="617"/>
      <c r="E172" s="1699">
        <f>SUM(E168,E169,E170,E171)</f>
        <v>977</v>
      </c>
      <c r="F172" s="617"/>
      <c r="G172" s="617"/>
      <c r="H172" s="1699">
        <f>SUM(H168,H169,H170,H171)</f>
        <v>759892</v>
      </c>
      <c r="I172" s="639"/>
      <c r="J172" s="617"/>
      <c r="K172" s="1699">
        <f>SUM(K168,K169,K170,K171)</f>
        <v>760869</v>
      </c>
      <c r="L172" s="1699">
        <f>SUM(L168,L169,L170,L171)</f>
        <v>696023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977</v>
      </c>
      <c r="F174" s="617"/>
      <c r="G174" s="617"/>
      <c r="H174" s="1699">
        <f>SUM(H160,H172,H173)</f>
        <v>759892</v>
      </c>
      <c r="I174" s="639"/>
      <c r="J174" s="617"/>
      <c r="K174" s="1699">
        <f>SUM(K160,K172,K173)</f>
        <v>760869</v>
      </c>
      <c r="L174" s="1699">
        <f>SUM(L160,L172,L173)</f>
        <v>696023</v>
      </c>
    </row>
    <row r="175" spans="1:14" ht="13.5" thickTop="1" x14ac:dyDescent="0.2">
      <c r="A175" s="2201" t="s">
        <v>1053</v>
      </c>
      <c r="B175" s="2202"/>
      <c r="C175" s="617"/>
      <c r="D175" s="617"/>
      <c r="E175" s="617"/>
      <c r="F175" s="617"/>
      <c r="G175" s="617"/>
      <c r="H175" s="619"/>
      <c r="I175" s="617"/>
      <c r="J175" s="617"/>
      <c r="K175" s="1706">
        <f>'Revenues 9-14'!E275-'Expenditures 15-22'!K174</f>
        <v>-51001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52686</v>
      </c>
      <c r="D180" s="466">
        <v>15006</v>
      </c>
      <c r="E180" s="466"/>
      <c r="F180" s="466"/>
      <c r="G180" s="466"/>
      <c r="H180" s="466"/>
      <c r="I180" s="467"/>
      <c r="J180" s="467"/>
      <c r="K180" s="1693">
        <f>SUM(C180:J180)</f>
        <v>67692</v>
      </c>
      <c r="L180" s="466">
        <v>105935</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322203</v>
      </c>
      <c r="D182" s="466">
        <v>73420</v>
      </c>
      <c r="E182" s="466">
        <v>6000</v>
      </c>
      <c r="F182" s="466">
        <v>80486</v>
      </c>
      <c r="G182" s="466">
        <v>5774</v>
      </c>
      <c r="H182" s="466"/>
      <c r="I182" s="467"/>
      <c r="J182" s="467"/>
      <c r="K182" s="1693">
        <f>SUM(C182:J182)</f>
        <v>487883</v>
      </c>
      <c r="L182" s="466">
        <v>468575</v>
      </c>
    </row>
    <row r="183" spans="1:14" ht="12.75" customHeight="1" thickBot="1" x14ac:dyDescent="0.25">
      <c r="A183" s="1531" t="s">
        <v>1037</v>
      </c>
      <c r="B183" s="678">
        <v>2900</v>
      </c>
      <c r="C183" s="573">
        <v>56539</v>
      </c>
      <c r="D183" s="573">
        <v>1070</v>
      </c>
      <c r="E183" s="573"/>
      <c r="F183" s="573"/>
      <c r="G183" s="573"/>
      <c r="H183" s="573"/>
      <c r="I183" s="532"/>
      <c r="J183" s="532"/>
      <c r="K183" s="1699">
        <f>SUM(C183:J183)</f>
        <v>57609</v>
      </c>
      <c r="L183" s="573">
        <v>48097</v>
      </c>
    </row>
    <row r="184" spans="1:14" ht="12.75" customHeight="1" thickTop="1" thickBot="1" x14ac:dyDescent="0.25">
      <c r="A184" s="1713" t="s">
        <v>865</v>
      </c>
      <c r="B184" s="1691" t="s">
        <v>590</v>
      </c>
      <c r="C184" s="1699">
        <f>SUM(C180,C182,C183)</f>
        <v>431428</v>
      </c>
      <c r="D184" s="1699">
        <f t="shared" ref="D184:J184" si="17">SUM(D180,D182,D183)</f>
        <v>89496</v>
      </c>
      <c r="E184" s="1699">
        <f t="shared" si="17"/>
        <v>6000</v>
      </c>
      <c r="F184" s="1699">
        <f t="shared" si="17"/>
        <v>80486</v>
      </c>
      <c r="G184" s="1699">
        <f t="shared" si="17"/>
        <v>5774</v>
      </c>
      <c r="H184" s="1699">
        <f t="shared" si="17"/>
        <v>0</v>
      </c>
      <c r="I184" s="1699">
        <f t="shared" si="17"/>
        <v>0</v>
      </c>
      <c r="J184" s="1699">
        <f t="shared" si="17"/>
        <v>0</v>
      </c>
      <c r="K184" s="1699">
        <f>SUM(K180,K182,K183)</f>
        <v>613184</v>
      </c>
      <c r="L184" s="1699">
        <f>SUM(L180, L182:L183)</f>
        <v>622607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3352</v>
      </c>
      <c r="I205" s="617"/>
      <c r="J205" s="617"/>
      <c r="K205" s="1707">
        <f>SUM(H205)</f>
        <v>3352</v>
      </c>
      <c r="L205" s="535">
        <v>3531</v>
      </c>
    </row>
    <row r="206" spans="1:14" ht="30" customHeight="1" x14ac:dyDescent="0.2">
      <c r="A206" s="682" t="s">
        <v>1769</v>
      </c>
      <c r="B206" s="673" t="s">
        <v>31</v>
      </c>
      <c r="C206" s="617"/>
      <c r="D206" s="617"/>
      <c r="E206" s="617"/>
      <c r="F206" s="617"/>
      <c r="G206" s="617"/>
      <c r="H206" s="466">
        <v>170545</v>
      </c>
      <c r="I206" s="617"/>
      <c r="J206" s="617"/>
      <c r="K206" s="1693">
        <f>SUM(H206)</f>
        <v>170545</v>
      </c>
      <c r="L206" s="466">
        <v>67838</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173897</v>
      </c>
      <c r="I208" s="617"/>
      <c r="J208" s="617"/>
      <c r="K208" s="1699">
        <f>SUM(K204,K205,K206,K207)</f>
        <v>173897</v>
      </c>
      <c r="L208" s="1699">
        <f>SUM(L204,L205,L206,L207)</f>
        <v>71369</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431428</v>
      </c>
      <c r="D210" s="1692">
        <f>SUM(D184,D185)</f>
        <v>89496</v>
      </c>
      <c r="E210" s="1692">
        <f>SUM(E184,E185,E196)</f>
        <v>6000</v>
      </c>
      <c r="F210" s="1692">
        <f>SUM(F184,F185)</f>
        <v>80486</v>
      </c>
      <c r="G210" s="1692">
        <f>SUM(G184,G185)</f>
        <v>5774</v>
      </c>
      <c r="H210" s="1692">
        <f>SUM(H184,H185,H196,H208,H209)</f>
        <v>173897</v>
      </c>
      <c r="I210" s="1692">
        <f>SUM(I184,I185)</f>
        <v>0</v>
      </c>
      <c r="J210" s="1692">
        <f>SUM(J184,J185)</f>
        <v>0</v>
      </c>
      <c r="K210" s="1693">
        <f>SUM(K184,K185,K196,K208,K209)</f>
        <v>787081</v>
      </c>
      <c r="L210" s="1692">
        <f>SUM(L184,L185,L196,L208,L209)</f>
        <v>693976</v>
      </c>
    </row>
    <row r="211" spans="1:14" ht="13.5" thickTop="1" x14ac:dyDescent="0.2">
      <c r="A211" s="2201" t="s">
        <v>1053</v>
      </c>
      <c r="B211" s="2202"/>
      <c r="C211" s="619"/>
      <c r="D211" s="619"/>
      <c r="E211" s="619"/>
      <c r="F211" s="619"/>
      <c r="G211" s="619"/>
      <c r="H211" s="619"/>
      <c r="I211" s="617"/>
      <c r="J211" s="617"/>
      <c r="K211" s="1706">
        <f>'Revenues 9-14'!F275-'Expenditures 15-22'!K210</f>
        <v>-87710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119081</v>
      </c>
      <c r="E215" s="617"/>
      <c r="F215" s="617"/>
      <c r="G215" s="617"/>
      <c r="H215" s="617"/>
      <c r="I215" s="617"/>
      <c r="J215" s="617"/>
      <c r="K215" s="1693">
        <f>D215</f>
        <v>119081</v>
      </c>
      <c r="L215" s="466">
        <v>63627</v>
      </c>
    </row>
    <row r="216" spans="1:14" x14ac:dyDescent="0.2">
      <c r="A216" s="1526" t="s">
        <v>165</v>
      </c>
      <c r="B216" s="615" t="s">
        <v>1024</v>
      </c>
      <c r="C216" s="617"/>
      <c r="D216" s="467">
        <v>10083</v>
      </c>
      <c r="E216" s="617"/>
      <c r="F216" s="617"/>
      <c r="G216" s="617"/>
      <c r="H216" s="617"/>
      <c r="I216" s="617"/>
      <c r="J216" s="617"/>
      <c r="K216" s="1693">
        <f t="shared" ref="K216:K228" si="19">D216</f>
        <v>10083</v>
      </c>
      <c r="L216" s="466">
        <v>60786</v>
      </c>
    </row>
    <row r="217" spans="1:14" x14ac:dyDescent="0.2">
      <c r="A217" s="1526" t="s">
        <v>166</v>
      </c>
      <c r="B217" s="615">
        <v>1200</v>
      </c>
      <c r="C217" s="617"/>
      <c r="D217" s="466">
        <v>81750</v>
      </c>
      <c r="E217" s="617"/>
      <c r="F217" s="617"/>
      <c r="G217" s="617"/>
      <c r="H217" s="617"/>
      <c r="I217" s="617"/>
      <c r="J217" s="617"/>
      <c r="K217" s="1693">
        <f t="shared" si="19"/>
        <v>81750</v>
      </c>
      <c r="L217" s="466">
        <v>99500</v>
      </c>
    </row>
    <row r="218" spans="1:14" x14ac:dyDescent="0.2">
      <c r="A218" s="1526" t="s">
        <v>296</v>
      </c>
      <c r="B218" s="615" t="s">
        <v>1025</v>
      </c>
      <c r="C218" s="617"/>
      <c r="D218" s="467">
        <v>996</v>
      </c>
      <c r="E218" s="617"/>
      <c r="F218" s="617"/>
      <c r="G218" s="617"/>
      <c r="H218" s="617"/>
      <c r="I218" s="617"/>
      <c r="J218" s="617"/>
      <c r="K218" s="1693">
        <f t="shared" si="19"/>
        <v>996</v>
      </c>
      <c r="L218" s="466">
        <v>720</v>
      </c>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4132</v>
      </c>
      <c r="E222" s="617"/>
      <c r="F222" s="617"/>
      <c r="G222" s="617"/>
      <c r="H222" s="617"/>
      <c r="I222" s="617"/>
      <c r="J222" s="617"/>
      <c r="K222" s="1693">
        <f t="shared" si="19"/>
        <v>4132</v>
      </c>
      <c r="L222" s="466">
        <v>5190</v>
      </c>
    </row>
    <row r="223" spans="1:14" x14ac:dyDescent="0.2">
      <c r="A223" s="1526" t="s">
        <v>1020</v>
      </c>
      <c r="B223" s="615">
        <v>1500</v>
      </c>
      <c r="C223" s="617"/>
      <c r="D223" s="466">
        <v>10632</v>
      </c>
      <c r="E223" s="617"/>
      <c r="F223" s="617"/>
      <c r="G223" s="617"/>
      <c r="H223" s="617"/>
      <c r="I223" s="617"/>
      <c r="J223" s="617"/>
      <c r="K223" s="1693">
        <f t="shared" si="19"/>
        <v>10632</v>
      </c>
      <c r="L223" s="466">
        <v>11823</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226674</v>
      </c>
      <c r="E229" s="617"/>
      <c r="F229" s="617"/>
      <c r="G229" s="617"/>
      <c r="H229" s="617"/>
      <c r="I229" s="617"/>
      <c r="J229" s="617"/>
      <c r="K229" s="1692">
        <f>SUM(K215:K228)</f>
        <v>226674</v>
      </c>
      <c r="L229" s="1692">
        <f>SUM(L215:L228)</f>
        <v>241646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13859</v>
      </c>
      <c r="E233" s="617"/>
      <c r="F233" s="617"/>
      <c r="G233" s="617"/>
      <c r="H233" s="617"/>
      <c r="I233" s="617"/>
      <c r="J233" s="617"/>
      <c r="K233" s="1693">
        <f t="shared" si="20"/>
        <v>13859</v>
      </c>
      <c r="L233" s="466">
        <v>13210</v>
      </c>
    </row>
    <row r="234" spans="1:12" x14ac:dyDescent="0.2">
      <c r="A234" s="1526" t="s">
        <v>207</v>
      </c>
      <c r="B234" s="615">
        <v>2130</v>
      </c>
      <c r="C234" s="617"/>
      <c r="D234" s="466">
        <v>12818</v>
      </c>
      <c r="E234" s="617"/>
      <c r="F234" s="617"/>
      <c r="G234" s="617"/>
      <c r="H234" s="617"/>
      <c r="I234" s="617"/>
      <c r="J234" s="617"/>
      <c r="K234" s="1693">
        <f t="shared" si="20"/>
        <v>12818</v>
      </c>
      <c r="L234" s="466">
        <v>13156</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2243</v>
      </c>
      <c r="E236" s="617"/>
      <c r="F236" s="617"/>
      <c r="G236" s="617"/>
      <c r="H236" s="617"/>
      <c r="I236" s="617"/>
      <c r="J236" s="617"/>
      <c r="K236" s="1693">
        <f t="shared" si="20"/>
        <v>2243</v>
      </c>
      <c r="L236" s="466">
        <v>2013</v>
      </c>
    </row>
    <row r="237" spans="1:12" x14ac:dyDescent="0.2">
      <c r="A237" s="1526" t="s">
        <v>167</v>
      </c>
      <c r="B237" s="615">
        <v>2190</v>
      </c>
      <c r="C237" s="617"/>
      <c r="D237" s="466">
        <v>9772</v>
      </c>
      <c r="E237" s="617"/>
      <c r="F237" s="617"/>
      <c r="G237" s="617"/>
      <c r="H237" s="617"/>
      <c r="I237" s="617"/>
      <c r="J237" s="617"/>
      <c r="K237" s="1693">
        <f t="shared" si="20"/>
        <v>9772</v>
      </c>
      <c r="L237" s="466">
        <v>12060</v>
      </c>
    </row>
    <row r="238" spans="1:12" ht="12.75" customHeight="1" thickBot="1" x14ac:dyDescent="0.25">
      <c r="A238" s="1690" t="s">
        <v>581</v>
      </c>
      <c r="B238" s="1697" t="s">
        <v>740</v>
      </c>
      <c r="C238" s="617"/>
      <c r="D238" s="1692">
        <f>SUM(D232:D237)</f>
        <v>38692</v>
      </c>
      <c r="E238" s="617"/>
      <c r="F238" s="617"/>
      <c r="G238" s="617"/>
      <c r="H238" s="617"/>
      <c r="I238" s="617"/>
      <c r="J238" s="617"/>
      <c r="K238" s="1692">
        <f>SUM(K232:K237)</f>
        <v>38692</v>
      </c>
      <c r="L238" s="1692">
        <f>SUM(L232:L237)</f>
        <v>40439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179</v>
      </c>
      <c r="E240" s="617"/>
      <c r="F240" s="617"/>
      <c r="G240" s="617"/>
      <c r="H240" s="617"/>
      <c r="I240" s="617"/>
      <c r="J240" s="617"/>
      <c r="K240" s="1694">
        <f>D240</f>
        <v>179</v>
      </c>
      <c r="L240" s="481">
        <v>500</v>
      </c>
    </row>
    <row r="241" spans="1:12" x14ac:dyDescent="0.2">
      <c r="A241" s="1526" t="s">
        <v>869</v>
      </c>
      <c r="B241" s="615">
        <v>2220</v>
      </c>
      <c r="C241" s="617"/>
      <c r="D241" s="466">
        <v>17268</v>
      </c>
      <c r="E241" s="617"/>
      <c r="F241" s="617"/>
      <c r="G241" s="617"/>
      <c r="H241" s="617"/>
      <c r="I241" s="617"/>
      <c r="J241" s="617"/>
      <c r="K241" s="1694">
        <f>D241</f>
        <v>17268</v>
      </c>
      <c r="L241" s="466">
        <v>14580</v>
      </c>
    </row>
    <row r="242" spans="1:12" x14ac:dyDescent="0.2">
      <c r="A242" s="1526" t="s">
        <v>870</v>
      </c>
      <c r="B242" s="615">
        <v>2230</v>
      </c>
      <c r="C242" s="617"/>
      <c r="D242" s="466"/>
      <c r="E242" s="617"/>
      <c r="F242" s="617"/>
      <c r="G242" s="617"/>
      <c r="H242" s="617"/>
      <c r="I242" s="617"/>
      <c r="J242" s="617"/>
      <c r="K242" s="1694">
        <f>D242</f>
        <v>0</v>
      </c>
      <c r="L242" s="466">
        <v>850</v>
      </c>
    </row>
    <row r="243" spans="1:12" ht="12.75" customHeight="1" thickBot="1" x14ac:dyDescent="0.25">
      <c r="A243" s="1716" t="s">
        <v>582</v>
      </c>
      <c r="B243" s="1717">
        <v>2200</v>
      </c>
      <c r="C243" s="617"/>
      <c r="D243" s="1692">
        <f>SUM(D240:D242)</f>
        <v>17447</v>
      </c>
      <c r="E243" s="617"/>
      <c r="F243" s="617"/>
      <c r="G243" s="617"/>
      <c r="H243" s="617"/>
      <c r="I243" s="617"/>
      <c r="J243" s="617"/>
      <c r="K243" s="1692">
        <f>SUM(K240:K242)</f>
        <v>17447</v>
      </c>
      <c r="L243" s="1692">
        <f>SUM(L240:L242)</f>
        <v>15930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840</v>
      </c>
      <c r="E245" s="617"/>
      <c r="F245" s="617"/>
      <c r="G245" s="617"/>
      <c r="H245" s="617"/>
      <c r="I245" s="617"/>
      <c r="J245" s="617"/>
      <c r="K245" s="1694">
        <f>D245</f>
        <v>840</v>
      </c>
      <c r="L245" s="481">
        <v>0</v>
      </c>
    </row>
    <row r="246" spans="1:12" x14ac:dyDescent="0.2">
      <c r="A246" s="1526" t="s">
        <v>872</v>
      </c>
      <c r="B246" s="615">
        <v>2320</v>
      </c>
      <c r="C246" s="617"/>
      <c r="D246" s="466">
        <v>33653</v>
      </c>
      <c r="E246" s="617"/>
      <c r="F246" s="617"/>
      <c r="G246" s="617"/>
      <c r="H246" s="617"/>
      <c r="I246" s="617"/>
      <c r="J246" s="617"/>
      <c r="K246" s="1694">
        <f t="shared" ref="K246:K256" si="21">D246</f>
        <v>33653</v>
      </c>
      <c r="L246" s="466">
        <v>21800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v>2840</v>
      </c>
      <c r="E252" s="617"/>
      <c r="F252" s="617"/>
      <c r="G252" s="617"/>
      <c r="H252" s="617"/>
      <c r="I252" s="617"/>
      <c r="J252" s="617"/>
      <c r="K252" s="1694">
        <f t="shared" si="21"/>
        <v>2840</v>
      </c>
      <c r="L252" s="466">
        <v>3400</v>
      </c>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37333</v>
      </c>
      <c r="E257" s="617"/>
      <c r="F257" s="617"/>
      <c r="G257" s="617"/>
      <c r="H257" s="617"/>
      <c r="I257" s="617"/>
      <c r="J257" s="617"/>
      <c r="K257" s="1692">
        <f>SUM(K245:K256)</f>
        <v>37333</v>
      </c>
      <c r="L257" s="1692">
        <f>SUM(L245:L256)</f>
        <v>25200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18930</v>
      </c>
      <c r="E259" s="617"/>
      <c r="F259" s="617"/>
      <c r="G259" s="617"/>
      <c r="H259" s="617"/>
      <c r="I259" s="617"/>
      <c r="J259" s="617"/>
      <c r="K259" s="1694">
        <f>D259</f>
        <v>18930</v>
      </c>
      <c r="L259" s="481">
        <v>22411</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18930</v>
      </c>
      <c r="E261" s="617"/>
      <c r="F261" s="617"/>
      <c r="G261" s="617"/>
      <c r="H261" s="617"/>
      <c r="I261" s="617"/>
      <c r="J261" s="617"/>
      <c r="K261" s="1692">
        <f>SUM(K259:K260)</f>
        <v>18930</v>
      </c>
      <c r="L261" s="1692">
        <f>SUM(L259:L260)</f>
        <v>22411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111867</v>
      </c>
      <c r="E266" s="617"/>
      <c r="F266" s="617"/>
      <c r="G266" s="617"/>
      <c r="H266" s="617"/>
      <c r="I266" s="617"/>
      <c r="J266" s="617"/>
      <c r="K266" s="1694">
        <f t="shared" si="22"/>
        <v>111867</v>
      </c>
      <c r="L266" s="466">
        <v>120170</v>
      </c>
    </row>
    <row r="267" spans="1:14" x14ac:dyDescent="0.2">
      <c r="A267" s="1526" t="s">
        <v>1010</v>
      </c>
      <c r="B267" s="615">
        <v>2550</v>
      </c>
      <c r="C267" s="617"/>
      <c r="D267" s="466">
        <v>59298</v>
      </c>
      <c r="E267" s="617"/>
      <c r="F267" s="617"/>
      <c r="G267" s="617"/>
      <c r="H267" s="617"/>
      <c r="I267" s="617"/>
      <c r="J267" s="617"/>
      <c r="K267" s="1694">
        <f t="shared" si="22"/>
        <v>59298</v>
      </c>
      <c r="L267" s="466">
        <v>64280</v>
      </c>
    </row>
    <row r="268" spans="1:14" x14ac:dyDescent="0.2">
      <c r="A268" s="1526" t="s">
        <v>102</v>
      </c>
      <c r="B268" s="615">
        <v>2560</v>
      </c>
      <c r="C268" s="617"/>
      <c r="D268" s="466">
        <v>25462</v>
      </c>
      <c r="E268" s="617"/>
      <c r="F268" s="617"/>
      <c r="G268" s="617"/>
      <c r="H268" s="617"/>
      <c r="I268" s="617"/>
      <c r="J268" s="617"/>
      <c r="K268" s="1694">
        <f t="shared" si="22"/>
        <v>25462</v>
      </c>
      <c r="L268" s="466">
        <v>24916</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196627</v>
      </c>
      <c r="E270" s="617"/>
      <c r="F270" s="617"/>
      <c r="G270" s="617"/>
      <c r="H270" s="617"/>
      <c r="I270" s="617"/>
      <c r="J270" s="617"/>
      <c r="K270" s="1692">
        <f>SUM(K263:K269)</f>
        <v>196627</v>
      </c>
      <c r="L270" s="1692">
        <f>SUM(L263:L269)</f>
        <v>209366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v>8319</v>
      </c>
      <c r="E273" s="617"/>
      <c r="F273" s="617"/>
      <c r="G273" s="617"/>
      <c r="H273" s="617"/>
      <c r="I273" s="617"/>
      <c r="J273" s="617"/>
      <c r="K273" s="1694">
        <f>D273</f>
        <v>8319</v>
      </c>
      <c r="L273" s="466">
        <v>8800</v>
      </c>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8319</v>
      </c>
      <c r="E277" s="617"/>
      <c r="F277" s="617"/>
      <c r="G277" s="617"/>
      <c r="H277" s="617"/>
      <c r="I277" s="617"/>
      <c r="J277" s="617"/>
      <c r="K277" s="1692">
        <f>SUM(K272:K276)</f>
        <v>8319</v>
      </c>
      <c r="L277" s="1692">
        <f>SUM(L272:L276)</f>
        <v>8800</v>
      </c>
    </row>
    <row r="278" spans="1:12" ht="13.5" customHeight="1" thickTop="1" x14ac:dyDescent="0.2">
      <c r="A278" s="1532" t="s">
        <v>1037</v>
      </c>
      <c r="B278" s="656" t="s">
        <v>595</v>
      </c>
      <c r="C278" s="617"/>
      <c r="D278" s="657">
        <v>2011</v>
      </c>
      <c r="E278" s="617"/>
      <c r="F278" s="617"/>
      <c r="G278" s="617"/>
      <c r="H278" s="617"/>
      <c r="I278" s="617"/>
      <c r="J278" s="617"/>
      <c r="K278" s="1707">
        <f>D278</f>
        <v>2011</v>
      </c>
      <c r="L278" s="657"/>
    </row>
    <row r="279" spans="1:12" ht="12.75" customHeight="1" thickBot="1" x14ac:dyDescent="0.25">
      <c r="A279" s="1720" t="s">
        <v>865</v>
      </c>
      <c r="B279" s="1703">
        <v>2000</v>
      </c>
      <c r="C279" s="617"/>
      <c r="D279" s="1699">
        <f>SUM(D238,D243,D257,D261,D270,D277,D278)</f>
        <v>319359</v>
      </c>
      <c r="E279" s="617"/>
      <c r="F279" s="617"/>
      <c r="G279" s="617"/>
      <c r="H279" s="617"/>
      <c r="I279" s="617"/>
      <c r="J279" s="617"/>
      <c r="K279" s="1699">
        <f>SUM(K238,K243,K257,K261,K270,K277,K278)</f>
        <v>319359</v>
      </c>
      <c r="L279" s="1699">
        <f>SUM(L238,L243,L257,L261,L270,L277,L278)</f>
        <v>322146</v>
      </c>
    </row>
    <row r="280" spans="1:12" ht="15.75" customHeight="1" thickTop="1" thickBot="1" x14ac:dyDescent="0.25">
      <c r="A280" s="1646" t="s">
        <v>930</v>
      </c>
      <c r="B280" s="1635">
        <v>3000</v>
      </c>
      <c r="C280" s="617"/>
      <c r="D280" s="576">
        <v>14001</v>
      </c>
      <c r="E280" s="617"/>
      <c r="F280" s="617"/>
      <c r="G280" s="617"/>
      <c r="H280" s="617"/>
      <c r="I280" s="617"/>
      <c r="J280" s="617"/>
      <c r="K280" s="1701">
        <f>D280</f>
        <v>14001</v>
      </c>
      <c r="L280" s="576">
        <v>13203</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560034</v>
      </c>
      <c r="E295" s="617"/>
      <c r="F295" s="617"/>
      <c r="G295" s="617"/>
      <c r="H295" s="1692">
        <f>H293</f>
        <v>0</v>
      </c>
      <c r="I295" s="617"/>
      <c r="J295" s="617"/>
      <c r="K295" s="1692">
        <f>SUM(K229,K279,K280,K285,K293,K294)</f>
        <v>560034</v>
      </c>
      <c r="L295" s="1692">
        <f>SUM(L229,L279,L280,L285,L293,L294)</f>
        <v>576995</v>
      </c>
    </row>
    <row r="296" spans="1:14" ht="13.5" thickTop="1" x14ac:dyDescent="0.2">
      <c r="A296" s="2201" t="s">
        <v>1053</v>
      </c>
      <c r="B296" s="2202"/>
      <c r="C296" s="617"/>
      <c r="D296" s="619"/>
      <c r="E296" s="617"/>
      <c r="F296" s="617"/>
      <c r="G296" s="617"/>
      <c r="H296" s="688"/>
      <c r="I296" s="617"/>
      <c r="J296" s="617"/>
      <c r="K296" s="1706">
        <f>'Revenues 9-14'!G275-'Expenditures 15-22'!K295</f>
        <v>28124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447992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v>74602</v>
      </c>
      <c r="F320" s="467"/>
      <c r="G320" s="467"/>
      <c r="H320" s="467"/>
      <c r="I320" s="467"/>
      <c r="J320" s="467"/>
      <c r="K320" s="1693">
        <f t="shared" ref="K320:K327" si="24">SUM(C320:J320)</f>
        <v>74602</v>
      </c>
      <c r="L320" s="467">
        <v>119169</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21500</v>
      </c>
      <c r="M321" s="666"/>
      <c r="N321" s="666"/>
    </row>
    <row r="322" spans="1:14" s="675" customFormat="1" x14ac:dyDescent="0.2">
      <c r="A322" s="1541" t="s">
        <v>256</v>
      </c>
      <c r="B322" s="698" t="s">
        <v>302</v>
      </c>
      <c r="C322" s="467"/>
      <c r="D322" s="467"/>
      <c r="E322" s="467">
        <v>9521</v>
      </c>
      <c r="F322" s="467"/>
      <c r="G322" s="467"/>
      <c r="H322" s="467"/>
      <c r="I322" s="467"/>
      <c r="J322" s="467"/>
      <c r="K322" s="1693">
        <f t="shared" si="24"/>
        <v>9521</v>
      </c>
      <c r="L322" s="467">
        <v>24741</v>
      </c>
      <c r="M322" s="666"/>
      <c r="N322" s="666"/>
    </row>
    <row r="323" spans="1:14" s="675" customFormat="1" x14ac:dyDescent="0.2">
      <c r="A323" s="1541" t="s">
        <v>726</v>
      </c>
      <c r="B323" s="698" t="s">
        <v>303</v>
      </c>
      <c r="C323" s="467">
        <v>72806</v>
      </c>
      <c r="D323" s="467">
        <v>8323</v>
      </c>
      <c r="E323" s="467">
        <v>6724</v>
      </c>
      <c r="F323" s="467"/>
      <c r="G323" s="467"/>
      <c r="H323" s="467"/>
      <c r="I323" s="467"/>
      <c r="J323" s="467"/>
      <c r="K323" s="1693">
        <f t="shared" si="24"/>
        <v>87853</v>
      </c>
      <c r="L323" s="467">
        <v>101855</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16309</v>
      </c>
      <c r="F327" s="467"/>
      <c r="G327" s="467"/>
      <c r="H327" s="467"/>
      <c r="I327" s="467"/>
      <c r="J327" s="467"/>
      <c r="K327" s="1693">
        <f t="shared" si="24"/>
        <v>16309</v>
      </c>
      <c r="L327" s="467">
        <v>15000</v>
      </c>
      <c r="M327" s="666"/>
      <c r="N327" s="666"/>
    </row>
    <row r="328" spans="1:14" s="675" customFormat="1" x14ac:dyDescent="0.2">
      <c r="A328" s="1542" t="s">
        <v>492</v>
      </c>
      <c r="B328" s="691" t="s">
        <v>1194</v>
      </c>
      <c r="C328" s="474"/>
      <c r="D328" s="474"/>
      <c r="E328" s="474">
        <v>120657</v>
      </c>
      <c r="F328" s="474"/>
      <c r="G328" s="474"/>
      <c r="H328" s="474"/>
      <c r="I328" s="474"/>
      <c r="J328" s="474"/>
      <c r="K328" s="1721">
        <f>SUM(C328:J328)</f>
        <v>120657</v>
      </c>
      <c r="L328" s="474">
        <v>114046</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72806</v>
      </c>
      <c r="D330" s="1692">
        <f t="shared" ref="D330:J330" si="25">SUM(D319:D329)</f>
        <v>8323</v>
      </c>
      <c r="E330" s="1692">
        <f t="shared" si="25"/>
        <v>227813</v>
      </c>
      <c r="F330" s="1692">
        <f t="shared" si="25"/>
        <v>0</v>
      </c>
      <c r="G330" s="1692">
        <f t="shared" si="25"/>
        <v>0</v>
      </c>
      <c r="H330" s="1692">
        <f t="shared" si="25"/>
        <v>0</v>
      </c>
      <c r="I330" s="1692">
        <f t="shared" si="25"/>
        <v>0</v>
      </c>
      <c r="J330" s="1692">
        <f t="shared" si="25"/>
        <v>0</v>
      </c>
      <c r="K330" s="1692">
        <f>SUM(K319:K329)</f>
        <v>308942</v>
      </c>
      <c r="L330" s="1692">
        <f>SUM(L319:L329)</f>
        <v>396311</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72806</v>
      </c>
      <c r="D342" s="1692">
        <f>SUM(D330)</f>
        <v>8323</v>
      </c>
      <c r="E342" s="1692">
        <f>SUM(E330)</f>
        <v>227813</v>
      </c>
      <c r="F342" s="1692">
        <f>SUM(F330)</f>
        <v>0</v>
      </c>
      <c r="G342" s="1692">
        <f>SUM(G330)</f>
        <v>0</v>
      </c>
      <c r="H342" s="1692">
        <f>SUM(H330,H334,H340)</f>
        <v>0</v>
      </c>
      <c r="I342" s="1692">
        <f>SUM(I330)</f>
        <v>0</v>
      </c>
      <c r="J342" s="1692">
        <f>SUM(J330)</f>
        <v>0</v>
      </c>
      <c r="K342" s="1692">
        <f>SUM(K330,K334,K340)</f>
        <v>308942</v>
      </c>
      <c r="L342" s="1699">
        <f>SUM(L330,L340,L341)</f>
        <v>396311</v>
      </c>
    </row>
    <row r="343" spans="1:14" ht="12.75" customHeight="1" thickTop="1" x14ac:dyDescent="0.2">
      <c r="A343" s="2187" t="s">
        <v>1053</v>
      </c>
      <c r="B343" s="2188"/>
      <c r="C343" s="617"/>
      <c r="D343" s="617"/>
      <c r="E343" s="617"/>
      <c r="F343" s="617"/>
      <c r="G343" s="617"/>
      <c r="H343" s="617"/>
      <c r="I343" s="617"/>
      <c r="J343" s="617"/>
      <c r="K343" s="1706">
        <f>'Revenues 9-14'!J275-'Expenditures 15-22'!K342</f>
        <v>109708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6087</v>
      </c>
      <c r="F349" s="466"/>
      <c r="G349" s="466"/>
      <c r="H349" s="466"/>
      <c r="I349" s="467"/>
      <c r="J349" s="467"/>
      <c r="K349" s="1693">
        <f>SUM(C349:J349)</f>
        <v>6087</v>
      </c>
      <c r="L349" s="466">
        <v>9024</v>
      </c>
    </row>
    <row r="350" spans="1:14" ht="12.75" customHeight="1" thickBot="1" x14ac:dyDescent="0.25">
      <c r="A350" s="1690" t="s">
        <v>743</v>
      </c>
      <c r="B350" s="1691" t="s">
        <v>35</v>
      </c>
      <c r="C350" s="1692">
        <f>SUM(C348:C349)</f>
        <v>0</v>
      </c>
      <c r="D350" s="1692">
        <f t="shared" ref="D350:L350" si="26">SUM(D348:D349)</f>
        <v>0</v>
      </c>
      <c r="E350" s="1692">
        <f t="shared" si="26"/>
        <v>6087</v>
      </c>
      <c r="F350" s="1692">
        <f t="shared" si="26"/>
        <v>0</v>
      </c>
      <c r="G350" s="1692">
        <f t="shared" si="26"/>
        <v>0</v>
      </c>
      <c r="H350" s="1692">
        <f t="shared" si="26"/>
        <v>0</v>
      </c>
      <c r="I350" s="1692">
        <f t="shared" si="26"/>
        <v>0</v>
      </c>
      <c r="J350" s="1692">
        <f t="shared" si="26"/>
        <v>0</v>
      </c>
      <c r="K350" s="1692">
        <f t="shared" si="26"/>
        <v>6087</v>
      </c>
      <c r="L350" s="1692">
        <f t="shared" si="26"/>
        <v>9024</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6087</v>
      </c>
      <c r="F352" s="1692">
        <f t="shared" si="27"/>
        <v>0</v>
      </c>
      <c r="G352" s="1692">
        <f t="shared" si="27"/>
        <v>0</v>
      </c>
      <c r="H352" s="1692">
        <f t="shared" si="27"/>
        <v>0</v>
      </c>
      <c r="I352" s="1692">
        <f t="shared" si="27"/>
        <v>0</v>
      </c>
      <c r="J352" s="1692">
        <f t="shared" si="27"/>
        <v>0</v>
      </c>
      <c r="K352" s="1692">
        <f t="shared" si="27"/>
        <v>6087</v>
      </c>
      <c r="L352" s="1692">
        <f t="shared" si="27"/>
        <v>9024</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6087</v>
      </c>
      <c r="F367" s="1692">
        <f t="shared" si="28"/>
        <v>0</v>
      </c>
      <c r="G367" s="1692">
        <f t="shared" si="28"/>
        <v>0</v>
      </c>
      <c r="H367" s="1692">
        <f t="shared" si="28"/>
        <v>0</v>
      </c>
      <c r="I367" s="1692">
        <f t="shared" si="28"/>
        <v>0</v>
      </c>
      <c r="J367" s="1692">
        <f t="shared" si="28"/>
        <v>0</v>
      </c>
      <c r="K367" s="1692">
        <f t="shared" si="28"/>
        <v>6087</v>
      </c>
      <c r="L367" s="1692">
        <f t="shared" si="28"/>
        <v>9024</v>
      </c>
    </row>
    <row r="368" spans="1:14" ht="13.5" thickTop="1" x14ac:dyDescent="0.2">
      <c r="A368" s="2201" t="s">
        <v>1053</v>
      </c>
      <c r="B368" s="2202"/>
      <c r="C368" s="655"/>
      <c r="D368" s="655"/>
      <c r="E368" s="627"/>
      <c r="F368" s="627"/>
      <c r="G368" s="627"/>
      <c r="H368" s="627"/>
      <c r="I368" s="627"/>
      <c r="J368" s="624"/>
      <c r="K368" s="1693">
        <f>'Revenues 9-14'!K275-'Expenditures 15-22'!K367</f>
        <v>-6075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metadata/properties"/>
    <ds:schemaRef ds:uri="http://schemas.microsoft.com/sharepoint/v3"/>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4d435f69-8686-490b-bd6d-b153bf22ab50"/>
    <ds:schemaRef ds:uri="d21dc803-237d-4c68-8692-8d731fd29118"/>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2019-01-09T23:01:20Z</cp:lastPrinted>
  <dcterms:created xsi:type="dcterms:W3CDTF">2003-10-29T19:06:34Z</dcterms:created>
  <dcterms:modified xsi:type="dcterms:W3CDTF">2019-01-11T16:30:46Z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