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19440" windowHeight="1224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SEFA'!$B$11:$M$67</definedName>
    <definedName name="_xlnm.Print_Area" localSheetId="8">'Expenditures 15-22'!$A$328:$L$398</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28">' SEFA'!$1:$10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M39" i="179" l="1"/>
  <c r="M45" i="179" s="1"/>
  <c r="K39" i="179"/>
  <c r="K45" i="179" s="1"/>
  <c r="I39" i="179"/>
  <c r="G39" i="179"/>
  <c r="F39" i="179"/>
  <c r="E39" i="179"/>
  <c r="L35" i="179"/>
  <c r="L32" i="179"/>
  <c r="L29" i="179"/>
  <c r="I21" i="179"/>
  <c r="G21" i="179"/>
  <c r="G45" i="179" s="1"/>
  <c r="F21" i="179"/>
  <c r="E21" i="179"/>
  <c r="E45" i="179" s="1"/>
  <c r="L43" i="179"/>
  <c r="I43" i="179"/>
  <c r="G43" i="179"/>
  <c r="F43" i="179"/>
  <c r="E43" i="179"/>
  <c r="I45" i="179" l="1"/>
  <c r="F45" i="179"/>
  <c r="D5" i="29"/>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0" i="181"/>
  <c r="G130" i="181" s="1"/>
  <c r="E130" i="181"/>
  <c r="F129" i="181"/>
  <c r="G129" i="181" s="1"/>
  <c r="E129" i="181"/>
  <c r="F128" i="181"/>
  <c r="G128" i="181" s="1"/>
  <c r="E128" i="181"/>
  <c r="F127" i="181"/>
  <c r="G127" i="181" s="1"/>
  <c r="E127" i="18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E118" i="181"/>
  <c r="F118" i="181" s="1"/>
  <c r="G118" i="181" s="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F110" i="181"/>
  <c r="G110" i="181" s="1"/>
  <c r="E110" i="181"/>
  <c r="F109" i="181"/>
  <c r="G109" i="181" s="1"/>
  <c r="E109" i="181"/>
  <c r="F108" i="181"/>
  <c r="G108" i="181" s="1"/>
  <c r="E108" i="181"/>
  <c r="F107" i="181"/>
  <c r="G107" i="181" s="1"/>
  <c r="E107" i="181"/>
  <c r="F106" i="181"/>
  <c r="G106" i="181" s="1"/>
  <c r="E106" i="181"/>
  <c r="E105" i="181"/>
  <c r="F105" i="181" s="1"/>
  <c r="G105" i="181" s="1"/>
  <c r="F104" i="181"/>
  <c r="G104" i="181" s="1"/>
  <c r="E104" i="181"/>
  <c r="F103" i="181"/>
  <c r="G103" i="181" s="1"/>
  <c r="E103" i="181"/>
  <c r="F102" i="181"/>
  <c r="G102" i="181" s="1"/>
  <c r="E102" i="181"/>
  <c r="E101" i="181"/>
  <c r="F101" i="181" s="1"/>
  <c r="G101" i="181" s="1"/>
  <c r="F100" i="181"/>
  <c r="G100" i="181" s="1"/>
  <c r="E100" i="181"/>
  <c r="F99" i="181"/>
  <c r="G99" i="181" s="1"/>
  <c r="E99" i="181"/>
  <c r="F98" i="181"/>
  <c r="G98" i="181" s="1"/>
  <c r="E98" i="181"/>
  <c r="F97" i="181"/>
  <c r="G97" i="181" s="1"/>
  <c r="E97" i="181"/>
  <c r="F96" i="181"/>
  <c r="G96" i="181" s="1"/>
  <c r="E96" i="181"/>
  <c r="F95" i="181"/>
  <c r="G95" i="181" s="1"/>
  <c r="E95" i="181"/>
  <c r="F90" i="181"/>
  <c r="G90" i="181" s="1"/>
  <c r="E90" i="181"/>
  <c r="F94" i="181"/>
  <c r="G94" i="181" s="1"/>
  <c r="E94" i="181"/>
  <c r="E93" i="181"/>
  <c r="F93" i="181" s="1"/>
  <c r="G93" i="181" s="1"/>
  <c r="F92" i="181"/>
  <c r="G92" i="181" s="1"/>
  <c r="E92" i="181"/>
  <c r="E91" i="181"/>
  <c r="F91" i="181" s="1"/>
  <c r="G91" i="181" s="1"/>
  <c r="F89" i="181"/>
  <c r="G89" i="181" s="1"/>
  <c r="E89" i="181"/>
  <c r="E88" i="181"/>
  <c r="F88" i="181" s="1"/>
  <c r="G88" i="181" s="1"/>
  <c r="F87" i="181"/>
  <c r="G87" i="181" s="1"/>
  <c r="E87" i="181"/>
  <c r="E86" i="181"/>
  <c r="F86" i="181" s="1"/>
  <c r="G86" i="181" s="1"/>
  <c r="F84" i="181"/>
  <c r="G84" i="181" s="1"/>
  <c r="E84" i="181"/>
  <c r="F83" i="181"/>
  <c r="G83" i="181" s="1"/>
  <c r="E83" i="181"/>
  <c r="E82" i="181"/>
  <c r="F82" i="181" s="1"/>
  <c r="G82" i="181" s="1"/>
  <c r="F81" i="181"/>
  <c r="G81" i="181" s="1"/>
  <c r="E81" i="181"/>
  <c r="F80" i="181"/>
  <c r="G80" i="181" s="1"/>
  <c r="E80" i="181"/>
  <c r="E79" i="181"/>
  <c r="F79" i="181" s="1"/>
  <c r="G79" i="181" s="1"/>
  <c r="F78" i="181"/>
  <c r="G78" i="181" s="1"/>
  <c r="E78" i="181"/>
  <c r="E77" i="181"/>
  <c r="F77" i="181" s="1"/>
  <c r="G77" i="181" s="1"/>
  <c r="F75" i="181"/>
  <c r="G75" i="181" s="1"/>
  <c r="E75" i="181"/>
  <c r="F74" i="181"/>
  <c r="G74" i="181" s="1"/>
  <c r="E74" i="181"/>
  <c r="F73" i="181"/>
  <c r="G73" i="181" s="1"/>
  <c r="E73" i="181"/>
  <c r="F72" i="181"/>
  <c r="G72" i="181" s="1"/>
  <c r="E72" i="181"/>
  <c r="F71" i="181"/>
  <c r="G71" i="181" s="1"/>
  <c r="E71" i="181"/>
  <c r="F70" i="181"/>
  <c r="G70" i="181" s="1"/>
  <c r="E70" i="181"/>
  <c r="F69" i="181"/>
  <c r="G69" i="181" s="1"/>
  <c r="E69" i="181"/>
  <c r="F68" i="181"/>
  <c r="G68" i="181" s="1"/>
  <c r="E68" i="181"/>
  <c r="F67" i="181"/>
  <c r="G67" i="181" s="1"/>
  <c r="E67" i="181"/>
  <c r="E66" i="181"/>
  <c r="F66" i="181" s="1"/>
  <c r="G66" i="181" s="1"/>
  <c r="F65" i="181"/>
  <c r="G65" i="181" s="1"/>
  <c r="E65" i="181"/>
  <c r="F64" i="181"/>
  <c r="G64" i="181" s="1"/>
  <c r="E64" i="181"/>
  <c r="F131" i="181"/>
  <c r="G131" i="181" s="1"/>
  <c r="E131" i="181"/>
  <c r="F85" i="181"/>
  <c r="G85" i="181" s="1"/>
  <c r="E85" i="181"/>
  <c r="F76" i="181"/>
  <c r="G76" i="181" s="1"/>
  <c r="E76" i="181"/>
  <c r="E63" i="181"/>
  <c r="F63" i="181" s="1"/>
  <c r="G63" i="181" s="1"/>
  <c r="F62" i="181"/>
  <c r="G62" i="181" s="1"/>
  <c r="E62" i="181"/>
  <c r="F61" i="181"/>
  <c r="G61" i="181" s="1"/>
  <c r="E61" i="181"/>
  <c r="F60" i="181"/>
  <c r="G60" i="181" s="1"/>
  <c r="E60" i="181"/>
  <c r="F59" i="181"/>
  <c r="G59" i="181" s="1"/>
  <c r="E59" i="181"/>
  <c r="F58" i="181"/>
  <c r="G58" i="181" s="1"/>
  <c r="E58" i="181"/>
  <c r="F57" i="181"/>
  <c r="G57" i="181" s="1"/>
  <c r="E57" i="181"/>
  <c r="E56" i="181"/>
  <c r="F56" i="181" s="1"/>
  <c r="G56" i="181" s="1"/>
  <c r="E55" i="181"/>
  <c r="F55" i="181" s="1"/>
  <c r="G55" i="181" s="1"/>
  <c r="F54" i="181"/>
  <c r="G54" i="181" s="1"/>
  <c r="E54" i="181"/>
  <c r="F53" i="181"/>
  <c r="G53" i="181" s="1"/>
  <c r="E53" i="181"/>
  <c r="F52" i="181"/>
  <c r="G52" i="181" s="1"/>
  <c r="E52" i="181"/>
  <c r="E51" i="181"/>
  <c r="F51" i="181" s="1"/>
  <c r="G51" i="181" s="1"/>
  <c r="F50" i="181"/>
  <c r="G50" i="181" s="1"/>
  <c r="E50" i="181"/>
  <c r="E49" i="181"/>
  <c r="F49" i="181" s="1"/>
  <c r="G49" i="181" s="1"/>
  <c r="F48" i="181"/>
  <c r="G48" i="181" s="1"/>
  <c r="E48" i="181"/>
  <c r="E47" i="181"/>
  <c r="F47" i="181" s="1"/>
  <c r="G47" i="181" s="1"/>
  <c r="F46" i="181"/>
  <c r="G46" i="181" s="1"/>
  <c r="E46" i="181"/>
  <c r="E45" i="181"/>
  <c r="F45" i="181" s="1"/>
  <c r="G45" i="181" s="1"/>
  <c r="F44" i="181"/>
  <c r="G44" i="181" s="1"/>
  <c r="E44" i="181"/>
  <c r="F43" i="181"/>
  <c r="G43" i="181" s="1"/>
  <c r="E43" i="181"/>
  <c r="F42" i="181"/>
  <c r="G42" i="181" s="1"/>
  <c r="E42" i="181"/>
  <c r="F41" i="181"/>
  <c r="G41" i="181" s="1"/>
  <c r="E41" i="181"/>
  <c r="F40" i="181"/>
  <c r="G40" i="181" s="1"/>
  <c r="E40" i="181"/>
  <c r="E39" i="181"/>
  <c r="F39" i="181" s="1"/>
  <c r="G39" i="181" s="1"/>
  <c r="F38" i="181"/>
  <c r="G38" i="181" s="1"/>
  <c r="E38" i="181"/>
  <c r="F37" i="181"/>
  <c r="G37" i="181" s="1"/>
  <c r="E37" i="181"/>
  <c r="F36" i="181"/>
  <c r="G36" i="181" s="1"/>
  <c r="E36" i="181"/>
  <c r="F35" i="181"/>
  <c r="G35" i="181" s="1"/>
  <c r="E35" i="181"/>
  <c r="E34" i="181"/>
  <c r="F34" i="181" s="1"/>
  <c r="G34" i="181" s="1"/>
  <c r="F33" i="181"/>
  <c r="G33" i="181" s="1"/>
  <c r="E33" i="181"/>
  <c r="E32" i="181"/>
  <c r="F32" i="181" s="1"/>
  <c r="G32" i="181" s="1"/>
  <c r="E31" i="181"/>
  <c r="F31" i="181" s="1"/>
  <c r="G31" i="181" s="1"/>
  <c r="E30" i="181"/>
  <c r="F30" i="181" s="1"/>
  <c r="G30" i="181" s="1"/>
  <c r="E29" i="181"/>
  <c r="F29" i="181" s="1"/>
  <c r="G29" i="181" s="1"/>
  <c r="F28" i="181"/>
  <c r="G28" i="181" s="1"/>
  <c r="E28" i="181"/>
  <c r="E27" i="181"/>
  <c r="F27" i="181" s="1"/>
  <c r="G27" i="181" s="1"/>
  <c r="E26" i="181"/>
  <c r="F26" i="181" s="1"/>
  <c r="G26" i="181" s="1"/>
  <c r="E25" i="181"/>
  <c r="F25" i="181" s="1"/>
  <c r="G25" i="181" s="1"/>
  <c r="E24" i="181"/>
  <c r="F24" i="181" s="1"/>
  <c r="G24" i="181" s="1"/>
  <c r="E23" i="181"/>
  <c r="F23" i="181" s="1"/>
  <c r="G23" i="181" s="1"/>
  <c r="E22" i="181"/>
  <c r="F22" i="181" s="1"/>
  <c r="G22" i="181" s="1"/>
  <c r="E21" i="181"/>
  <c r="F21" i="181" s="1"/>
  <c r="G21" i="181" s="1"/>
  <c r="E20" i="181"/>
  <c r="F20" i="181" s="1"/>
  <c r="G20" i="181" s="1"/>
  <c r="E19" i="181"/>
  <c r="F19" i="181" s="1"/>
  <c r="G19" i="181" s="1"/>
  <c r="E18" i="181"/>
  <c r="F18" i="181" s="1"/>
  <c r="G18" i="181" s="1"/>
  <c r="D132" i="181" l="1"/>
  <c r="D80" i="36" l="1"/>
  <c r="B7797" i="106"/>
  <c r="E132" i="181"/>
  <c r="E17" i="181"/>
  <c r="E16" i="181"/>
  <c r="F16" i="181" s="1"/>
  <c r="G16" i="181" s="1"/>
  <c r="F17" i="181" l="1"/>
  <c r="G17" i="181" s="1"/>
  <c r="G132" i="181" s="1"/>
  <c r="G40" i="108" l="1"/>
  <c r="B7799" i="106"/>
  <c r="F132" i="181"/>
  <c r="B7798" i="106" s="1"/>
  <c r="E40" i="108"/>
  <c r="B4" i="179" l="1"/>
  <c r="D17" i="171" l="1"/>
  <c r="L38" i="179" l="1"/>
  <c r="L37" i="179"/>
  <c r="L39" i="179" s="1"/>
  <c r="L20" i="179"/>
  <c r="L19" i="179"/>
  <c r="L18" i="179"/>
  <c r="L17" i="179"/>
  <c r="L15" i="179"/>
  <c r="L14" i="179"/>
  <c r="L13" i="179"/>
  <c r="L12" i="179"/>
  <c r="L11" i="179"/>
  <c r="L45" i="179" l="1"/>
  <c r="L21" i="179"/>
  <c r="D14" i="17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B4395" i="106" s="1"/>
  <c r="D4395" i="106" s="1"/>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3" i="106"/>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I24" i="12" s="1"/>
  <c r="B1995" i="106"/>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s="1"/>
  <c r="B5101" i="106"/>
  <c r="D5101" i="106" s="1"/>
  <c r="B5103" i="106"/>
  <c r="D5103" i="106" s="1"/>
  <c r="B5104" i="106"/>
  <c r="D5104" i="106" s="1"/>
  <c r="B5105" i="106"/>
  <c r="D5105" i="106"/>
  <c r="B5106" i="106"/>
  <c r="D5106" i="106" s="1"/>
  <c r="B5107" i="106"/>
  <c r="D5107" i="106" s="1"/>
  <c r="B5108" i="106"/>
  <c r="D5108" i="106" s="1"/>
  <c r="B5109" i="106"/>
  <c r="D5109" i="106"/>
  <c r="B5110" i="106"/>
  <c r="D5110" i="106" s="1"/>
  <c r="B5111" i="106"/>
  <c r="D5111" i="106" s="1"/>
  <c r="B5113" i="106"/>
  <c r="D5113" i="106" s="1"/>
  <c r="B5114" i="106"/>
  <c r="D5114" i="106"/>
  <c r="B5115" i="106"/>
  <c r="D5115" i="106" s="1"/>
  <c r="B5116" i="106"/>
  <c r="D5116" i="106" s="1"/>
  <c r="B5117" i="106"/>
  <c r="D5117" i="106" s="1"/>
  <c r="B5118" i="106"/>
  <c r="D5118" i="106" s="1"/>
  <c r="B5119" i="106"/>
  <c r="D5119" i="106" s="1"/>
  <c r="B5122" i="106"/>
  <c r="D5122" i="106" s="1"/>
  <c r="B5123" i="106"/>
  <c r="D5123" i="106" s="1"/>
  <c r="B5124" i="106"/>
  <c r="D5124" i="106"/>
  <c r="B5126" i="106"/>
  <c r="D5126" i="106" s="1"/>
  <c r="B5127" i="106"/>
  <c r="D5127" i="106" s="1"/>
  <c r="D5128" i="106"/>
  <c r="D5129" i="106"/>
  <c r="D5130" i="106"/>
  <c r="D5131" i="106"/>
  <c r="B5133" i="106"/>
  <c r="D5133" i="106" s="1"/>
  <c r="B5134" i="106"/>
  <c r="D5134" i="106"/>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64" i="127"/>
  <c r="B65" i="127"/>
  <c r="D26" i="108"/>
  <c r="E26" i="108"/>
  <c r="F26" i="108"/>
  <c r="G26" i="108"/>
  <c r="E27" i="108"/>
  <c r="G27" i="108"/>
  <c r="F31" i="108"/>
  <c r="F36" i="108"/>
  <c r="F37" i="108"/>
  <c r="G28"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s="1"/>
  <c r="D5923" i="106" s="1"/>
  <c r="J18" i="5"/>
  <c r="B6306" i="106" s="1"/>
  <c r="D6306" i="106" s="1"/>
  <c r="K18" i="5"/>
  <c r="B5992" i="106" s="1"/>
  <c r="D5992" i="106" s="1"/>
  <c r="C40" i="5"/>
  <c r="B5087" i="106"/>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E109" i="5"/>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C131" i="5"/>
  <c r="B5147" i="106" s="1"/>
  <c r="D5147" i="106" s="1"/>
  <c r="D131" i="5"/>
  <c r="B5369" i="106" s="1"/>
  <c r="D5369" i="106" s="1"/>
  <c r="C140" i="5"/>
  <c r="B5161" i="106" s="1"/>
  <c r="D5161" i="106" s="1"/>
  <c r="D140" i="5"/>
  <c r="B5383" i="106" s="1"/>
  <c r="D5383" i="106" s="1"/>
  <c r="G140" i="5"/>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c r="D6400" i="106" s="1"/>
  <c r="K178" i="5"/>
  <c r="B4951" i="106" s="1"/>
  <c r="D4951" i="106" s="1"/>
  <c r="C184" i="5"/>
  <c r="B5232" i="106" s="1"/>
  <c r="D5232" i="106" s="1"/>
  <c r="D184" i="5"/>
  <c r="B5425" i="106" s="1"/>
  <c r="D5425" i="106" s="1"/>
  <c r="F184" i="5"/>
  <c r="G184" i="5"/>
  <c r="B5784" i="106" s="1"/>
  <c r="D5784" i="106" s="1"/>
  <c r="H184" i="5"/>
  <c r="B5908" i="106" s="1"/>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E4" i="4"/>
  <c r="B2630" i="106" s="1"/>
  <c r="D2630" i="106" s="1"/>
  <c r="D5" i="4"/>
  <c r="B3406" i="106" s="1"/>
  <c r="D3406"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D11" i="37"/>
  <c r="D22" i="37"/>
  <c r="H22" i="37"/>
  <c r="J22" i="37"/>
  <c r="L22" i="37"/>
  <c r="D24" i="37"/>
  <c r="B4270" i="106" s="1"/>
  <c r="D4270" i="106" s="1"/>
  <c r="L5" i="11"/>
  <c r="B2056" i="106" s="1"/>
  <c r="D2056" i="106" s="1"/>
  <c r="D4" i="7"/>
  <c r="B1760" i="106" s="1"/>
  <c r="D1760" i="106" s="1"/>
  <c r="D5" i="7"/>
  <c r="B1761" i="106" s="1"/>
  <c r="D1761" i="106" s="1"/>
  <c r="D13" i="7"/>
  <c r="B3726" i="106" s="1"/>
  <c r="D3726" i="106" s="1"/>
  <c r="F131" i="34"/>
  <c r="B5752" i="106"/>
  <c r="D5752" i="106" s="1"/>
  <c r="H173" i="5"/>
  <c r="B5906" i="106" s="1"/>
  <c r="D5906" i="106" s="1"/>
  <c r="H109" i="5"/>
  <c r="B6025" i="106" s="1"/>
  <c r="D6025" i="106" s="1"/>
  <c r="H6" i="4"/>
  <c r="B2656" i="106" s="1"/>
  <c r="D2656" i="106" s="1"/>
  <c r="B1746" i="106"/>
  <c r="D1746" i="106" s="1"/>
  <c r="D17" i="7"/>
  <c r="B4104" i="106" s="1"/>
  <c r="D4104" i="106" s="1"/>
  <c r="D12" i="7"/>
  <c r="B1769" i="106" s="1"/>
  <c r="D1769" i="106" s="1"/>
  <c r="D11" i="7"/>
  <c r="B1768" i="106" s="1"/>
  <c r="D1768" i="106" s="1"/>
  <c r="F127" i="34" l="1"/>
  <c r="I173" i="5"/>
  <c r="B4216" i="106" s="1"/>
  <c r="D4216" i="106" s="1"/>
  <c r="F111" i="34"/>
  <c r="G109" i="5"/>
  <c r="H342" i="29"/>
  <c r="E174" i="29"/>
  <c r="B1309" i="106" s="1"/>
  <c r="D1309" i="106" s="1"/>
  <c r="F136" i="34"/>
  <c r="D6103" i="106"/>
  <c r="K76" i="4"/>
  <c r="B3586" i="106" s="1"/>
  <c r="D3586" i="106" s="1"/>
  <c r="F19" i="7"/>
  <c r="B1807" i="106" s="1"/>
  <c r="D1807" i="106" s="1"/>
  <c r="L342" i="29"/>
  <c r="D54" i="36"/>
  <c r="B7074" i="106"/>
  <c r="D7074" i="106" s="1"/>
  <c r="J77" i="4"/>
  <c r="B6262" i="106" s="1"/>
  <c r="D6262" i="106" s="1"/>
  <c r="F77" i="4"/>
  <c r="B3255" i="106" s="1"/>
  <c r="D3255" i="106" s="1"/>
  <c r="G30" i="108"/>
  <c r="E30" i="108"/>
  <c r="D27" i="108"/>
  <c r="F28" i="108"/>
  <c r="F41" i="108" s="1"/>
  <c r="G43" i="108" s="1"/>
  <c r="E28" i="108"/>
  <c r="G29" i="108"/>
  <c r="E29" i="108"/>
  <c r="H33" i="118"/>
  <c r="D69" i="36"/>
  <c r="C172" i="5"/>
  <c r="F106" i="34"/>
  <c r="C109" i="5"/>
  <c r="B5121" i="106" s="1"/>
  <c r="D5121" i="106" s="1"/>
  <c r="B3621" i="106"/>
  <c r="D3621" i="106" s="1"/>
  <c r="C367" i="29"/>
  <c r="D7" i="7"/>
  <c r="B1763" i="106" s="1"/>
  <c r="D1763" i="106" s="1"/>
  <c r="F128" i="34"/>
  <c r="D15" i="7"/>
  <c r="B1772" i="106" s="1"/>
  <c r="D1772" i="106" s="1"/>
  <c r="D109" i="5"/>
  <c r="K274" i="5"/>
  <c r="F130" i="34"/>
  <c r="D9" i="7"/>
  <c r="B1767" i="106" s="1"/>
  <c r="D1767" i="106" s="1"/>
  <c r="K28" i="118"/>
  <c r="O27" i="118" s="1"/>
  <c r="O29" i="118" s="1"/>
  <c r="B5658" i="106"/>
  <c r="D5658" i="106" s="1"/>
  <c r="G172" i="5"/>
  <c r="H4" i="4"/>
  <c r="B2655" i="106" s="1"/>
  <c r="D2655" i="106" s="1"/>
  <c r="B6006" i="106"/>
  <c r="D6006" i="106" s="1"/>
  <c r="K173" i="5"/>
  <c r="K6" i="4" s="1"/>
  <c r="B3570" i="106" s="1"/>
  <c r="D3570" i="106" s="1"/>
  <c r="I26" i="12"/>
  <c r="B7741" i="106" s="1"/>
  <c r="D7741" i="106" s="1"/>
  <c r="B1996" i="106"/>
  <c r="D1996" i="106" s="1"/>
  <c r="F172" i="5"/>
  <c r="B5644" i="106" s="1"/>
  <c r="D5644" i="106" s="1"/>
  <c r="L312" i="29"/>
  <c r="G352" i="29"/>
  <c r="B3619" i="106"/>
  <c r="D3619" i="106" s="1"/>
  <c r="K24" i="12"/>
  <c r="G210" i="29"/>
  <c r="B7235" i="106"/>
  <c r="D7235" i="106" s="1"/>
  <c r="K41" i="3"/>
  <c r="L15" i="11"/>
  <c r="B3459" i="106" s="1"/>
  <c r="D3459" i="106" s="1"/>
  <c r="K352" i="29"/>
  <c r="K13" i="4" s="1"/>
  <c r="B3572" i="106" s="1"/>
  <c r="D3572" i="106" s="1"/>
  <c r="H365" i="29"/>
  <c r="B1410" i="106"/>
  <c r="D1410" i="106" s="1"/>
  <c r="B1329" i="106"/>
  <c r="D1329" i="106" s="1"/>
  <c r="F61" i="34"/>
  <c r="L13" i="11"/>
  <c r="B2060" i="106" s="1"/>
  <c r="D2060"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B6022" i="106"/>
  <c r="D6022" i="106" s="1"/>
  <c r="D44" i="36"/>
  <c r="E273" i="5"/>
  <c r="B6835" i="106"/>
  <c r="D6835" i="106" s="1"/>
  <c r="G273" i="5"/>
  <c r="B4398" i="106"/>
  <c r="D4398" i="106" s="1"/>
  <c r="B5537" i="106"/>
  <c r="D5537" i="106" s="1"/>
  <c r="E173" i="5"/>
  <c r="I109" i="5"/>
  <c r="B5527" i="106"/>
  <c r="D5527" i="106" s="1"/>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K367" i="29" s="1"/>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D274" i="5"/>
  <c r="B7270" i="106"/>
  <c r="F274" i="5" l="1"/>
  <c r="B6024" i="106"/>
  <c r="D6024" i="106" s="1"/>
  <c r="G4" i="4"/>
  <c r="B2603" i="106" s="1"/>
  <c r="D2603" i="106" s="1"/>
  <c r="B1317" i="106"/>
  <c r="D1317" i="106" s="1"/>
  <c r="F173" i="5"/>
  <c r="D19" i="7"/>
  <c r="B1775" i="106" s="1"/>
  <c r="D1775" i="106" s="1"/>
  <c r="C4" i="4"/>
  <c r="B2551" i="106" s="1"/>
  <c r="D2551" i="106" s="1"/>
  <c r="D7254" i="106"/>
  <c r="D7250" i="106"/>
  <c r="B3568" i="106"/>
  <c r="D3568" i="106" s="1"/>
  <c r="D52" i="36"/>
  <c r="D7255" i="106"/>
  <c r="D7252" i="106"/>
  <c r="C114" i="29"/>
  <c r="B757" i="106" s="1"/>
  <c r="D757" i="106" s="1"/>
  <c r="H367" i="29"/>
  <c r="B3660" i="106" s="1"/>
  <c r="D3660" i="106" s="1"/>
  <c r="B7242" i="106"/>
  <c r="D7242" i="106" s="1"/>
  <c r="B3649" i="106"/>
  <c r="D3649" i="106" s="1"/>
  <c r="G367" i="29"/>
  <c r="B3650" i="106" s="1"/>
  <c r="D3650" i="106" s="1"/>
  <c r="G173" i="5"/>
  <c r="B5770" i="106"/>
  <c r="D5770" i="106" s="1"/>
  <c r="B1365" i="106"/>
  <c r="D1365" i="106" s="1"/>
  <c r="F65" i="34"/>
  <c r="B7733" i="106"/>
  <c r="D7733" i="106" s="1"/>
  <c r="K26" i="12"/>
  <c r="B7743" i="106" s="1"/>
  <c r="D7743" i="106" s="1"/>
  <c r="B5356" i="106"/>
  <c r="D5356" i="106" s="1"/>
  <c r="D4" i="4"/>
  <c r="B2564" i="106" s="1"/>
  <c r="D2564" i="106" s="1"/>
  <c r="B5214" i="106"/>
  <c r="D5214" i="106" s="1"/>
  <c r="C173" i="5"/>
  <c r="L16" i="11"/>
  <c r="B2061" i="106" s="1"/>
  <c r="D206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J8" i="4"/>
  <c r="B2658" i="106"/>
  <c r="D2658" i="106" s="1"/>
  <c r="H10" i="4"/>
  <c r="B4127" i="106" s="1"/>
  <c r="D4127" i="106" s="1"/>
  <c r="D7" i="4"/>
  <c r="D275" i="5"/>
  <c r="B5507" i="106"/>
  <c r="D5507" i="106" s="1"/>
  <c r="B7298" i="106"/>
  <c r="B7299" i="106"/>
  <c r="G41" i="108" l="1"/>
  <c r="G44" i="108" s="1"/>
  <c r="G45" i="108" s="1"/>
  <c r="J17" i="4"/>
  <c r="F6" i="4"/>
  <c r="B2593" i="106" s="1"/>
  <c r="D2593" i="106" s="1"/>
  <c r="B5653" i="106"/>
  <c r="D5653" i="106" s="1"/>
  <c r="F275" i="5"/>
  <c r="B5720" i="106" s="1"/>
  <c r="D5720" i="106" s="1"/>
  <c r="B5778" i="106"/>
  <c r="D5778" i="106" s="1"/>
  <c r="G6" i="4"/>
  <c r="B2604" i="106" s="1"/>
  <c r="D2604" i="106" s="1"/>
  <c r="F8" i="4"/>
  <c r="D8" i="146" s="1"/>
  <c r="E41" i="108"/>
  <c r="E44" i="108" s="1"/>
  <c r="E45" i="108" s="1"/>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B2595" i="106"/>
  <c r="D2595" i="106" s="1"/>
  <c r="F10" i="4"/>
  <c r="B4125" i="106" s="1"/>
  <c r="D4125"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<sst xmlns="http://schemas.openxmlformats.org/spreadsheetml/2006/main" count="5204" uniqueCount="2210">
  <si>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</si>
  <si>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</si>
  <si>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</si>
  <si>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</si>
  <si>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</si>
  <si>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</si>
  <si>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</si>
  <si>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</si>
  <si>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</si>
  <si>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</si>
  <si>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</si>
  <si>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</si>
  <si>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</si>
  <si>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</si>
  <si>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</si>
  <si>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</si>
  <si>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</si>
  <si>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</si>
  <si>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</si>
  <si>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</si>
  <si>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</si>
  <si>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</si>
  <si>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</si>
  <si>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</si>
  <si>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</si>
  <si>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</si>
  <si>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</si>
  <si>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</si>
  <si>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</si>
  <si>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</si>
  <si>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</si>
  <si>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</si>
  <si>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</si>
  <si>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</si>
  <si>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</si>
  <si>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</si>
  <si>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</si>
  <si>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</si>
  <si>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</si>
  <si>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</si>
  <si>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</si>
  <si>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</si>
  <si>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</si>
  <si>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</si>
  <si>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</si>
  <si>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</si>
  <si>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</si>
  <si>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</si>
  <si>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</si>
  <si>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</si>
  <si>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</si>
  <si>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</si>
  <si>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</si>
  <si>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</si>
  <si>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</si>
  <si>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</si>
  <si>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</si>
  <si>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</si>
  <si>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</si>
  <si>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</si>
  <si>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</si>
  <si>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</si>
  <si>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</si>
  <si>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</si>
  <si>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</si>
  <si>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</si>
  <si>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</si>
  <si>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</si>
  <si>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</si>
  <si>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</si>
  <si>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</si>
  <si>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</si>
  <si>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</si>
  <si>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</si>
  <si>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</si>
  <si>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</si>
  <si>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</si>
  <si>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</si>
  <si>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</si>
  <si>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</si>
  <si>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</si>
  <si>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</si>
  <si>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</si>
  <si>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</si>
  <si>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</si>
  <si>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</si>
  <si>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</si>
  <si>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</si>
  <si>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</si>
  <si>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</si>
  <si>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</si>
  <si>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</si>
  <si>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</si>
  <si>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</si>
  <si>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</si>
  <si>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</si>
  <si>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</si>
  <si>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</si>
  <si>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</si>
  <si>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</si>
  <si>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</si>
  <si>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</si>
  <si>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</si>
  <si>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</si>
  <si>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</si>
  <si>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</si>
  <si>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</si>
  <si>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</si>
  <si>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</si>
  <si>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</si>
  <si>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</si>
  <si>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</si>
  <si>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</si>
  <si>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</si>
  <si>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</si>
  <si>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</si>
  <si>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</si>
  <si>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</si>
  <si>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</si>
  <si>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</si>
  <si>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</si>
  <si>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</si>
  <si>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</si>
  <si>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</si>
  <si>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</si>
  <si>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</si>
  <si>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</si>
  <si>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</si>
  <si>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</si>
  <si>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</si>
  <si>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</si>
  <si>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</si>
  <si>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</si>
  <si>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</si>
  <si>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</si>
  <si>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</si>
  <si>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</si>
  <si>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</si>
  <si>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</si>
  <si>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</si>
  <si>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</si>
  <si>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</si>
  <si>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</si>
  <si>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</si>
  <si>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</si>
  <si>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</si>
  <si>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</si>
  <si>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</si>
  <si>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</si>
  <si>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</si>
  <si>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</si>
  <si>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</si>
  <si>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</si>
  <si>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</si>
  <si>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</si>
  <si>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</si>
  <si>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</si>
  <si>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</si>
  <si>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</si>
  <si>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</si>
  <si>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</si>
  <si>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</si>
  <si>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</si>
  <si>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</si>
  <si>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</si>
  <si>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</si>
  <si>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</si>
  <si>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</si>
  <si>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</si>
  <si>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</si>
  <si>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</si>
  <si>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</si>
  <si>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</si>
  <si>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</si>
  <si>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</si>
  <si>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</si>
  <si>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</si>
  <si>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</si>
  <si>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</si>
  <si>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</si>
  <si>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</si>
  <si>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</si>
  <si>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</si>
  <si>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</si>
  <si>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</si>
  <si>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</si>
  <si>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</si>
  <si>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</si>
  <si>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</si>
  <si>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</si>
  <si>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</si>
  <si>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</si>
  <si>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</si>
  <si>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</si>
  <si>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</si>
  <si>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</si>
  <si>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</si>
  <si>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</si>
  <si>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</si>
  <si>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</si>
  <si>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</si>
  <si>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</si>
  <si>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</si>
  <si>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</si>
  <si>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</si>
  <si>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</si>
  <si>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</si>
  <si>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</si>
  <si>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</si>
  <si>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</si>
  <si>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</si>
  <si>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</si>
  <si>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</si>
  <si>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</si>
  <si>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</si>
  <si>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</si>
  <si>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</si>
  <si>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</si>
  <si>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</si>
  <si>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</si>
  <si>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</si>
  <si>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</si>
  <si>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</si>
  <si>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</si>
  <si>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</si>
  <si>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</si>
  <si>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</si>
  <si>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</si>
  <si>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</si>
  <si>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</si>
  <si>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</si>
  <si>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</si>
  <si>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</si>
  <si>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</si>
  <si>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</si>
  <si>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</si>
  <si>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</si>
  <si>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</si>
  <si>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</si>
  <si>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</si>
  <si>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</si>
  <si>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</si>
  <si>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</si>
  <si>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</si>
  <si>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</si>
  <si>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</si>
  <si>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</si>
  <si>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</si>
  <si>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</si>
  <si>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</si>
  <si>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</si>
  <si>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</si>
  <si>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</si>
  <si>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</si>
  <si>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</si>
  <si>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</si>
  <si>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</si>
  <si>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</si>
  <si>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</si>
  <si>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</si>
  <si>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</si>
  <si>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</si>
  <si>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</si>
  <si>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</si>
  <si>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</si>
  <si>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</si>
  <si>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</si>
  <si>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</si>
  <si>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</si>
  <si>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</si>
  <si>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</si>
  <si>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</si>
  <si>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</si>
  <si>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</si>
  <si>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</si>
  <si>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</si>
  <si>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</si>
  <si>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</si>
  <si>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</si>
  <si>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</si>
  <si>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</si>
  <si>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</si>
  <si>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</si>
  <si>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</si>
  <si>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</si>
  <si>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</si>
  <si>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</si>
  <si>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</si>
  <si>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</si>
  <si>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</si>
  <si>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</si>
  <si>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</si>
  <si>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</si>
  <si>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</si>
  <si>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</si>
  <si>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</si>
  <si>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</si>
  <si>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</si>
  <si>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</si>
  <si>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</si>
  <si>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</si>
  <si>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</si>
  <si>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</si>
  <si>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</si>
  <si>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</si>
  <si>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</si>
  <si>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</si>
  <si>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</si>
  <si>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</si>
  <si>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</si>
  <si>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</si>
  <si>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</si>
  <si>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</si>
  <si>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</si>
  <si>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</si>
  <si>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</si>
  <si>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</si>
  <si>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</si>
  <si>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</si>
  <si>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</si>
  <si>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</si>
  <si>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</si>
  <si>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</si>
  <si>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</si>
  <si>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</si>
  <si>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</si>
  <si>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</si>
  <si>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</si>
  <si>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</si>
  <si>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</si>
  <si>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</si>
  <si>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</si>
  <si>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</si>
  <si>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</si>
  <si>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</si>
  <si>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</si>
  <si>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</si>
  <si>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</si>
  <si>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</si>
  <si>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</si>
  <si>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</si>
  <si>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</si>
  <si>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</si>
  <si>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</si>
  <si>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</si>
  <si>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</si>
  <si>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</si>
  <si>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</si>
  <si>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</si>
  <si>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</si>
  <si>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</si>
  <si>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</si>
  <si>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</si>
  <si>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</si>
  <si>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</si>
  <si>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</si>
  <si>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</si>
  <si>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</si>
  <si>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</si>
  <si>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</si>
  <si>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</si>
  <si>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</si>
  <si>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</si>
  <si>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</si>
  <si>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</si>
  <si>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</si>
  <si>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</si>
  <si>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</si>
  <si>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</si>
  <si>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</si>
  <si>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</si>
  <si>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</si>
  <si>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</si>
  <si>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</si>
  <si>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</si>
  <si>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</si>
  <si>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</si>
  <si>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</si>
  <si>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</si>
  <si>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</si>
  <si>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</si>
  <si>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</si>
  <si>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</si>
  <si>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</si>
  <si>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</si>
  <si>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</si>
  <si>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</si>
  <si>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</si>
  <si>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</si>
  <si>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</si>
  <si>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</si>
  <si>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</si>
  <si>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</si>
  <si>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</si>
  <si>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</si>
  <si>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</si>
  <si>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</si>
  <si>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</si>
  <si>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</si>
  <si>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</si>
  <si>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</si>
  <si>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</si>
  <si>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</si>
  <si>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</si>
  <si>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</si>
  <si>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</si>
  <si>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</si>
  <si>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</si>
  <si>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</si>
  <si>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</si>
  <si>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</si>
  <si>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</si>
  <si>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</si>
  <si>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</si>
  <si>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</si>
  <si>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</si>
  <si>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</si>
  <si>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</si>
  <si>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</si>
  <si>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</si>
  <si>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</si>
  <si>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</si>
  <si>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</si>
  <si>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</si>
  <si>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</si>
  <si>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</si>
  <si>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</si>
  <si>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</si>
  <si>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</si>
  <si>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</si>
  <si>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</si>
  <si>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</si>
  <si>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</si>
  <si>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</si>
  <si>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</si>
  <si>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</si>
  <si>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</si>
  <si>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</si>
  <si>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</si>
  <si>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</si>
  <si>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</si>
  <si>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</si>
  <si>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</si>
  <si>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</si>
  <si>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</si>
  <si>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</si>
  <si>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</si>
  <si>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</si>
  <si>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</si>
  <si>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</si>
  <si>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</si>
  <si>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</si>
  <si>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</si>
  <si>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</si>
  <si>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</si>
  <si>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</si>
  <si>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</si>
  <si>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</si>
  <si>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</si>
  <si>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</si>
  <si>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</si>
  <si>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</si>
  <si>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</si>
  <si>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</si>
  <si>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</si>
  <si>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</si>
  <si>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</si>
  <si>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</si>
  <si>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</si>
  <si>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</si>
  <si>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</si>
  <si>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</si>
  <si>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</si>
  <si>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</si>
  <si>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</si>
  <si>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</si>
  <si>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</si>
  <si>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</si>
  <si>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</si>
  <si>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</si>
  <si>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</si>
  <si>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</si>
  <si>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</si>
  <si>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</si>
  <si>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</si>
  <si>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</si>
  <si>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</si>
  <si>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</si>
  <si>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</si>
  <si>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</si>
  <si>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</si>
  <si>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</si>
  <si>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</si>
  <si>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</si>
  <si>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</si>
  <si>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</si>
  <si>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</si>
  <si>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</si>
  <si>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</si>
  <si>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</si>
  <si>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</si>
  <si>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</si>
  <si>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</si>
  <si>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</si>
  <si>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</si>
  <si>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</si>
  <si>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</si>
  <si>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</si>
  <si>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</si>
  <si>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</si>
  <si>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</si>
  <si>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</si>
  <si>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</si>
  <si>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</si>
  <si>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</si>
  <si>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</si>
  <si>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</si>
  <si>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</si>
  <si>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</si>
  <si>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</si>
  <si>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</si>
  <si>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</si>
  <si>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</si>
  <si>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</si>
  <si>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</si>
  <si>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</si>
  <si>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</si>
  <si>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</si>
  <si>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</si>
  <si>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</si>
  <si>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</si>
  <si>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</si>
  <si>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</si>
  <si>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</si>
  <si>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</si>
  <si>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</si>
  <si>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</si>
  <si>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</si>
  <si>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</si>
  <si>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</si>
  <si>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</si>
  <si>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</si>
  <si>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</si>
  <si>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</si>
  <si>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</si>
  <si>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</si>
  <si>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</si>
  <si>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</si>
  <si>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</si>
  <si>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</si>
  <si>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</si>
  <si>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</si>
  <si>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</si>
  <si>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</si>
  <si>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</si>
  <si>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</si>
  <si>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</si>
  <si>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</si>
  <si>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</si>
  <si>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</si>
  <si>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</si>
  <si>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</si>
  <si>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</si>
  <si>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</si>
  <si>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</si>
  <si>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</si>
  <si>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</si>
  <si>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</si>
  <si>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</si>
  <si>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</si>
  <si>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</si>
  <si>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</si>
  <si>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</si>
  <si>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</si>
  <si>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</si>
  <si>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</si>
  <si>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</si>
  <si>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</si>
  <si>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</si>
  <si>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</si>
  <si>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</si>
  <si>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</si>
  <si>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</si>
  <si>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</si>
  <si>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</si>
  <si>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</si>
  <si>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</si>
  <si>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</si>
  <si>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</si>
  <si>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</si>
  <si>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</si>
  <si>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</si>
  <si>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</si>
  <si>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</si>
  <si>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</si>
  <si>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</si>
  <si>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</si>
  <si>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</si>
  <si>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</si>
  <si>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</si>
  <si>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</si>
  <si>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</si>
  <si>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</si>
  <si>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</si>
  <si>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</si>
  <si>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</si>
  <si>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</si>
  <si>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</si>
  <si>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</si>
  <si>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</si>
  <si>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</si>
  <si>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</si>
  <si>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</si>
  <si>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</si>
  <si>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</si>
  <si>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</si>
  <si>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</si>
  <si>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</si>
  <si>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</si>
  <si>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</si>
  <si>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</si>
  <si>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</si>
  <si>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</si>
  <si>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</si>
  <si>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</si>
  <si>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</si>
  <si>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</si>
  <si>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</si>
  <si>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</si>
  <si>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</si>
  <si>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</si>
  <si>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</si>
  <si>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</si>
  <si>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</si>
  <si>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</si>
  <si>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</si>
  <si>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</si>
  <si>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</si>
  <si>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</si>
  <si>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</si>
  <si>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</si>
  <si>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</si>
  <si>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</si>
  <si>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</si>
  <si>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</si>
  <si>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</si>
  <si>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</si>
  <si>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</si>
  <si>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</si>
  <si>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</si>
  <si>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</si>
  <si>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</si>
  <si>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</si>
  <si>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</si>
  <si>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</si>
  <si>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</si>
  <si>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</si>
  <si>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</si>
  <si>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</si>
  <si>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</si>
  <si>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</si>
  <si>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</si>
  <si>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</si>
  <si>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</si>
  <si>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</si>
  <si>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</si>
  <si>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</si>
  <si>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</si>
  <si>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</si>
  <si>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</si>
  <si>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</si>
  <si>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</si>
  <si>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</si>
  <si>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</si>
  <si>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</si>
  <si>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</si>
  <si>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</si>
  <si>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</si>
  <si>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</si>
  <si>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</si>
  <si>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</si>
  <si>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</si>
  <si>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</si>
  <si>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</si>
  <si>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</si>
  <si>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</si>
  <si>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</si>
  <si>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</si>
  <si>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</si>
  <si>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</si>
  <si>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</si>
  <si>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</si>
  <si>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</si>
  <si>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</si>
  <si>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</si>
  <si>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</si>
  <si>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</si>
  <si>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</si>
  <si>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</si>
  <si>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</si>
  <si>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</si>
  <si>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</si>
  <si>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</si>
  <si>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</si>
  <si>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</si>
  <si>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</si>
  <si>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</si>
  <si>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</si>
  <si>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</si>
  <si>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</si>
  <si>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</si>
  <si>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</si>
  <si>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</si>
  <si>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</si>
  <si>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</si>
  <si>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</si>
  <si>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</si>
  <si>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</si>
  <si>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</si>
  <si>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</si>
  <si>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</si>
  <si>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</si>
  <si>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</si>
  <si>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</si>
  <si>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</si>
  <si>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</si>
  <si>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</si>
  <si>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</si>
  <si>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</si>
  <si>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</si>
  <si>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</si>
  <si>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</si>
  <si>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</si>
  <si>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</si>
  <si>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</si>
  <si>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</si>
  <si>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</si>
  <si>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</si>
  <si>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</si>
  <si>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</si>
  <si>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</si>
  <si>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</si>
  <si>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</si>
  <si>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</si>
  <si>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</si>
  <si>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</si>
  <si>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</si>
  <si>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</si>
  <si>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</si>
  <si>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</si>
  <si>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</si>
  <si>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</si>
  <si>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</si>
  <si>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</si>
  <si>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</si>
  <si>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</si>
  <si>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</si>
  <si>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</si>
  <si>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</si>
  <si>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</si>
  <si>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</si>
  <si>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</si>
  <si>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</si>
  <si>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</si>
  <si>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</si>
  <si>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</si>
  <si>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</si>
  <si>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</si>
  <si>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</si>
  <si>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</si>
  <si>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</si>
  <si>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</si>
  <si>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</si>
  <si>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</si>
  <si>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</si>
  <si>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</si>
  <si>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</si>
  <si>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</si>
  <si>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</si>
  <si>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</si>
  <si>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</si>
  <si>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</si>
  <si>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</si>
  <si>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</si>
  <si>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</si>
  <si>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</si>
  <si>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</si>
  <si>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</si>
  <si>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</si>
  <si>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</si>
  <si>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</si>
  <si>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</si>
  <si>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</si>
  <si>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</si>
  <si>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</si>
  <si>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</si>
  <si>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</si>
  <si>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</si>
  <si>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</si>
  <si>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</si>
  <si>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</si>
  <si>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</si>
  <si>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</si>
  <si>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</si>
  <si>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</si>
  <si>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</si>
  <si>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</si>
  <si>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</si>
  <si>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</si>
  <si>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</si>
  <si>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</si>
  <si>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</si>
  <si>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</si>
  <si>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</si>
  <si>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</si>
  <si>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</si>
  <si>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</si>
  <si>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</si>
  <si>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</si>
  <si>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</si>
  <si>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</si>
  <si>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</si>
  <si>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</si>
  <si>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</si>
  <si>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</si>
  <si>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</si>
  <si>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</si>
  <si>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</si>
  <si>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</si>
  <si>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</si>
  <si>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</si>
  <si>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</si>
  <si>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</si>
  <si>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</si>
  <si>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</si>
  <si>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</si>
  <si>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</si>
  <si>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</si>
  <si>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</si>
  <si>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</si>
  <si>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</si>
  <si>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</si>
  <si>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</si>
  <si>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</si>
  <si>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</si>
  <si>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</si>
  <si>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</si>
  <si>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</si>
  <si>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</si>
  <si>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</si>
  <si>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</si>
  <si>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</si>
  <si>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</si>
  <si>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</si>
  <si>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</si>
  <si>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</si>
  <si>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</si>
  <si>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</si>
  <si>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</si>
  <si>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</si>
  <si>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</si>
  <si>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</si>
  <si>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</si>
  <si>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</si>
  <si>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</si>
  <si>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</si>
  <si>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</si>
  <si>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</si>
  <si>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</si>
  <si>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</si>
  <si>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</si>
  <si>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</si>
  <si>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</si>
  <si>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</si>
  <si>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</si>
  <si>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</si>
  <si>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</si>
  <si>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</si>
  <si>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</si>
  <si>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</si>
  <si>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</si>
  <si>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</si>
  <si>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</si>
  <si>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</si>
  <si>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</si>
  <si>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</si>
  <si>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</si>
  <si>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</si>
  <si>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</si>
  <si>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</si>
  <si>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</si>
  <si>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</si>
  <si>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</si>
  <si>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</si>
  <si>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</si>
  <si>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</si>
  <si>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</si>
  <si>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</si>
  <si>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</si>
  <si>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</si>
  <si>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</si>
  <si>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</si>
  <si>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</si>
  <si>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</si>
  <si>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</si>
  <si>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</si>
  <si>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</si>
  <si>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</si>
  <si>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</si>
  <si>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</si>
  <si>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</si>
  <si>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</si>
  <si>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</si>
  <si>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</si>
  <si>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</si>
  <si>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</si>
  <si>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</si>
  <si>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</si>
  <si>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</si>
  <si>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</si>
  <si>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</si>
  <si>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</si>
  <si>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</si>
  <si>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</si>
  <si>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</si>
  <si>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</si>
  <si>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</si>
  <si>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</si>
  <si>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</si>
  <si>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</si>
  <si>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</si>
  <si>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</si>
  <si>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</si>
  <si>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</si>
  <si>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</si>
  <si>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</si>
  <si>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</si>
  <si>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</si>
  <si>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</si>
  <si>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</si>
  <si>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</si>
  <si>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</si>
  <si>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</si>
  <si>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</si>
  <si>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</si>
  <si>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</si>
  <si>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</si>
  <si>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</si>
  <si>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</si>
  <si>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</si>
  <si>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</si>
  <si>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</si>
  <si>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</si>
  <si>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</si>
  <si>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</si>
  <si>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</si>
  <si>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</si>
  <si>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</si>
  <si>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</si>
  <si>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</si>
  <si>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</si>
  <si>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</si>
  <si>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</si>
  <si>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</si>
  <si>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</si>
  <si>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</si>
  <si>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</si>
  <si>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</si>
  <si>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</si>
  <si>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</si>
  <si>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</si>
  <si>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</si>
  <si>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</si>
  <si>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</si>
  <si>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</si>
  <si>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</si>
  <si>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</si>
  <si>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</si>
  <si>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</si>
  <si>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</si>
  <si>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</si>
  <si>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</si>
  <si>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</si>
  <si>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</si>
  <si>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</si>
  <si>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</si>
  <si>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</si>
  <si>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</si>
  <si>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</si>
  <si>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</si>
  <si>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</si>
  <si>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</si>
  <si>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</si>
  <si>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</si>
  <si>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</si>
  <si>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</si>
  <si>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</si>
  <si>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</si>
  <si>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</si>
  <si>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</si>
  <si>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</si>
  <si>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</si>
  <si>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</si>
  <si>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</si>
  <si>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</si>
  <si>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</si>
  <si>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</si>
  <si>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</si>
  <si>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</si>
  <si>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</si>
  <si>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</si>
  <si>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</si>
  <si>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</si>
  <si>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</si>
  <si>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</si>
  <si>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</si>
  <si>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</si>
  <si>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</si>
  <si>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</si>
  <si>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</si>
  <si>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</si>
  <si>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</si>
  <si>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</si>
  <si>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</si>
  <si>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</si>
  <si>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</si>
  <si>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</si>
  <si>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</si>
  <si>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</si>
  <si>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</si>
  <si>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</si>
  <si>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</si>
  <si>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</si>
  <si>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</si>
  <si>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</si>
  <si>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</si>
  <si>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</si>
  <si>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</si>
  <si>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</si>
  <si>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</si>
  <si>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</si>
  <si>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</si>
  <si>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</si>
  <si>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</si>
  <si>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</si>
  <si>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</si>
  <si>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</si>
  <si>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</si>
  <si>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</si>
  <si>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</si>
  <si>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</si>
  <si>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</si>
  <si>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</si>
  <si>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</si>
  <si>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</si>
  <si>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</si>
  <si>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</si>
  <si>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</si>
  <si>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</si>
  <si>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</si>
  <si>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</si>
  <si>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</si>
  <si>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</si>
  <si>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</si>
  <si>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</si>
  <si>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</si>
  <si>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</si>
  <si>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</si>
  <si>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</si>
  <si>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</si>
  <si>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</si>
  <si>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</si>
  <si>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</si>
  <si>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</si>
  <si>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</si>
  <si>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</si>
  <si>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</si>
  <si>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</si>
  <si>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</si>
  <si>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</si>
  <si>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</si>
  <si>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</si>
  <si>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</si>
  <si>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</si>
  <si>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</si>
  <si>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</si>
  <si>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</si>
  <si>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</si>
  <si>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</si>
  <si>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</si>
  <si>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</si>
  <si>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</si>
  <si>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</si>
  <si>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</si>
  <si>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</si>
  <si>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</si>
  <si>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</si>
  <si>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</si>
  <si>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</si>
  <si>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</si>
  <si>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</si>
  <si>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</si>
  <si>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</si>
  <si>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</si>
  <si>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</si>
  <si>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</si>
  <si>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</si>
  <si>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</si>
  <si>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</si>
  <si>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</si>
  <si>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</si>
  <si>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</si>
  <si>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</si>
  <si>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</si>
  <si>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</si>
  <si>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</si>
  <si>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</si>
  <si>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</si>
  <si>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</si>
  <si>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</si>
  <si>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</si>
  <si>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</si>
  <si>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</si>
  <si>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</si>
  <si>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</si>
  <si>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</si>
  <si>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</si>
  <si>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</si>
  <si>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</si>
  <si>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</si>
  <si>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</si>
  <si>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</si>
  <si>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</si>
  <si>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</si>
  <si>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</si>
  <si>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</si>
  <si>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</si>
  <si>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</si>
  <si>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</si>
  <si>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</si>
  <si>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</si>
  <si>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</si>
  <si>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</si>
  <si>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</si>
  <si>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</si>
  <si>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</si>
  <si>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</si>
  <si>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</si>
  <si>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</si>
  <si>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</si>
  <si>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</si>
  <si>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</si>
  <si>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</si>
  <si>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</si>
  <si>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</si>
  <si>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</si>
  <si>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</si>
  <si>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</si>
  <si>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</si>
  <si>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</si>
  <si>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</si>
  <si>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</si>
  <si>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</si>
  <si>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</si>
  <si>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</si>
  <si>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</si>
  <si>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</si>
  <si>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</si>
  <si>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</si>
  <si>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</si>
  <si>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</si>
  <si>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</si>
  <si>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</si>
  <si>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</si>
  <si>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</si>
  <si>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</si>
  <si>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</si>
  <si>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</si>
  <si>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</si>
  <si>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</si>
  <si>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</si>
  <si>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</si>
  <si>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</si>
  <si>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</si>
  <si>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</si>
  <si>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</si>
  <si>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</si>
  <si>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</si>
  <si>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</si>
  <si>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</si>
  <si>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</si>
  <si>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</si>
  <si>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</si>
  <si>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</si>
  <si>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</si>
  <si>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</si>
  <si>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</si>
  <si>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</si>
  <si>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</si>
  <si>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</si>
  <si>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</si>
  <si>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</si>
  <si>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</si>
  <si>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</si>
  <si>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</si>
  <si>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</si>
  <si>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</si>
  <si>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</si>
  <si>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</si>
  <si>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</si>
  <si>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</si>
  <si>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</si>
  <si>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</si>
  <si>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</si>
  <si>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</si>
  <si>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</si>
  <si>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</si>
  <si>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</si>
  <si>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</si>
  <si>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</si>
  <si>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</si>
  <si>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</si>
  <si>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</si>
  <si>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</si>
  <si>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</si>
  <si>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</si>
  <si>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</si>
  <si>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</si>
  <si>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</si>
  <si>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</si>
  <si>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</si>
  <si>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</si>
  <si>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</si>
  <si>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</si>
  <si>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</si>
  <si>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</si>
  <si>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</si>
  <si>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</si>
  <si>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</si>
  <si>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</si>
  <si>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</si>
  <si>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</si>
  <si>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</si>
  <si>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</si>
  <si>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</si>
  <si>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</si>
  <si>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</si>
  <si>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</si>
  <si>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</si>
  <si>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</si>
  <si>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</si>
  <si>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</si>
  <si>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</si>
  <si>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</si>
  <si>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</si>
  <si>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</si>
  <si>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</si>
  <si>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</si>
  <si>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</si>
  <si>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</si>
  <si>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</si>
  <si>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</si>
  <si>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</si>
  <si>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</si>
  <si>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</si>
  <si>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</si>
  <si>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</si>
  <si>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</si>
  <si>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</si>
  <si>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</si>
  <si>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</si>
  <si>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</si>
  <si>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</si>
  <si>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</si>
  <si>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</si>
  <si>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</si>
  <si>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</si>
  <si>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</si>
  <si>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</si>
  <si>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</si>
  <si>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</si>
  <si>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</si>
  <si>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</si>
  <si>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</si>
  <si>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</si>
  <si>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</si>
  <si>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</si>
  <si>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</si>
  <si>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</si>
  <si>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</si>
  <si>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</si>
  <si>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</si>
  <si>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</si>
  <si>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</si>
  <si>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</si>
  <si>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</si>
  <si>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</si>
  <si>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</si>
  <si>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</si>
  <si>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</si>
  <si>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</si>
  <si>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</si>
  <si>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</si>
  <si>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</si>
  <si>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</si>
  <si>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</si>
  <si>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</si>
  <si>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</si>
  <si>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</si>
  <si>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</si>
  <si>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</si>
  <si>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</si>
  <si>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</si>
  <si>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</si>
  <si>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</si>
  <si>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</si>
  <si>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</si>
  <si>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</si>
  <si>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</si>
  <si>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</si>
  <si>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</si>
  <si>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</si>
  <si>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</si>
  <si>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</si>
  <si>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</si>
  <si>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</si>
  <si>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</si>
  <si>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</si>
  <si>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</si>
  <si>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</si>
  <si>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</si>
  <si>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</si>
  <si>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</si>
  <si>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</si>
  <si>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</si>
  <si>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</si>
  <si>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</si>
  <si>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</si>
  <si>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</si>
  <si>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</si>
  <si>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</si>
  <si>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</si>
  <si>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</si>
  <si>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</si>
  <si>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</si>
  <si>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</si>
  <si>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</si>
  <si>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</si>
  <si>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</si>
  <si>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</si>
  <si>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</si>
  <si>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</si>
  <si>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</si>
  <si>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</si>
  <si>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</si>
  <si>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</si>
  <si>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</si>
  <si>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</si>
  <si>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</si>
  <si>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</si>
  <si>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</si>
  <si>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</si>
  <si>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</si>
  <si>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</si>
  <si>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</si>
  <si>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</si>
  <si>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</si>
  <si>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</si>
  <si>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</si>
  <si>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</si>
  <si>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</si>
  <si>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</si>
  <si>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</si>
  <si>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</si>
  <si>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</si>
  <si>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</si>
  <si>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</si>
  <si>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</si>
  <si>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</si>
  <si>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</si>
  <si>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</si>
  <si>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</si>
  <si>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</si>
  <si>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</si>
  <si>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</si>
  <si>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</si>
  <si>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</si>
  <si>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</si>
  <si>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</si>
  <si>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</si>
  <si>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</si>
  <si>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</si>
  <si>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</si>
  <si>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</si>
  <si>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</si>
  <si>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</si>
  <si>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</si>
  <si>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</si>
  <si>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</si>
  <si>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</si>
  <si>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</si>
  <si>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</si>
  <si>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</si>
  <si>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</si>
  <si>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</si>
  <si>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</si>
  <si>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</si>
  <si>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</si>
  <si>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</si>
  <si>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</si>
  <si>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</si>
  <si>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</si>
  <si>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</si>
  <si>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</si>
  <si>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</si>
  <si>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</si>
  <si>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</si>
  <si>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</si>
  <si>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</si>
  <si>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</si>
  <si>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</si>
  <si>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</si>
  <si>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</si>
  <si>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</si>
  <si>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</si>
  <si>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</si>
  <si>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</si>
  <si>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</si>
  <si>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</si>
  <si>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</si>
  <si>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</si>
  <si>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</si>
  <si>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</si>
  <si>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</si>
  <si>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</si>
  <si>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</si>
  <si>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</si>
  <si>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</si>
  <si>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</si>
  <si>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</si>
  <si>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</si>
  <si>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</si>
  <si>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</si>
  <si>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</si>
  <si>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</si>
  <si>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</si>
  <si>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</si>
  <si>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</si>
  <si>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</si>
  <si>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</si>
  <si>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</si>
  <si>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</si>
  <si>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</si>
  <si>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</si>
  <si>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</si>
  <si>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</si>
  <si>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</si>
  <si>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</si>
  <si>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</si>
  <si>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</si>
  <si>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</si>
  <si>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</si>
  <si>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</si>
  <si>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</si>
  <si>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</si>
  <si>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</si>
  <si>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</si>
  <si>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</si>
  <si>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</si>
  <si>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</si>
  <si>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</si>
  <si>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</si>
  <si>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</si>
  <si>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</si>
  <si>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</si>
  <si>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</si>
  <si>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</si>
  <si>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</si>
  <si>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</si>
  <si>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</si>
  <si>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</si>
  <si>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</si>
  <si>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</si>
  <si>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</si>
  <si>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</si>
  <si>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</si>
  <si>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</si>
  <si>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</si>
  <si>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</si>
  <si>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</si>
  <si>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</si>
  <si>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</si>
  <si>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</si>
  <si>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</si>
  <si>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</si>
  <si>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</si>
  <si>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</si>
  <si>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</si>
  <si>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</si>
  <si>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</si>
  <si>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</si>
  <si>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</si>
  <si>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</si>
  <si>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</si>
  <si>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</si>
  <si>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</si>
  <si>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</si>
  <si>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</si>
  <si>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</si>
  <si>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</si>
  <si>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</si>
  <si>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</si>
  <si>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</si>
  <si>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</si>
  <si>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</si>
  <si>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</si>
  <si>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</si>
  <si>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</si>
  <si>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</si>
  <si>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</si>
  <si>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</si>
  <si>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</si>
  <si>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</si>
  <si>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</si>
  <si>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</si>
  <si>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</si>
  <si>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</si>
  <si>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</si>
  <si>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</si>
  <si>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</si>
  <si>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</si>
  <si>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</si>
  <si>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</si>
  <si>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</si>
  <si>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</si>
  <si>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</si>
  <si>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</si>
  <si>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</si>
  <si>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</si>
  <si>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</si>
  <si>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</si>
  <si>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</si>
  <si>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</si>
  <si>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</si>
  <si>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</si>
  <si>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</si>
  <si>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</si>
  <si>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</si>
  <si>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</si>
  <si>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</si>
  <si>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</si>
  <si>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</si>
  <si>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</si>
  <si>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</si>
  <si>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</si>
  <si>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</si>
  <si>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</si>
  <si>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</si>
  <si>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</si>
  <si>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</si>
  <si>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</si>
  <si>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</si>
  <si>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</si>
  <si>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</si>
  <si>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</si>
  <si>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</si>
  <si>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</si>
  <si>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</si>
  <si>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</si>
  <si>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</si>
  <si>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</si>
  <si>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</si>
  <si>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</si>
  <si>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</si>
  <si>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</si>
  <si>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</si>
  <si>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</si>
  <si>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</si>
  <si>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</si>
  <si>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</si>
  <si>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</si>
  <si>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</si>
  <si>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</si>
  <si>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</si>
  <si>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</si>
  <si>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</si>
  <si>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</si>
  <si>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</si>
  <si>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</si>
  <si>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</si>
  <si>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</si>
  <si>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</si>
  <si>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</si>
  <si>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</si>
  <si>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</si>
  <si>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</si>
  <si>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</si>
  <si>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</si>
  <si>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</si>
  <si>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</si>
  <si>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</si>
  <si>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</si>
  <si>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</si>
  <si>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</si>
  <si>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</si>
  <si>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</si>
  <si>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</si>
  <si>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</si>
  <si>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</si>
  <si>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</si>
  <si>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</si>
  <si>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</si>
  <si>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</si>
  <si>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</si>
  <si>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</si>
  <si>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</si>
  <si>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</si>
  <si>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</si>
  <si>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</si>
  <si>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</si>
  <si>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</si>
  <si>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</si>
  <si>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</si>
  <si>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</si>
  <si>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</si>
  <si>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</si>
  <si>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</si>
  <si>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</si>
  <si>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</si>
  <si>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</si>
  <si>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</si>
  <si>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</si>
  <si>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</si>
  <si>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</si>
  <si>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</si>
  <si>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</si>
  <si>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</si>
  <si>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</si>
  <si>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</si>
  <si>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</si>
  <si>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</si>
  <si>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</si>
  <si>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</si>
  <si>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</si>
  <si>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</si>
  <si>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</si>
  <si>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</si>
  <si>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</si>
  <si>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</si>
  <si>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</si>
  <si>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</si>
  <si>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</si>
  <si>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</si>
  <si>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</si>
  <si>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</si>
  <si>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</si>
  <si>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</si>
  <si>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</si>
  <si>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</si>
  <si>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</si>
  <si>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</si>
  <si>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</si>
  <si>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</si>
  <si>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</si>
  <si>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</si>
  <si>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</si>
  <si>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</si>
  <si>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</si>
  <si>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</si>
  <si>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</si>
  <si>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</si>
  <si>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</si>
  <si>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</si>
  <si>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</si>
  <si>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</si>
  <si>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</si>
  <si>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</si>
  <si>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</si>
  <si>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</si>
  <si>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</si>
  <si>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</si>
  <si>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</si>
  <si>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</si>
  <si>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</si>
  <si>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</si>
  <si>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</si>
  <si>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</si>
  <si>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</si>
  <si>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</si>
  <si>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</si>
  <si>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</si>
  <si>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</si>
  <si>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</si>
  <si>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</si>
  <si>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</si>
  <si>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</si>
  <si>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</si>
  <si>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</si>
  <si>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</si>
  <si>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</si>
  <si>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</si>
  <si>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</si>
  <si>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</si>
  <si>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</si>
  <si>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</si>
  <si>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</si>
  <si>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</si>
  <si>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</si>
  <si>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</si>
  <si>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</si>
  <si>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</si>
  <si>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</si>
  <si>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</si>
  <si>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</si>
  <si>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</si>
  <si>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</si>
  <si>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</si>
  <si>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</si>
  <si>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</si>
  <si>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</si>
  <si>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</si>
  <si>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</si>
  <si>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</si>
  <si>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</si>
  <si>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</si>
  <si>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</si>
  <si>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</si>
  <si>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</si>
  <si>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</si>
  <si>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</si>
  <si>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</si>
  <si>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</si>
  <si>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</si>
  <si>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</si>
  <si>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</si>
  <si>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</si>
  <si>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</si>
  <si>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</si>
  <si>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</si>
  <si>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</si>
  <si>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</si>
  <si>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</si>
  <si>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</si>
  <si>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</si>
  <si>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</si>
  <si>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</si>
  <si>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</si>
  <si>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</si>
  <si>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</si>
  <si>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</si>
  <si>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</si>
  <si>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</si>
  <si>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</si>
  <si>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</si>
  <si>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</si>
  <si>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</si>
  <si>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</si>
  <si>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</si>
  <si>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</si>
  <si>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</si>
  <si>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</si>
  <si>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</si>
  <si>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</si>
  <si>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</si>
  <si>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</si>
  <si>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</si>
  <si>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</si>
  <si>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</si>
  <si>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</si>
  <si>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</si>
  <si>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</si>
  <si>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</si>
  <si>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</si>
  <si>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</si>
  <si>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</si>
  <si>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</si>
  <si>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</si>
  <si>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</si>
  <si>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</si>
  <si>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</si>
  <si>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</si>
  <si>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</si>
  <si>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</si>
  <si>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</si>
  <si>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</si>
  <si>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</si>
  <si>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</si>
  <si>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</si>
  <si>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</si>
  <si>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</si>
  <si>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</si>
  <si>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</si>
  <si>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</si>
  <si>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</si>
  <si>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</si>
  <si>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</si>
  <si>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</si>
  <si>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</si>
  <si>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</si>
  <si>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</si>
  <si>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</si>
  <si>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</si>
  <si>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</si>
  <si>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</si>
  <si>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</si>
  <si>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</si>
  <si>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</si>
  <si>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</si>
  <si>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</si>
  <si>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</si>
  <si>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</si>
  <si>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</si>
  <si>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</si>
  <si>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</si>
  <si>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</si>
  <si>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</si>
  <si>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</si>
  <si>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</si>
  <si>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</si>
  <si>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</si>
  <si>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</si>
  <si>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</si>
  <si>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</si>
  <si>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</si>
  <si>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</si>
  <si>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</si>
  <si>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</si>
  <si>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</si>
  <si>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</si>
  <si>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</si>
  <si>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</si>
  <si>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</si>
  <si>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</si>
  <si>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</si>
  <si>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</si>
  <si>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</si>
  <si>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</si>
  <si>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</si>
  <si>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</si>
  <si>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</si>
  <si>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</si>
  <si>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</si>
  <si>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</si>
  <si>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</si>
  <si>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</si>
  <si>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</si>
  <si>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</si>
  <si>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</si>
  <si>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</si>
  <si>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</si>
  <si>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</si>
  <si>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</si>
  <si>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</si>
  <si>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</si>
  <si>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</si>
  <si>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</si>
  <si>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</si>
  <si>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</si>
  <si>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</si>
  <si>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</si>
  <si>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</si>
  <si>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</si>
  <si>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</si>
  <si>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</si>
  <si>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</si>
  <si>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</si>
  <si>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</si>
  <si>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</si>
  <si>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</si>
  <si>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</si>
  <si>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</si>
  <si>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</si>
  <si>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</si>
  <si>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</si>
  <si>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</si>
  <si>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</si>
  <si>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</si>
  <si>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</si>
  <si>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</si>
  <si>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</si>
  <si>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</si>
  <si>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</si>
  <si>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</si>
  <si>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</si>
  <si>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</si>
  <si>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</si>
  <si>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</si>
  <si>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</si>
  <si>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</si>
  <si>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</si>
  <si>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</si>
  <si>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</si>
  <si>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</si>
  <si>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</si>
  <si>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</si>
  <si>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</si>
  <si>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</si>
  <si>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</si>
  <si>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</si>
  <si>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</si>
  <si>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</si>
  <si>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</si>
  <si>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</si>
  <si>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</si>
  <si>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</si>
  <si>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</si>
  <si>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</si>
  <si>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</si>
  <si>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</si>
  <si>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</si>
  <si>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</si>
  <si>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</si>
  <si>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</si>
  <si>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</si>
  <si>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</si>
  <si>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</si>
  <si>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</si>
  <si>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</si>
  <si>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</si>
  <si>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</si>
  <si>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</si>
  <si>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</si>
  <si>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</si>
  <si>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</si>
  <si>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</si>
  <si>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</si>
  <si>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</si>
  <si>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</si>
  <si>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</si>
  <si>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</si>
  <si>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</si>
  <si>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</si>
  <si>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</si>
  <si>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</si>
  <si>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</si>
  <si>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</si>
  <si>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</si>
  <si>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</si>
  <si>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</si>
  <si>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</si>
  <si>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</si>
  <si>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</si>
  <si>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</si>
  <si>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</si>
  <si>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</si>
  <si>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</si>
  <si>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</si>
  <si>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</si>
  <si>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</si>
  <si>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</si>
  <si>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</si>
  <si>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</si>
  <si>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</si>
  <si>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</si>
  <si>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</si>
  <si>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</si>
  <si>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</si>
  <si>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</si>
  <si>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</si>
  <si>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</si>
  <si>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</si>
  <si>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</si>
  <si>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</si>
  <si>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</si>
  <si>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</si>
  <si>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</si>
  <si>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</si>
  <si>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</si>
  <si>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</si>
  <si>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</si>
  <si>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</si>
  <si>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</si>
  <si>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</si>
  <si>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</si>
  <si>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</si>
  <si>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</si>
  <si>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</si>
  <si>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</si>
  <si>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</si>
  <si>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</si>
  <si>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</si>
  <si>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</si>
  <si>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</si>
  <si>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</si>
  <si>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</si>
  <si>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</si>
  <si>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</si>
  <si>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</si>
  <si>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</si>
  <si>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</si>
  <si>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</si>
  <si>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</si>
  <si>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</si>
  <si>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</si>
  <si>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</si>
  <si>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</si>
  <si>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</si>
  <si>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</si>
  <si>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</si>
  <si>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</si>
  <si>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</si>
  <si>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</si>
  <si>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</si>
  <si>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</si>
  <si>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</si>
  <si>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</si>
  <si>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</si>
  <si>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</si>
  <si>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</si>
  <si>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</si>
  <si>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</si>
  <si>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</si>
  <si>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</si>
  <si>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</si>
  <si>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</si>
  <si>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</si>
  <si>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</si>
  <si>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</si>
  <si>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</si>
  <si>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</si>
  <si>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</si>
  <si>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</si>
  <si>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</si>
  <si>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</si>
  <si>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</si>
  <si>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</si>
  <si>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</si>
  <si>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</si>
  <si>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</si>
  <si>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</si>
  <si>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</si>
  <si>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</si>
  <si>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</si>
  <si>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</si>
  <si>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</si>
  <si>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</si>
  <si>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</si>
  <si>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</si>
  <si>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</si>
  <si>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</si>
  <si>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</si>
  <si>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</si>
  <si>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</si>
  <si>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</si>
  <si>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</si>
  <si>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</si>
  <si>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</si>
  <si>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</si>
  <si>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</si>
  <si>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</si>
  <si>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</si>
  <si>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</si>
  <si>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</si>
  <si>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</si>
  <si>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</si>
  <si>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</si>
  <si>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</si>
  <si>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</si>
  <si>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</si>
  <si>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</si>
  <si>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</si>
  <si>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</si>
  <si>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</si>
  <si>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</si>
  <si>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</si>
  <si>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</si>
  <si>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</si>
  <si>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</si>
  <si>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</si>
  <si>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</si>
  <si>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</si>
  <si>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</si>
  <si>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</si>
  <si>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</si>
  <si>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</si>
  <si>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Bond Series 2015A</t>
  </si>
  <si>
    <t>Refunding Bond</t>
  </si>
  <si>
    <t>Bond Series 2015B</t>
  </si>
  <si>
    <t>Bus Purchase</t>
  </si>
  <si>
    <t>Note Payable</t>
  </si>
  <si>
    <t>Van Purchase</t>
  </si>
  <si>
    <t>Lease Purchase</t>
  </si>
  <si>
    <t>X</t>
  </si>
  <si>
    <t>Saline</t>
  </si>
  <si>
    <t>200A Illinois Ave</t>
  </si>
  <si>
    <t>Greg M McCalley PC</t>
  </si>
  <si>
    <t>Greg McCalley</t>
  </si>
  <si>
    <t>855 E Ferguson Ave</t>
  </si>
  <si>
    <t>Wood River</t>
  </si>
  <si>
    <t>IL</t>
  </si>
  <si>
    <t>Eldorado</t>
  </si>
  <si>
    <t>618 254-8680</t>
  </si>
  <si>
    <t>618 254-8188</t>
  </si>
  <si>
    <t>060-004547</t>
  </si>
  <si>
    <t>greg@dmacpa.com</t>
  </si>
  <si>
    <t>x</t>
  </si>
  <si>
    <t>Ryan Hobbs</t>
  </si>
  <si>
    <t>rhobbs@eldorado.k12.il.us</t>
  </si>
  <si>
    <t>618 273-6394</t>
  </si>
  <si>
    <t>618 273-9311</t>
  </si>
  <si>
    <t>pg 10 ED Fund (10) line 17  Acct# 1290 $250,000 is money from a tax anticipation warrant line of credit.</t>
  </si>
  <si>
    <t>pg 10 O&amp;M Fund (20) line 17  Acct# 1290 $567,575 is money from 1% facility sales tax.</t>
  </si>
  <si>
    <t>pg 12 ED Fund (10) line 107 Acct #1999 $199,976 is net proceeds from self-insurance premimums deducted from employee pay.</t>
  </si>
  <si>
    <t>pg 17 ED Fund (10) line 73 Acct #2900 $2,265 is formTitle 1 paid supplies.</t>
  </si>
  <si>
    <t xml:space="preserve">                       not work for debt.</t>
  </si>
  <si>
    <t>ED-Instruction-Computer Maint</t>
  </si>
  <si>
    <t>O&amp;M-Plant services-Trash</t>
  </si>
  <si>
    <t>Bulldog Systems Inc</t>
  </si>
  <si>
    <t>O&amp;M-Information Systems-telephone</t>
  </si>
  <si>
    <t>Clearwave Communications</t>
  </si>
  <si>
    <t>O&amp;M-Plant services-pest control</t>
  </si>
  <si>
    <t>Harrisburg Pest Control</t>
  </si>
  <si>
    <t>Bradfield's Inc</t>
  </si>
  <si>
    <t>O&amp;M-Gen Admin-security</t>
  </si>
  <si>
    <t>Dynamic Controls Inc</t>
  </si>
  <si>
    <t>Trans- Gen Admin-Drug Testing</t>
  </si>
  <si>
    <t>Health Source Service</t>
  </si>
  <si>
    <t>Eldorado Water Co</t>
  </si>
  <si>
    <t>O&amp;M-Plant services-water</t>
  </si>
  <si>
    <t>ED-Gen Admin- computer maint</t>
  </si>
  <si>
    <t>O&amp;M-Plant services-elavator maint</t>
  </si>
  <si>
    <t>Thyssenkrupp Elevator Corp</t>
  </si>
  <si>
    <t>ED-Instructional staff- computerized  bookkeeping</t>
  </si>
  <si>
    <t>West Interactive services</t>
  </si>
  <si>
    <t xml:space="preserve">O&amp;M-Plant services-electricity </t>
  </si>
  <si>
    <t>Mid American Energy Service</t>
  </si>
  <si>
    <t>See below</t>
  </si>
  <si>
    <t>Other:  The district purchases school paper products in concert with several other districts.</t>
  </si>
  <si>
    <t>WOVSED</t>
  </si>
  <si>
    <t>Special Education Cooperatives (WOVSED):  Edwards County CUSD #1, Gallatin County CUSD #7, Hamiliton County CUSD #10, Pope County CUSD #1,</t>
  </si>
  <si>
    <t>Carrier Mills-Stonefort CUSD #2, Galatia CUSD #1, Wabash CUSD #348, Fairfield PSD #112, Fairfield High School District #25, Geff CUSD #14, Jasper nCUSD #17</t>
  </si>
  <si>
    <t>New Hope CUSD #16, North Wayne CUSD #200, Carmi-Whitlow CUSD #5, Garyville Community CUSD #7</t>
  </si>
  <si>
    <t>.</t>
  </si>
  <si>
    <t>O&amp;M-Plant services-maint.</t>
  </si>
  <si>
    <t>Lary's electirc Service</t>
  </si>
  <si>
    <t>Maxitrol Security Systems</t>
  </si>
  <si>
    <t>O&amp;M-Plant services-security</t>
  </si>
  <si>
    <t>O&amp;M- Plant services- plumbing maint</t>
  </si>
  <si>
    <t>Parks Plumbing &amp; Sons LLC</t>
  </si>
  <si>
    <t>Phone MACS LLC</t>
  </si>
  <si>
    <t>ED-Instruction- Teacher Training</t>
  </si>
  <si>
    <t>Renaissance Learning</t>
  </si>
  <si>
    <t>Verizon</t>
  </si>
  <si>
    <t>DEPARTMENT OF AGRICULTURE</t>
  </si>
  <si>
    <t>PASSED THROUGH IL BOARD OF EDUCATION (ISBE)</t>
  </si>
  <si>
    <t>Non Cash Commodities (M)</t>
  </si>
  <si>
    <t>N/A</t>
  </si>
  <si>
    <t>10-555</t>
  </si>
  <si>
    <t>17-4210</t>
  </si>
  <si>
    <t>18-4210</t>
  </si>
  <si>
    <t>17-4220</t>
  </si>
  <si>
    <t>18-4220</t>
  </si>
  <si>
    <t>TOTAL CHILD NUTRITION CLUSTER FROM DEPARTMENT OF AGRICULTURE PASSED THRU ISBE</t>
  </si>
  <si>
    <t xml:space="preserve">U.S DEPARTMENT OF AGRICULTURE </t>
  </si>
  <si>
    <t xml:space="preserve">NSLP Equipment Assistance Grant Program </t>
  </si>
  <si>
    <t>18-4260</t>
  </si>
  <si>
    <t>Voc Tech Title IIIE Tech Prep</t>
  </si>
  <si>
    <t>17-4770</t>
  </si>
  <si>
    <t>18-4770</t>
  </si>
  <si>
    <t>DEPARTMENT OF EDUCATION PASSED THRU ISBE</t>
  </si>
  <si>
    <t>Title I Low Income (M)</t>
  </si>
  <si>
    <t>84.010A</t>
  </si>
  <si>
    <t>17-4300</t>
  </si>
  <si>
    <t>18-4300</t>
  </si>
  <si>
    <t>Title II Teacher Quality</t>
  </si>
  <si>
    <t>84.367A</t>
  </si>
  <si>
    <t>17-4107</t>
  </si>
  <si>
    <t>18-4107</t>
  </si>
  <si>
    <t>84.358B</t>
  </si>
  <si>
    <t>Title VI Rural Education Initiative</t>
  </si>
  <si>
    <t>17-4932</t>
  </si>
  <si>
    <t>18-4932</t>
  </si>
  <si>
    <t>FED-SP ED-IDEA</t>
  </si>
  <si>
    <t>84.3027A</t>
  </si>
  <si>
    <t>17-4625</t>
  </si>
  <si>
    <t>18-4400</t>
  </si>
  <si>
    <t>Title V Rural Education Initiative</t>
  </si>
  <si>
    <t>Ttile IVA  Student Support &amp; Academic Enrich</t>
  </si>
  <si>
    <t>84.424A</t>
  </si>
  <si>
    <t>TOTAL DEPARTMENT OF ED PASSED THROUGH ISBE</t>
  </si>
  <si>
    <t>US DEPARTMENT OF HEALTH AND HUMAN SERVICES PASSED THROUGH IL DEP OF HEALTHCARE AND FAMILY SERVICES</t>
  </si>
  <si>
    <t>Administrative Outreach</t>
  </si>
  <si>
    <t>17-4991</t>
  </si>
  <si>
    <t>18-4991</t>
  </si>
  <si>
    <t>TOTAL US DEPARTMENT OF HEALTH AND HUMAN SERVICES PASSED THROUGH IL DEP OF HEALTHCARE AND FAMILY MSERVICES</t>
  </si>
  <si>
    <t>TOTAL FEDERAL AWARDS</t>
  </si>
  <si>
    <t>PASSED THRU OHIO&amp;WABASH REG VOC SYS</t>
  </si>
  <si>
    <t>TOTAL PASSED THRU OHIO&amp;WABASH REG VOC SYS</t>
  </si>
  <si>
    <t>The accompanying Schedule of Expenditures of Federal Awards includes the federal grant activity of Eldorado CUSD #4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</si>
  <si>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NONE</t>
  </si>
  <si>
    <r>
      <t xml:space="preserve">The following amounts were expended in the form of non-cash assistance by Eldorado CUSD #4 and </t>
    </r>
    <r>
      <rPr>
        <b/>
        <sz val="9"/>
        <rFont val="Calibri"/>
        <family val="2"/>
        <scheme val="minor"/>
      </rPr>
      <t>should be</t>
    </r>
    <r>
      <rPr>
        <sz val="9"/>
        <rFont val="Calibri"/>
        <family val="2"/>
        <scheme val="minor"/>
      </rPr>
      <t xml:space="preserve"> included in the Schedule of Expenditures of Federal Awards:</t>
    </r>
  </si>
  <si>
    <t>ADVERSE</t>
  </si>
  <si>
    <t>Unmodified</t>
  </si>
  <si>
    <t>Child Nutrition Cluster</t>
  </si>
  <si>
    <t>Title-Low Income</t>
  </si>
  <si>
    <t>Specilized Data Systems</t>
  </si>
  <si>
    <t>ED-Gen Admin-drug testing</t>
  </si>
  <si>
    <t>Egypitian Health</t>
  </si>
  <si>
    <t>20-2540-300</t>
  </si>
  <si>
    <t>10-2540-300</t>
  </si>
  <si>
    <t>40-2550-300</t>
  </si>
  <si>
    <t>10-2520-300</t>
  </si>
  <si>
    <t>10-3000-300</t>
  </si>
  <si>
    <t>pg 13 ED Fund (10) line 171 Acct #3999 $32,499 is a state grant for after-school tutoring.</t>
  </si>
  <si>
    <t>pg 14 ED Fund (10) line 200 Acct# 4299 $21,100 is a Fed NSLP Equipment Assistance Grant.</t>
  </si>
  <si>
    <t>DOD Fresh Fruit and Vegatables (M)</t>
  </si>
  <si>
    <t>National School Lunch Program (M)</t>
  </si>
  <si>
    <t>National School Breakfast Program (M)</t>
  </si>
  <si>
    <t>pg 64 Debt  The District does not pay all its debt through the debt service fund.  Therefore the AFR autocheck does</t>
  </si>
  <si>
    <t>Eldorado CUSD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</si>
</sst>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style="thin">
        <color indexed="55"/>
      </top>
      <bottom style="double">
        <color indexed="64"/>
      </bottom>
      <diagonal/>
    </border>
    <border>
      <left style="thin">
        <color indexed="55"/>
      </left>
      <right style="thin">
        <color indexed="55"/>
      </right>
      <top style="thin">
        <color indexed="64"/>
      </top>
      <bottom style="thin">
        <color indexed="64"/>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51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6" xfId="12" applyNumberFormat="1" applyFont="1" applyBorder="1" applyAlignment="1" applyProtection="1">
      <alignment horizontal="right" vertical="center"/>
    </xf>
    <xf numFmtId="0" fontId="11" fillId="0" borderId="126" xfId="12" applyFont="1" applyBorder="1" applyAlignment="1" applyProtection="1">
      <alignment vertical="center"/>
    </xf>
    <xf numFmtId="0" fontId="14" fillId="0" borderId="129" xfId="12" applyFont="1" applyBorder="1" applyAlignment="1" applyProtection="1">
      <alignment vertical="center"/>
    </xf>
    <xf numFmtId="0" fontId="14" fillId="0" borderId="127" xfId="12" applyFont="1" applyBorder="1" applyAlignment="1" applyProtection="1">
      <alignment vertical="center"/>
    </xf>
    <xf numFmtId="1" fontId="10" fillId="0" borderId="0" xfId="0" applyNumberFormat="1" applyFont="1" applyAlignment="1">
      <alignment horizontal="center" vertical="center"/>
    </xf>
    <xf numFmtId="0" fontId="11" fillId="0" borderId="136"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2" xfId="0" applyFont="1" applyFill="1" applyBorder="1" applyAlignment="1" applyProtection="1">
      <alignment horizontal="left" vertical="center"/>
    </xf>
    <xf numFmtId="164" fontId="54" fillId="18" borderId="122" xfId="0" applyNumberFormat="1" applyFont="1" applyFill="1" applyBorder="1" applyAlignment="1" applyProtection="1">
      <alignment horizontal="center" vertical="center"/>
    </xf>
    <xf numFmtId="164" fontId="64" fillId="18" borderId="122" xfId="0" applyNumberFormat="1" applyFont="1" applyFill="1" applyBorder="1" applyAlignment="1" applyProtection="1">
      <alignment vertical="center"/>
    </xf>
    <xf numFmtId="0" fontId="77" fillId="11" borderId="123"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8"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1"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8"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9" xfId="0" applyFont="1" applyFill="1" applyBorder="1" applyAlignment="1" applyProtection="1">
      <alignment horizontal="center" vertical="center"/>
    </xf>
    <xf numFmtId="164" fontId="54" fillId="14" borderId="120" xfId="0" applyNumberFormat="1" applyFont="1" applyFill="1" applyBorder="1" applyAlignment="1" applyProtection="1">
      <alignment horizontal="center" vertical="center"/>
    </xf>
    <xf numFmtId="164" fontId="64" fillId="14" borderId="120"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8" xfId="0" applyNumberFormat="1" applyFont="1" applyBorder="1" applyAlignment="1" applyProtection="1">
      <alignment horizontal="center" vertical="center"/>
    </xf>
    <xf numFmtId="38" fontId="55" fillId="0" borderId="128" xfId="0" applyNumberFormat="1" applyFont="1" applyBorder="1" applyAlignment="1" applyProtection="1">
      <alignment horizontal="right"/>
      <protection locked="0"/>
    </xf>
    <xf numFmtId="38" fontId="55" fillId="3" borderId="128"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1" xfId="0" applyFont="1" applyFill="1" applyBorder="1" applyAlignment="1" applyProtection="1">
      <alignment horizontal="center" vertical="center"/>
    </xf>
    <xf numFmtId="38" fontId="55" fillId="0" borderId="125"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38" fontId="55" fillId="0" borderId="112" xfId="0" applyNumberFormat="1" applyFont="1" applyFill="1" applyBorder="1" applyAlignment="1" applyProtection="1">
      <alignment horizontal="right"/>
      <protection locked="0"/>
    </xf>
    <xf numFmtId="38" fontId="55" fillId="0" borderId="55"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8"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8"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6"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8" xfId="0" applyFont="1" applyFill="1" applyBorder="1" applyAlignment="1">
      <alignment horizontal="center" vertical="center"/>
    </xf>
    <xf numFmtId="38" fontId="55" fillId="0" borderId="128"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6"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7" xfId="0" applyNumberFormat="1" applyFont="1" applyFill="1" applyBorder="1" applyAlignment="1">
      <alignment horizontal="center" vertical="center"/>
    </xf>
    <xf numFmtId="49" fontId="62" fillId="0" borderId="128"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8"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6"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4" xfId="3" applyNumberFormat="1" applyFont="1" applyBorder="1" applyAlignment="1">
      <alignment horizontal="center" vertical="center"/>
    </xf>
    <xf numFmtId="0" fontId="57" fillId="0" borderId="134"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4"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3" xfId="0" applyFont="1" applyBorder="1"/>
    <xf numFmtId="0" fontId="55" fillId="0" borderId="13" xfId="0" applyFont="1" applyBorder="1"/>
    <xf numFmtId="0" fontId="55" fillId="0" borderId="126" xfId="0" applyFont="1" applyBorder="1" applyAlignment="1">
      <alignment horizontal="left" vertical="top"/>
    </xf>
    <xf numFmtId="164" fontId="113" fillId="0" borderId="129" xfId="0" applyNumberFormat="1" applyFont="1" applyBorder="1" applyAlignment="1">
      <alignment horizontal="right" vertical="top"/>
    </xf>
    <xf numFmtId="0" fontId="55" fillId="0" borderId="129" xfId="0" applyNumberFormat="1" applyFont="1" applyBorder="1" applyAlignment="1">
      <alignment horizontal="left" vertical="center" wrapText="1" indent="1"/>
    </xf>
    <xf numFmtId="0" fontId="85" fillId="0" borderId="128" xfId="0" applyFont="1" applyBorder="1" applyAlignment="1">
      <alignment horizontal="left" vertical="center" wrapText="1"/>
    </xf>
    <xf numFmtId="0" fontId="55" fillId="0" borderId="129" xfId="0" applyFont="1" applyBorder="1" applyAlignment="1">
      <alignment horizontal="left" vertical="top"/>
    </xf>
    <xf numFmtId="0" fontId="55" fillId="0" borderId="0" xfId="0" applyFont="1" applyBorder="1" applyAlignment="1">
      <alignment vertical="top"/>
    </xf>
    <xf numFmtId="0" fontId="115" fillId="0" borderId="129" xfId="0" applyNumberFormat="1" applyFont="1" applyBorder="1" applyAlignment="1">
      <alignment horizontal="left" vertical="center"/>
    </xf>
    <xf numFmtId="0" fontId="113" fillId="0" borderId="129" xfId="0" applyFont="1" applyBorder="1" applyAlignment="1">
      <alignment vertical="top"/>
    </xf>
    <xf numFmtId="0" fontId="113" fillId="0" borderId="129" xfId="0" applyFont="1" applyBorder="1" applyAlignment="1">
      <alignment horizontal="left" vertical="top"/>
    </xf>
    <xf numFmtId="0" fontId="55" fillId="0" borderId="126" xfId="0" applyFont="1" applyBorder="1" applyAlignment="1"/>
    <xf numFmtId="164" fontId="113" fillId="0" borderId="129" xfId="0" applyNumberFormat="1" applyFont="1" applyBorder="1" applyAlignment="1"/>
    <xf numFmtId="0" fontId="55" fillId="0" borderId="129" xfId="0" applyFont="1" applyBorder="1" applyAlignment="1"/>
    <xf numFmtId="0" fontId="62" fillId="0" borderId="127"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5"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6" xfId="0" applyFont="1" applyFill="1" applyBorder="1" applyAlignment="1"/>
    <xf numFmtId="0" fontId="54" fillId="0" borderId="129" xfId="0" applyFont="1" applyFill="1" applyBorder="1" applyAlignment="1">
      <alignment horizontal="left" vertical="top"/>
    </xf>
    <xf numFmtId="0" fontId="54" fillId="0" borderId="127"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7"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4" xfId="3" quotePrefix="1" applyNumberFormat="1" applyFont="1" applyBorder="1" applyAlignment="1" applyProtection="1">
      <alignment horizontal="left"/>
    </xf>
    <xf numFmtId="0" fontId="62" fillId="0" borderId="145" xfId="3" applyNumberFormat="1" applyFont="1" applyBorder="1" applyAlignment="1" applyProtection="1">
      <alignment horizontal="center"/>
    </xf>
    <xf numFmtId="0" fontId="62" fillId="0" borderId="145" xfId="3" applyNumberFormat="1" applyFont="1" applyBorder="1" applyProtection="1"/>
    <xf numFmtId="0" fontId="55" fillId="0" borderId="144" xfId="3" applyNumberFormat="1" applyFont="1" applyBorder="1" applyAlignment="1" applyProtection="1"/>
    <xf numFmtId="0" fontId="62" fillId="0" borderId="146" xfId="3" applyNumberFormat="1" applyFont="1" applyBorder="1" applyAlignment="1" applyProtection="1">
      <alignment horizontal="centerContinuous"/>
    </xf>
    <xf numFmtId="0" fontId="55" fillId="0" borderId="144" xfId="3" applyNumberFormat="1" applyFont="1" applyBorder="1" applyAlignment="1" applyProtection="1">
      <alignment horizontal="left"/>
    </xf>
    <xf numFmtId="0" fontId="62" fillId="0" borderId="146" xfId="3" applyNumberFormat="1" applyFont="1" applyBorder="1" applyProtection="1"/>
    <xf numFmtId="0" fontId="62" fillId="0" borderId="145"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4"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8"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5"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9"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7" xfId="3" applyFont="1" applyBorder="1" applyProtection="1"/>
    <xf numFmtId="0" fontId="55" fillId="0" borderId="148" xfId="3" applyFont="1" applyBorder="1" applyProtection="1">
      <protection locked="0"/>
    </xf>
    <xf numFmtId="0" fontId="55" fillId="0" borderId="147"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6" xfId="3" applyNumberFormat="1" applyFont="1" applyBorder="1" applyAlignment="1" applyProtection="1">
      <alignment horizontal="center"/>
    </xf>
    <xf numFmtId="0" fontId="64" fillId="0" borderId="145" xfId="3" applyFont="1" applyBorder="1" applyAlignment="1" applyProtection="1">
      <alignment horizontal="centerContinuous"/>
    </xf>
    <xf numFmtId="0" fontId="64" fillId="0" borderId="146"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6"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5" xfId="3" applyFont="1" applyBorder="1" applyProtection="1"/>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5" xfId="3" quotePrefix="1" applyFont="1" applyBorder="1" applyAlignment="1" applyProtection="1">
      <alignment horizontal="left"/>
    </xf>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5" xfId="3" applyFont="1" applyBorder="1" applyProtection="1"/>
    <xf numFmtId="0" fontId="57" fillId="0" borderId="0" xfId="3" applyFont="1" applyBorder="1" applyAlignment="1" applyProtection="1">
      <alignment horizontal="left"/>
    </xf>
    <xf numFmtId="0" fontId="64" fillId="0" borderId="145" xfId="3" applyFont="1" applyBorder="1" applyAlignment="1" applyProtection="1">
      <alignment horizontal="left"/>
    </xf>
    <xf numFmtId="0" fontId="57" fillId="9" borderId="145" xfId="3" applyFont="1" applyFill="1" applyBorder="1" applyProtection="1"/>
    <xf numFmtId="0" fontId="57" fillId="9" borderId="145" xfId="3" applyFont="1" applyFill="1" applyBorder="1" applyAlignment="1" applyProtection="1">
      <alignment horizontal="center"/>
    </xf>
    <xf numFmtId="0" fontId="57" fillId="9" borderId="146"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5"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50"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4" xfId="3" applyFont="1" applyFill="1" applyBorder="1" applyProtection="1"/>
    <xf numFmtId="0" fontId="64" fillId="9" borderId="145"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2" xfId="3" applyFont="1" applyBorder="1" applyAlignment="1" applyProtection="1">
      <alignment horizontal="left"/>
    </xf>
    <xf numFmtId="0" fontId="57" fillId="0" borderId="152" xfId="3" applyFont="1" applyBorder="1" applyProtection="1"/>
    <xf numFmtId="0" fontId="57" fillId="0" borderId="152"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9"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30"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8" xfId="0" applyNumberFormat="1" applyFont="1" applyBorder="1" applyAlignment="1">
      <alignment horizontal="left" vertical="center" wrapText="1" indent="1"/>
    </xf>
    <xf numFmtId="3" fontId="62" fillId="0" borderId="126"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8"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8" xfId="0" applyNumberFormat="1" applyFont="1" applyFill="1" applyBorder="1" applyAlignment="1" applyProtection="1">
      <alignment horizontal="right" vertical="center"/>
      <protection locked="0"/>
    </xf>
    <xf numFmtId="38" fontId="54" fillId="6" borderId="156" xfId="0" applyNumberFormat="1" applyFont="1" applyFill="1" applyBorder="1" applyAlignment="1">
      <alignment horizontal="center" vertical="center" wrapText="1"/>
    </xf>
    <xf numFmtId="38" fontId="54" fillId="6" borderId="156" xfId="0" applyNumberFormat="1" applyFont="1" applyFill="1" applyBorder="1" applyAlignment="1">
      <alignment horizontal="center" vertical="top" wrapText="1"/>
    </xf>
    <xf numFmtId="38" fontId="64" fillId="6" borderId="156"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1" xfId="17" applyFont="1" applyBorder="1" applyAlignment="1">
      <alignment horizontal="left" vertical="top"/>
    </xf>
    <xf numFmtId="0" fontId="126" fillId="0" borderId="142" xfId="17" applyFont="1" applyBorder="1" applyAlignment="1">
      <alignment horizontal="center" vertical="top"/>
    </xf>
    <xf numFmtId="0" fontId="126" fillId="0" borderId="143"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8" xfId="17" applyNumberFormat="1" applyFill="1" applyBorder="1" applyAlignment="1">
      <alignment horizontal="right" vertical="top"/>
    </xf>
    <xf numFmtId="38" fontId="7" fillId="23" borderId="159"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7" xfId="17" applyFont="1" applyFill="1" applyBorder="1" applyAlignment="1">
      <alignment horizontal="center" vertical="center" wrapText="1"/>
    </xf>
    <xf numFmtId="38" fontId="125" fillId="24" borderId="157" xfId="17" applyNumberFormat="1" applyFont="1" applyFill="1" applyBorder="1" applyAlignment="1">
      <alignment horizontal="center" vertical="center" wrapText="1"/>
    </xf>
    <xf numFmtId="3" fontId="55" fillId="24" borderId="132" xfId="0" applyNumberFormat="1" applyFont="1" applyFill="1" applyBorder="1" applyAlignment="1">
      <alignment horizontal="center"/>
    </xf>
    <xf numFmtId="3" fontId="55" fillId="24" borderId="132" xfId="0" applyNumberFormat="1" applyFont="1" applyFill="1" applyBorder="1" applyAlignment="1">
      <alignment horizontal="right"/>
    </xf>
    <xf numFmtId="3" fontId="55" fillId="24" borderId="133"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6"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8"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6" xfId="0" applyNumberFormat="1" applyFont="1" applyFill="1" applyBorder="1" applyAlignment="1">
      <alignment horizontal="left" vertical="center" wrapText="1"/>
    </xf>
    <xf numFmtId="49" fontId="64" fillId="18" borderId="128"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6"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8" xfId="0" applyFont="1" applyFill="1" applyBorder="1" applyAlignment="1">
      <alignment horizontal="left" vertical="center" wrapText="1"/>
    </xf>
    <xf numFmtId="3" fontId="64" fillId="18" borderId="128"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60" xfId="0" applyFont="1" applyBorder="1" applyAlignment="1">
      <alignment horizontal="centerContinuous" vertical="center"/>
    </xf>
    <xf numFmtId="0" fontId="55" fillId="0" borderId="161" xfId="0" applyFont="1" applyBorder="1" applyAlignment="1">
      <alignment horizontal="centerContinuous" vertical="center"/>
    </xf>
    <xf numFmtId="0" fontId="57" fillId="0" borderId="161"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7" fillId="21" borderId="158" xfId="17" applyFont="1" applyFill="1" applyBorder="1" applyAlignment="1" applyProtection="1">
      <alignment horizontal="left" vertical="top" wrapText="1"/>
    </xf>
    <xf numFmtId="49" fontId="127" fillId="21" borderId="158" xfId="17" applyNumberFormat="1" applyFont="1" applyFill="1" applyBorder="1" applyAlignment="1" applyProtection="1">
      <alignment horizontal="center" vertical="top"/>
    </xf>
    <xf numFmtId="0" fontId="127" fillId="21" borderId="158" xfId="17" applyFont="1" applyFill="1" applyBorder="1" applyAlignment="1" applyProtection="1">
      <alignment vertical="top"/>
    </xf>
    <xf numFmtId="38" fontId="127" fillId="21" borderId="158" xfId="17" applyNumberFormat="1" applyFont="1" applyFill="1" applyBorder="1" applyAlignment="1" applyProtection="1">
      <alignment horizontal="right" vertical="top"/>
    </xf>
    <xf numFmtId="38" fontId="127" fillId="21" borderId="158" xfId="17" applyNumberFormat="1" applyFont="1" applyFill="1" applyBorder="1" applyAlignment="1" applyProtection="1">
      <alignment vertical="top"/>
    </xf>
    <xf numFmtId="0" fontId="7" fillId="0" borderId="158" xfId="17" applyBorder="1" applyAlignment="1" applyProtection="1">
      <alignment horizontal="left" vertical="top" wrapText="1"/>
      <protection locked="0"/>
    </xf>
    <xf numFmtId="0" fontId="7" fillId="0" borderId="158" xfId="17" applyBorder="1" applyAlignment="1" applyProtection="1">
      <alignment vertical="top"/>
      <protection locked="0"/>
    </xf>
    <xf numFmtId="0" fontId="6" fillId="0" borderId="158" xfId="17" applyFont="1" applyBorder="1" applyAlignment="1" applyProtection="1">
      <alignment horizontal="left" vertical="top" wrapText="1"/>
      <protection locked="0"/>
    </xf>
    <xf numFmtId="0" fontId="6" fillId="0" borderId="158"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8" xfId="17" applyNumberFormat="1" applyBorder="1" applyAlignment="1" applyProtection="1">
      <alignment horizontal="center" vertical="center"/>
      <protection locked="0"/>
    </xf>
    <xf numFmtId="49" fontId="5" fillId="0" borderId="158"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8"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8"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38" fontId="7" fillId="17" borderId="159" xfId="17" applyNumberFormat="1" applyFill="1" applyBorder="1" applyAlignment="1" applyProtection="1">
      <alignment horizontal="right" vertical="top"/>
    </xf>
    <xf numFmtId="38" fontId="7" fillId="17" borderId="159" xfId="17" applyNumberFormat="1" applyFill="1" applyBorder="1" applyAlignment="1" applyProtection="1">
      <alignment vertical="top"/>
    </xf>
    <xf numFmtId="0" fontId="7" fillId="17" borderId="159" xfId="17" applyFill="1" applyBorder="1" applyAlignment="1" applyProtection="1">
      <alignment horizontal="left" vertical="top" wrapText="1"/>
    </xf>
    <xf numFmtId="49" fontId="7" fillId="17" borderId="159" xfId="17" applyNumberFormat="1" applyFill="1" applyBorder="1" applyAlignment="1" applyProtection="1">
      <alignment vertical="top"/>
    </xf>
    <xf numFmtId="0" fontId="7" fillId="17" borderId="159" xfId="17" applyFill="1" applyBorder="1" applyAlignment="1" applyProtection="1">
      <alignment vertical="top"/>
    </xf>
    <xf numFmtId="0" fontId="55" fillId="17" borderId="127" xfId="0" applyFont="1" applyFill="1" applyBorder="1"/>
    <xf numFmtId="37" fontId="55" fillId="17" borderId="127" xfId="0" applyNumberFormat="1" applyFont="1" applyFill="1" applyBorder="1"/>
    <xf numFmtId="37" fontId="55" fillId="17" borderId="129"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8"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8"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2"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8"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8"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3"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5"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60" xfId="18" applyFont="1" applyBorder="1" applyAlignment="1">
      <alignment horizontal="left" vertical="center" wrapText="1"/>
    </xf>
    <xf numFmtId="0" fontId="104" fillId="0" borderId="161"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3"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1" xfId="18" applyFont="1" applyBorder="1" applyAlignment="1">
      <alignment vertical="top"/>
    </xf>
    <xf numFmtId="0" fontId="48" fillId="0" borderId="142" xfId="18" applyFont="1" applyBorder="1" applyAlignment="1">
      <alignment vertical="top"/>
    </xf>
    <xf numFmtId="0" fontId="49" fillId="16" borderId="76" xfId="18" applyFont="1" applyFill="1" applyBorder="1" applyAlignment="1">
      <alignment vertical="top"/>
    </xf>
    <xf numFmtId="0" fontId="48" fillId="0" borderId="141" xfId="18" applyFont="1" applyBorder="1" applyAlignment="1">
      <alignment vertical="top" wrapText="1"/>
    </xf>
    <xf numFmtId="0" fontId="48" fillId="0" borderId="142"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9" xfId="18" applyFont="1" applyFill="1" applyBorder="1" applyAlignment="1">
      <alignment horizontal="center" vertical="center" wrapText="1"/>
    </xf>
    <xf numFmtId="0" fontId="104" fillId="24" borderId="164" xfId="18" applyFont="1" applyFill="1" applyBorder="1" applyAlignment="1">
      <alignment horizontal="center" vertical="center" wrapText="1"/>
    </xf>
    <xf numFmtId="0" fontId="104" fillId="18" borderId="140"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40"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8"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8"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3" fontId="62" fillId="0" borderId="8" xfId="3" applyNumberFormat="1" applyFont="1" applyBorder="1" applyAlignment="1" applyProtection="1">
      <alignment horizontal="left" vertical="center" wrapText="1"/>
      <protection locked="0"/>
    </xf>
    <xf numFmtId="3" fontId="62" fillId="0" borderId="166" xfId="3" applyNumberFormat="1" applyFont="1" applyBorder="1" applyAlignment="1" applyProtection="1">
      <alignment horizontal="left" vertical="center" wrapText="1"/>
      <protection locked="0"/>
    </xf>
    <xf numFmtId="169" fontId="62" fillId="0" borderId="166" xfId="3" applyNumberFormat="1" applyFont="1" applyBorder="1" applyAlignment="1" applyProtection="1">
      <alignment horizontal="center"/>
      <protection locked="0"/>
    </xf>
    <xf numFmtId="1" fontId="62" fillId="0" borderId="166" xfId="3" applyNumberFormat="1" applyFont="1" applyBorder="1" applyAlignment="1" applyProtection="1">
      <alignment horizontal="center"/>
      <protection locked="0"/>
    </xf>
    <xf numFmtId="3" fontId="62" fillId="0" borderId="166" xfId="3" applyNumberFormat="1" applyFont="1" applyBorder="1" applyAlignment="1" applyProtection="1">
      <alignment horizontal="center"/>
      <protection locked="0"/>
    </xf>
    <xf numFmtId="3" fontId="62" fillId="0" borderId="50" xfId="3" applyNumberFormat="1" applyFont="1" applyBorder="1" applyAlignment="1" applyProtection="1">
      <alignment horizontal="left" vertical="center" wrapText="1"/>
      <protection locked="0"/>
    </xf>
    <xf numFmtId="1" fontId="62" fillId="0" borderId="77" xfId="3" applyNumberFormat="1" applyFont="1" applyBorder="1" applyAlignment="1" applyProtection="1">
      <alignment horizontal="center"/>
      <protection locked="0"/>
    </xf>
    <xf numFmtId="3" fontId="62" fillId="0" borderId="77" xfId="3" applyNumberFormat="1" applyFont="1" applyBorder="1" applyAlignment="1" applyProtection="1">
      <alignment horizontal="center"/>
      <protection locked="0"/>
    </xf>
    <xf numFmtId="3" fontId="62" fillId="0" borderId="167" xfId="3" applyNumberFormat="1" applyFont="1" applyBorder="1" applyAlignment="1" applyProtection="1">
      <alignment horizontal="center"/>
      <protection locked="0"/>
    </xf>
    <xf numFmtId="169" fontId="62" fillId="0" borderId="168" xfId="3" applyNumberFormat="1" applyFont="1" applyBorder="1" applyAlignment="1" applyProtection="1">
      <alignment horizontal="center"/>
      <protection locked="0"/>
    </xf>
    <xf numFmtId="1" fontId="62" fillId="0" borderId="168" xfId="3" applyNumberFormat="1" applyFont="1" applyBorder="1" applyAlignment="1" applyProtection="1">
      <alignment horizontal="center"/>
      <protection locked="0"/>
    </xf>
    <xf numFmtId="3" fontId="62" fillId="0" borderId="168" xfId="3" applyNumberFormat="1" applyFont="1" applyBorder="1" applyAlignment="1" applyProtection="1">
      <alignment horizontal="center"/>
      <protection locked="0"/>
    </xf>
    <xf numFmtId="0" fontId="2" fillId="0" borderId="158" xfId="17" applyFont="1" applyBorder="1" applyAlignment="1" applyProtection="1">
      <alignment horizontal="left" vertical="top" wrapText="1"/>
      <protection locked="0"/>
    </xf>
    <xf numFmtId="0" fontId="2"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49" fontId="1" fillId="0" borderId="158" xfId="17" applyNumberFormat="1" applyFont="1" applyBorder="1" applyAlignment="1" applyProtection="1">
      <alignment horizontal="center"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6" xfId="12" applyNumberFormat="1" applyFont="1" applyBorder="1" applyAlignment="1" applyProtection="1">
      <alignment horizontal="left" vertical="center" indent="1"/>
      <protection locked="0"/>
    </xf>
    <xf numFmtId="0" fontId="13" fillId="0" borderId="129"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9"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7" xfId="12"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9"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9" xfId="12" applyFont="1" applyBorder="1" applyAlignment="1" applyProtection="1">
      <alignment horizontal="center" vertical="center" wrapText="1"/>
    </xf>
    <xf numFmtId="0" fontId="135" fillId="0" borderId="127"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9" xfId="3" applyFont="1" applyBorder="1" applyAlignment="1" applyProtection="1">
      <alignment horizontal="left" vertical="top"/>
      <protection locked="0"/>
    </xf>
    <xf numFmtId="0" fontId="55" fillId="0" borderId="127" xfId="3" applyFont="1" applyBorder="1" applyAlignment="1" applyProtection="1">
      <alignment horizontal="left" vertical="top"/>
      <protection locked="0"/>
    </xf>
    <xf numFmtId="0" fontId="54" fillId="0" borderId="135"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9" xfId="0" applyFont="1" applyBorder="1" applyAlignment="1" applyProtection="1">
      <alignment horizontal="left" vertical="top" wrapText="1"/>
      <protection locked="0"/>
    </xf>
    <xf numFmtId="0" fontId="55" fillId="0" borderId="127"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7"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7"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18" borderId="21" xfId="0" applyFont="1" applyFill="1" applyBorder="1" applyAlignment="1" applyProtection="1">
      <alignment horizontal="left" vertical="center"/>
    </xf>
    <xf numFmtId="0" fontId="64" fillId="18" borderId="14" xfId="0"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32"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16" borderId="10" xfId="0" applyNumberFormat="1" applyFont="1" applyFill="1" applyBorder="1" applyAlignment="1" applyProtection="1">
      <alignment horizontal="center" vertical="center" wrapText="1"/>
    </xf>
    <xf numFmtId="3" fontId="64" fillId="16" borderId="127"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5" fillId="13" borderId="13" xfId="0" applyNumberFormat="1" applyFont="1" applyFill="1" applyBorder="1" applyAlignment="1" applyProtection="1">
      <alignment horizontal="center" vertical="center"/>
    </xf>
    <xf numFmtId="0" fontId="57" fillId="13"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3"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8" xfId="0" applyFont="1" applyFill="1" applyBorder="1" applyAlignment="1" applyProtection="1">
      <alignment horizontal="left" vertical="center" indent="1"/>
    </xf>
    <xf numFmtId="0" fontId="64" fillId="17" borderId="147" xfId="0" applyFont="1" applyFill="1" applyBorder="1" applyAlignment="1" applyProtection="1">
      <alignment horizontal="left" vertical="center" indent="1"/>
    </xf>
    <xf numFmtId="0" fontId="64" fillId="3" borderId="148" xfId="0" applyFont="1" applyFill="1" applyBorder="1" applyAlignment="1" applyProtection="1">
      <alignment horizontal="left" vertical="center"/>
    </xf>
    <xf numFmtId="0" fontId="64" fillId="3" borderId="149" xfId="0"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8" xfId="0" applyFont="1" applyBorder="1" applyAlignment="1" applyProtection="1">
      <alignment horizontal="left" vertical="center" wrapText="1" indent="1"/>
    </xf>
    <xf numFmtId="0" fontId="62" fillId="0" borderId="149"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7" xfId="0" applyFont="1" applyFill="1" applyBorder="1" applyAlignment="1" applyProtection="1">
      <alignment horizontal="left" vertical="center" indent="1"/>
    </xf>
    <xf numFmtId="0" fontId="65" fillId="24" borderId="148" xfId="0" applyFont="1" applyFill="1" applyBorder="1" applyAlignment="1" applyProtection="1">
      <alignment horizontal="left" vertical="center" indent="1"/>
    </xf>
    <xf numFmtId="0" fontId="65" fillId="24" borderId="149"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41" xfId="17" applyFont="1" applyFill="1" applyBorder="1" applyAlignment="1">
      <alignment horizontal="center" vertical="center"/>
    </xf>
    <xf numFmtId="0" fontId="126" fillId="24" borderId="142" xfId="17" applyFont="1" applyFill="1" applyBorder="1" applyAlignment="1">
      <alignment horizontal="center" vertical="center"/>
    </xf>
    <xf numFmtId="0" fontId="126" fillId="24" borderId="143"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8"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2" xfId="18" applyFont="1" applyBorder="1" applyAlignment="1" applyProtection="1">
      <alignment horizontal="center" vertical="top" wrapText="1"/>
      <protection locked="0"/>
    </xf>
    <xf numFmtId="0" fontId="4" fillId="0" borderId="143"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2" xfId="18" applyFont="1" applyBorder="1" applyAlignment="1" applyProtection="1">
      <alignment horizontal="center" vertical="top" wrapText="1"/>
      <protection locked="0"/>
    </xf>
    <xf numFmtId="0" fontId="49" fillId="0" borderId="143"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4" xfId="3" applyFont="1" applyBorder="1" applyAlignment="1">
      <alignment horizontal="center" vertical="center" wrapText="1"/>
    </xf>
    <xf numFmtId="0" fontId="73" fillId="0" borderId="134" xfId="3" applyNumberFormat="1" applyFont="1" applyBorder="1" applyAlignment="1">
      <alignment horizontal="center"/>
    </xf>
    <xf numFmtId="0" fontId="57" fillId="0" borderId="135" xfId="3" applyNumberFormat="1" applyFont="1" applyBorder="1" applyAlignment="1" applyProtection="1">
      <alignment horizontal="center"/>
      <protection locked="0"/>
    </xf>
    <xf numFmtId="171" fontId="57" fillId="0" borderId="135" xfId="3" applyNumberFormat="1" applyFont="1" applyBorder="1" applyAlignment="1" applyProtection="1">
      <alignment horizontal="center"/>
      <protection locked="0"/>
    </xf>
    <xf numFmtId="0" fontId="57" fillId="0" borderId="135"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3"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09" fillId="0" borderId="117"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6" xfId="0" applyFont="1" applyFill="1" applyBorder="1" applyAlignment="1">
      <alignment horizontal="center" vertical="center"/>
    </xf>
    <xf numFmtId="0" fontId="112" fillId="13" borderId="129" xfId="0" applyFont="1" applyFill="1" applyBorder="1" applyAlignment="1">
      <alignment horizontal="center" vertical="center"/>
    </xf>
    <xf numFmtId="0" fontId="112" fillId="13" borderId="154"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6" xfId="0" applyNumberFormat="1" applyFont="1" applyFill="1" applyBorder="1" applyAlignment="1">
      <alignment horizontal="center" vertical="top"/>
    </xf>
    <xf numFmtId="164" fontId="113" fillId="13" borderId="129" xfId="0" applyNumberFormat="1" applyFont="1" applyFill="1" applyBorder="1" applyAlignment="1">
      <alignment horizontal="center" vertical="top"/>
    </xf>
    <xf numFmtId="164" fontId="113" fillId="13" borderId="154"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9" xfId="0" applyNumberFormat="1" applyFont="1" applyBorder="1" applyAlignment="1">
      <alignment horizontal="left" vertical="center" wrapText="1"/>
    </xf>
    <xf numFmtId="0" fontId="57" fillId="0" borderId="127"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7" xfId="3" applyNumberFormat="1" applyFont="1" applyBorder="1" applyProtection="1"/>
    <xf numFmtId="0" fontId="55" fillId="0" borderId="148"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8" xfId="3" applyNumberFormat="1"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65" fillId="0" borderId="149"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50" xfId="3" applyNumberFormat="1" applyFont="1" applyBorder="1" applyAlignment="1" applyProtection="1">
      <protection locked="0"/>
    </xf>
    <xf numFmtId="0" fontId="65" fillId="0" borderId="151"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5" fillId="0" borderId="0" xfId="3" applyNumberFormat="1" applyFont="1" applyAlignment="1">
      <alignment horizont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4" fillId="0" borderId="150"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1"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50" xfId="3" applyNumberFormat="1" applyFont="1" applyBorder="1" applyProtection="1">
      <protection locked="0"/>
    </xf>
    <xf numFmtId="6" fontId="62" fillId="0" borderId="151"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50"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1"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50" xfId="3" applyFont="1" applyBorder="1" applyAlignment="1" applyProtection="1">
      <alignment horizontal="center"/>
    </xf>
    <xf numFmtId="0" fontId="62" fillId="0" borderId="76" xfId="3" applyFont="1" applyBorder="1" applyAlignment="1" applyProtection="1">
      <alignment horizontal="center"/>
    </xf>
    <xf numFmtId="0" fontId="62" fillId="0" borderId="151" xfId="3" applyFont="1" applyBorder="1" applyAlignment="1" applyProtection="1">
      <alignment horizontal="center"/>
    </xf>
    <xf numFmtId="38" fontId="62" fillId="0" borderId="150"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1"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5"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1004454</xdr:colOff>
          <xdr:row>2</xdr:row>
          <xdr:rowOff>95251</xdr:rowOff>
        </xdr:from>
        <xdr:to>
          <xdr:col>1</xdr:col>
          <xdr:colOff>1916256</xdr:colOff>
          <xdr:row>6</xdr:row>
          <xdr:rowOff>133351</xdr:rowOff>
        </xdr:to>
        <xdr:sp macro="" textlink="">
          <xdr:nvSpPr>
            <xdr:cNvPr id="51201" name="Object 1" hidden="1">
              <a:extLst>
                <a:ext uri="{63B3BB69-23CF-44E3-9099-C40C66FF867C}">
                  <a14:compatExt spid="_x0000_s5120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2112819</xdr:colOff>
          <xdr:row>2</xdr:row>
          <xdr:rowOff>75335</xdr:rowOff>
        </xdr:from>
        <xdr:to>
          <xdr:col>1</xdr:col>
          <xdr:colOff>3027219</xdr:colOff>
          <xdr:row>6</xdr:row>
          <xdr:rowOff>113435</xdr:rowOff>
        </xdr:to>
        <xdr:sp macro="" textlink="">
          <xdr:nvSpPr>
            <xdr:cNvPr id="51202" name="Object 2" hidden="1">
              <a:extLst>
                <a:ext uri="{63B3BB69-23CF-44E3-9099-C40C66FF867C}">
                  <a14:compatExt spid="_x0000_s512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3281796</xdr:colOff>
          <xdr:row>2</xdr:row>
          <xdr:rowOff>43296</xdr:rowOff>
        </xdr:from>
        <xdr:to>
          <xdr:col>2</xdr:col>
          <xdr:colOff>210416</xdr:colOff>
          <xdr:row>6</xdr:row>
          <xdr:rowOff>81396</xdr:rowOff>
        </xdr:to>
        <xdr:sp macro="" textlink="">
          <xdr:nvSpPr>
            <xdr:cNvPr id="51203" name="Object 3" hidden="1">
              <a:extLst>
                <a:ext uri="{63B3BB69-23CF-44E3-9099-C40C66FF867C}">
                  <a14:compatExt spid="_x0000_s5120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package" Target="../embeddings/Microsoft_Word_Document.docx"/><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45" t="s">
        <v>425</v>
      </c>
      <c r="J1" s="2046"/>
      <c r="K1" s="2046"/>
      <c r="L1" s="2046"/>
      <c r="M1" s="2046"/>
      <c r="N1" s="2046"/>
      <c r="O1" s="2046"/>
      <c r="P1" s="2046"/>
      <c r="Q1" s="2046"/>
      <c r="R1" s="2046"/>
      <c r="S1" s="2046"/>
    </row>
    <row r="2" spans="1:28" ht="12" customHeight="1" x14ac:dyDescent="0.2">
      <c r="A2" s="47" t="s">
        <v>1684</v>
      </c>
      <c r="D2" s="48"/>
      <c r="I2" s="2047" t="s">
        <v>1036</v>
      </c>
      <c r="J2" s="2046"/>
      <c r="K2" s="2046"/>
      <c r="L2" s="2046"/>
      <c r="M2" s="2046"/>
      <c r="N2" s="2046"/>
      <c r="O2" s="2046"/>
      <c r="P2" s="2046"/>
      <c r="Q2" s="2046"/>
      <c r="R2" s="2046"/>
      <c r="S2" s="2046"/>
    </row>
    <row r="3" spans="1:28" ht="12" customHeight="1" x14ac:dyDescent="0.2">
      <c r="A3" s="155" t="s">
        <v>1685</v>
      </c>
      <c r="B3" s="156"/>
      <c r="C3" s="156"/>
      <c r="D3" s="157"/>
      <c r="I3" s="2047" t="s">
        <v>54</v>
      </c>
      <c r="J3" s="2046"/>
      <c r="K3" s="2046"/>
      <c r="L3" s="2046"/>
      <c r="M3" s="2046"/>
      <c r="N3" s="2046"/>
      <c r="O3" s="2046"/>
      <c r="P3" s="2046"/>
      <c r="Q3" s="2046"/>
      <c r="R3" s="2046"/>
      <c r="S3" s="2046"/>
    </row>
    <row r="4" spans="1:28" ht="12" customHeight="1" x14ac:dyDescent="0.2">
      <c r="A4" s="37"/>
      <c r="I4" s="2047" t="s">
        <v>545</v>
      </c>
      <c r="J4" s="2046"/>
      <c r="K4" s="2046"/>
      <c r="L4" s="2046"/>
      <c r="M4" s="2046"/>
      <c r="N4" s="2046"/>
      <c r="O4" s="2046"/>
      <c r="P4" s="2046"/>
      <c r="Q4" s="2046"/>
      <c r="R4" s="2046"/>
      <c r="S4" s="2046"/>
    </row>
    <row r="5" spans="1:28" ht="14.1" customHeight="1" x14ac:dyDescent="0.2">
      <c r="B5" s="104" t="s">
        <v>2082</v>
      </c>
      <c r="C5" s="26" t="s">
        <v>966</v>
      </c>
      <c r="D5" s="84"/>
      <c r="E5" s="84"/>
      <c r="H5" s="38"/>
      <c r="I5" s="2054" t="s">
        <v>701</v>
      </c>
      <c r="J5" s="1999"/>
      <c r="K5" s="1999"/>
      <c r="L5" s="1999"/>
      <c r="M5" s="1999"/>
      <c r="N5" s="1999"/>
      <c r="O5" s="1999"/>
      <c r="P5" s="1999"/>
      <c r="Q5" s="1999"/>
      <c r="R5" s="1999"/>
      <c r="S5" s="1999"/>
    </row>
    <row r="6" spans="1:28" ht="14.1" customHeight="1" x14ac:dyDescent="0.2">
      <c r="B6" s="104"/>
      <c r="C6" s="26" t="s">
        <v>967</v>
      </c>
      <c r="D6" s="84"/>
      <c r="E6" s="84"/>
      <c r="I6" s="2053" t="s">
        <v>938</v>
      </c>
      <c r="J6" s="1999"/>
      <c r="K6" s="1999"/>
      <c r="L6" s="1999"/>
      <c r="M6" s="1999"/>
      <c r="N6" s="1999"/>
      <c r="O6" s="1999"/>
      <c r="P6" s="1999"/>
      <c r="Q6" s="1999"/>
      <c r="R6" s="1999"/>
      <c r="S6" s="1999"/>
    </row>
    <row r="7" spans="1:28" ht="12.2" customHeight="1" x14ac:dyDescent="0.2">
      <c r="I7" s="2048">
        <v>43281</v>
      </c>
      <c r="J7" s="2049"/>
      <c r="K7" s="2049"/>
      <c r="L7" s="2049"/>
      <c r="M7" s="2049"/>
      <c r="N7" s="2049"/>
      <c r="O7" s="2049"/>
      <c r="P7" s="2049"/>
      <c r="Q7" s="2049"/>
      <c r="R7" s="2049"/>
      <c r="S7" s="204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50" t="s">
        <v>695</v>
      </c>
      <c r="J9" s="2051"/>
      <c r="K9" s="2051"/>
      <c r="L9" s="2051"/>
      <c r="M9" s="2051"/>
      <c r="N9" s="2051"/>
      <c r="O9" s="2051"/>
      <c r="P9" s="2051"/>
      <c r="Q9" s="2051"/>
      <c r="R9" s="2051"/>
      <c r="S9" s="2052"/>
      <c r="T9" s="1995" t="s">
        <v>554</v>
      </c>
      <c r="U9" s="1996"/>
      <c r="V9" s="1996"/>
      <c r="W9" s="1996"/>
      <c r="X9" s="1996"/>
      <c r="Y9" s="1996"/>
      <c r="Z9" s="1996"/>
      <c r="AA9" s="1997"/>
    </row>
    <row r="10" spans="1:28" ht="13.5" customHeight="1" x14ac:dyDescent="0.2">
      <c r="A10" s="2004" t="s">
        <v>696</v>
      </c>
      <c r="B10" s="2005"/>
      <c r="C10" s="2005"/>
      <c r="D10" s="2005"/>
      <c r="E10" s="2005"/>
      <c r="F10" s="2005"/>
      <c r="G10" s="2005"/>
      <c r="H10" s="2006"/>
      <c r="I10" s="29"/>
      <c r="J10" s="30"/>
      <c r="K10" s="28"/>
      <c r="R10" s="30"/>
      <c r="S10" s="30"/>
      <c r="T10" s="1998"/>
      <c r="U10" s="1999"/>
      <c r="V10" s="1999"/>
      <c r="W10" s="1999"/>
      <c r="X10" s="1999"/>
      <c r="Y10" s="1999"/>
      <c r="Z10" s="1999"/>
      <c r="AA10" s="2000"/>
    </row>
    <row r="11" spans="1:28" ht="14.25" customHeight="1" x14ac:dyDescent="0.2">
      <c r="A11" s="2007" t="s">
        <v>1012</v>
      </c>
      <c r="B11" s="2008"/>
      <c r="C11" s="2008"/>
      <c r="D11" s="2008"/>
      <c r="E11" s="2008"/>
      <c r="F11" s="2008"/>
      <c r="G11" s="2008"/>
      <c r="H11" s="2009"/>
      <c r="I11" s="27"/>
      <c r="J11" s="74"/>
      <c r="K11" s="27"/>
      <c r="O11" s="148" t="s">
        <v>2095</v>
      </c>
      <c r="P11" s="100" t="s">
        <v>210</v>
      </c>
      <c r="Q11" s="30"/>
      <c r="R11" s="28"/>
      <c r="S11" s="27"/>
      <c r="T11" s="2001"/>
      <c r="U11" s="2002"/>
      <c r="V11" s="2002"/>
      <c r="W11" s="2002"/>
      <c r="X11" s="2002"/>
      <c r="Y11" s="2002"/>
      <c r="Z11" s="2002"/>
      <c r="AA11" s="2003"/>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15">
        <v>20083004026</v>
      </c>
      <c r="B13" s="2016"/>
      <c r="C13" s="2016"/>
      <c r="D13" s="2016"/>
      <c r="E13" s="2016"/>
      <c r="F13" s="2016"/>
      <c r="G13" s="2016"/>
      <c r="H13" s="2017"/>
      <c r="I13" s="31"/>
      <c r="J13" s="30"/>
      <c r="K13" s="28"/>
      <c r="L13" s="30"/>
      <c r="M13" s="30"/>
      <c r="N13" s="30"/>
      <c r="O13" s="30"/>
      <c r="P13" s="30"/>
      <c r="Q13" s="30"/>
      <c r="R13" s="30"/>
      <c r="S13" s="30"/>
      <c r="T13" s="2020" t="s">
        <v>2085</v>
      </c>
      <c r="U13" s="2021"/>
      <c r="V13" s="2021"/>
      <c r="W13" s="2021"/>
      <c r="X13" s="2021"/>
      <c r="Y13" s="2022"/>
      <c r="Z13" s="2022"/>
      <c r="AA13" s="202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13" t="s">
        <v>2083</v>
      </c>
      <c r="B15" s="2018"/>
      <c r="C15" s="2018"/>
      <c r="D15" s="2018"/>
      <c r="E15" s="2018"/>
      <c r="F15" s="2018"/>
      <c r="G15" s="2018"/>
      <c r="H15" s="2019"/>
      <c r="T15" s="1981" t="s">
        <v>2086</v>
      </c>
      <c r="U15" s="1982"/>
      <c r="V15" s="1982"/>
      <c r="W15" s="1982"/>
      <c r="X15" s="1982"/>
      <c r="Y15" s="2024"/>
      <c r="Z15" s="2024"/>
      <c r="AA15" s="202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73" t="s">
        <v>2209</v>
      </c>
      <c r="B17" s="2043"/>
      <c r="C17" s="2043"/>
      <c r="D17" s="2043"/>
      <c r="E17" s="2043"/>
      <c r="F17" s="2043"/>
      <c r="G17" s="2043"/>
      <c r="H17" s="2044"/>
      <c r="T17" s="2030" t="s">
        <v>2087</v>
      </c>
      <c r="U17" s="2031"/>
      <c r="V17" s="2031"/>
      <c r="W17" s="2031"/>
      <c r="X17" s="2031"/>
      <c r="Y17" s="2031"/>
      <c r="Z17" s="2031"/>
      <c r="AA17" s="2032"/>
    </row>
    <row r="18" spans="1:27" ht="13.5" customHeight="1" x14ac:dyDescent="0.2">
      <c r="A18" s="85" t="s">
        <v>551</v>
      </c>
      <c r="B18" s="76"/>
      <c r="C18" s="72"/>
      <c r="D18" s="76"/>
      <c r="E18" s="76"/>
      <c r="F18" s="76"/>
      <c r="G18" s="76"/>
      <c r="H18" s="56"/>
      <c r="I18" s="2040" t="s">
        <v>697</v>
      </c>
      <c r="J18" s="2041"/>
      <c r="K18" s="2041"/>
      <c r="L18" s="2041"/>
      <c r="M18" s="2041"/>
      <c r="N18" s="2041"/>
      <c r="O18" s="2041"/>
      <c r="P18" s="2041"/>
      <c r="Q18" s="2041"/>
      <c r="R18" s="2041"/>
      <c r="S18" s="2042"/>
      <c r="T18" s="85" t="s">
        <v>735</v>
      </c>
      <c r="U18" s="51"/>
      <c r="V18" s="72"/>
      <c r="W18" s="50"/>
      <c r="X18" s="85" t="s">
        <v>284</v>
      </c>
      <c r="Y18" s="81"/>
      <c r="Z18" s="159" t="s">
        <v>698</v>
      </c>
      <c r="AA18" s="46"/>
    </row>
    <row r="19" spans="1:27" ht="13.5" customHeight="1" x14ac:dyDescent="0.2">
      <c r="A19" s="2013" t="s">
        <v>2084</v>
      </c>
      <c r="B19" s="2014"/>
      <c r="C19" s="2014"/>
      <c r="D19" s="2014"/>
      <c r="E19" s="2014"/>
      <c r="F19" s="2014"/>
      <c r="G19" s="2014"/>
      <c r="H19" s="2012"/>
      <c r="I19" s="30"/>
      <c r="J19" s="99"/>
      <c r="K19" s="40"/>
      <c r="L19" s="38"/>
      <c r="M19" s="112" t="s">
        <v>333</v>
      </c>
      <c r="P19" s="27"/>
      <c r="Q19" s="27"/>
      <c r="R19" s="27"/>
      <c r="S19" s="31"/>
      <c r="T19" s="2013" t="s">
        <v>2088</v>
      </c>
      <c r="U19" s="2011"/>
      <c r="V19" s="2011"/>
      <c r="W19" s="2012"/>
      <c r="X19" s="2028" t="s">
        <v>2089</v>
      </c>
      <c r="Y19" s="2029"/>
      <c r="Z19" s="2026">
        <v>62095</v>
      </c>
      <c r="AA19" s="202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10" t="s">
        <v>2090</v>
      </c>
      <c r="B21" s="2011"/>
      <c r="C21" s="2011"/>
      <c r="D21" s="2011"/>
      <c r="E21" s="2011"/>
      <c r="F21" s="2011"/>
      <c r="G21" s="2011"/>
      <c r="H21" s="2012"/>
      <c r="I21" s="2036" t="s">
        <v>699</v>
      </c>
      <c r="J21" s="1999"/>
      <c r="K21" s="1999"/>
      <c r="L21" s="1999"/>
      <c r="M21" s="1999"/>
      <c r="N21" s="1999"/>
      <c r="O21" s="1999"/>
      <c r="P21" s="1999"/>
      <c r="Q21" s="1999"/>
      <c r="R21" s="1999"/>
      <c r="S21" s="2000"/>
      <c r="T21" s="1978" t="s">
        <v>2092</v>
      </c>
      <c r="U21" s="1979"/>
      <c r="V21" s="1979"/>
      <c r="W21" s="1979"/>
      <c r="X21" s="1992" t="s">
        <v>2091</v>
      </c>
      <c r="Y21" s="1993"/>
      <c r="Z21" s="1993"/>
      <c r="AA21" s="1994"/>
    </row>
    <row r="22" spans="1:27" ht="13.5" customHeight="1" x14ac:dyDescent="0.2">
      <c r="A22" s="87" t="s">
        <v>552</v>
      </c>
      <c r="B22" s="59"/>
      <c r="C22" s="59"/>
      <c r="D22" s="59"/>
      <c r="E22" s="59"/>
      <c r="F22" s="59"/>
      <c r="G22" s="59"/>
      <c r="H22" s="60"/>
      <c r="I22" s="2037" t="s">
        <v>1504</v>
      </c>
      <c r="J22" s="2038"/>
      <c r="K22" s="2038"/>
      <c r="L22" s="2038"/>
      <c r="M22" s="2038"/>
      <c r="N22" s="2038"/>
      <c r="O22" s="2038"/>
      <c r="P22" s="2038"/>
      <c r="Q22" s="2038"/>
      <c r="R22" s="2038"/>
      <c r="S22" s="2039"/>
      <c r="T22" s="85" t="s">
        <v>1596</v>
      </c>
      <c r="U22" s="51"/>
      <c r="V22" s="72"/>
      <c r="W22" s="51"/>
      <c r="X22" s="160" t="s">
        <v>1385</v>
      </c>
      <c r="Z22" s="45"/>
      <c r="AA22" s="46"/>
    </row>
    <row r="23" spans="1:27" ht="13.5" customHeight="1" x14ac:dyDescent="0.2">
      <c r="A23" s="2033"/>
      <c r="B23" s="2034"/>
      <c r="C23" s="2034"/>
      <c r="D23" s="2034"/>
      <c r="E23" s="2034"/>
      <c r="F23" s="2034"/>
      <c r="G23" s="2034"/>
      <c r="H23" s="2035"/>
      <c r="T23" s="1973" t="s">
        <v>2093</v>
      </c>
      <c r="U23" s="1974"/>
      <c r="V23" s="1974"/>
      <c r="W23" s="1974"/>
      <c r="X23" s="1989">
        <v>43373</v>
      </c>
      <c r="Y23" s="1990"/>
      <c r="Z23" s="1990"/>
      <c r="AA23" s="1991"/>
    </row>
    <row r="24" spans="1:27" ht="14.1" customHeight="1" x14ac:dyDescent="0.2">
      <c r="A24" s="88" t="s">
        <v>698</v>
      </c>
      <c r="B24" s="49"/>
      <c r="C24" s="49"/>
      <c r="D24" s="49"/>
      <c r="E24" s="49"/>
      <c r="F24" s="49"/>
      <c r="G24" s="49"/>
      <c r="H24" s="61"/>
      <c r="J24" s="2075">
        <f>IF(B5="x",IF(AUDITCHECK!D29="AFR form Incomplete.","",IF(AUDITCHECK!D29="Deficit reduction plan is required.","School District must complete a deficit reduction plan in the 2018-2019 Budget",)),"")</f>
        <v>0</v>
      </c>
      <c r="K24" s="2075"/>
      <c r="L24" s="2075"/>
      <c r="M24" s="2075"/>
      <c r="N24" s="2075"/>
      <c r="O24" s="2075"/>
      <c r="P24" s="2075"/>
      <c r="Q24" s="2075"/>
      <c r="R24" s="2075"/>
      <c r="S24" s="2076"/>
      <c r="T24" s="105" t="s">
        <v>552</v>
      </c>
      <c r="U24" s="106"/>
      <c r="V24" s="106"/>
      <c r="W24" s="106"/>
      <c r="X24" s="107"/>
      <c r="Y24" s="107"/>
      <c r="Z24" s="107"/>
      <c r="AA24" s="108"/>
    </row>
    <row r="25" spans="1:27" ht="14.1" customHeight="1" x14ac:dyDescent="0.2">
      <c r="A25" s="2010">
        <v>62930</v>
      </c>
      <c r="B25" s="2011"/>
      <c r="C25" s="2011"/>
      <c r="D25" s="2011"/>
      <c r="E25" s="2011"/>
      <c r="F25" s="2011"/>
      <c r="G25" s="2011"/>
      <c r="H25" s="2012"/>
      <c r="I25" s="113"/>
      <c r="J25" s="2077"/>
      <c r="K25" s="2077"/>
      <c r="L25" s="2077"/>
      <c r="M25" s="2077"/>
      <c r="N25" s="2077"/>
      <c r="O25" s="2077"/>
      <c r="P25" s="2077"/>
      <c r="Q25" s="2077"/>
      <c r="R25" s="2077"/>
      <c r="S25" s="2078"/>
      <c r="T25" s="1970" t="s">
        <v>2094</v>
      </c>
      <c r="U25" s="1971"/>
      <c r="V25" s="1971"/>
      <c r="W25" s="1971"/>
      <c r="X25" s="1971"/>
      <c r="Y25" s="1971"/>
      <c r="Z25" s="1971"/>
      <c r="AA25" s="197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68" t="s">
        <v>1591</v>
      </c>
      <c r="J27" s="2041"/>
      <c r="K27" s="2041"/>
      <c r="L27" s="2041"/>
      <c r="M27" s="2041"/>
      <c r="N27" s="2041"/>
      <c r="O27" s="2041"/>
      <c r="P27" s="2041"/>
      <c r="Q27" s="2041"/>
      <c r="R27" s="2041"/>
      <c r="S27" s="204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2095</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2095</v>
      </c>
      <c r="C30" s="124" t="s">
        <v>1226</v>
      </c>
      <c r="D30" s="28"/>
      <c r="E30" s="28"/>
      <c r="F30" s="140"/>
      <c r="G30" s="114"/>
      <c r="H30" s="114"/>
      <c r="I30" s="54"/>
      <c r="J30" s="148" t="s">
        <v>2095</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2095</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2095</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14"/>
      <c r="Q35" s="2011"/>
      <c r="R35" s="201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73" t="s">
        <v>2096</v>
      </c>
      <c r="B38" s="2043"/>
      <c r="C38" s="2043"/>
      <c r="D38" s="2043"/>
      <c r="E38" s="2043"/>
      <c r="F38" s="2011"/>
      <c r="G38" s="2011"/>
      <c r="H38" s="2012"/>
      <c r="I38" s="2062"/>
      <c r="J38" s="1982"/>
      <c r="K38" s="1982"/>
      <c r="L38" s="1982"/>
      <c r="M38" s="1982"/>
      <c r="N38" s="1982"/>
      <c r="O38" s="1982"/>
      <c r="P38" s="1983"/>
      <c r="Q38" s="1983"/>
      <c r="R38" s="1983"/>
      <c r="S38" s="1984"/>
      <c r="T38" s="1981"/>
      <c r="U38" s="1982"/>
      <c r="V38" s="1982"/>
      <c r="W38" s="1982"/>
      <c r="X38" s="1983"/>
      <c r="Y38" s="1983"/>
      <c r="Z38" s="1983"/>
      <c r="AA38" s="1984"/>
    </row>
    <row r="39" spans="1:27" ht="12" customHeight="1" x14ac:dyDescent="0.2">
      <c r="A39" s="2066" t="s">
        <v>552</v>
      </c>
      <c r="B39" s="2067"/>
      <c r="C39" s="72"/>
      <c r="D39" s="69"/>
      <c r="E39" s="69"/>
      <c r="F39" s="79"/>
      <c r="G39" s="69"/>
      <c r="H39" s="56"/>
      <c r="I39" s="2066" t="s">
        <v>552</v>
      </c>
      <c r="J39" s="2067"/>
      <c r="K39" s="2067"/>
      <c r="L39" s="2067"/>
      <c r="M39" s="2067"/>
      <c r="N39" s="67"/>
      <c r="O39" s="72"/>
      <c r="P39" s="72"/>
      <c r="Q39" s="78"/>
      <c r="R39" s="72"/>
      <c r="S39" s="56"/>
      <c r="T39" s="72" t="s">
        <v>552</v>
      </c>
      <c r="U39" s="51"/>
      <c r="V39" s="72"/>
      <c r="W39" s="50"/>
      <c r="X39" s="78"/>
      <c r="Y39" s="45"/>
      <c r="Z39" s="45"/>
      <c r="AA39" s="46"/>
    </row>
    <row r="40" spans="1:27" ht="13.5" customHeight="1" x14ac:dyDescent="0.2">
      <c r="A40" s="2069" t="s">
        <v>2097</v>
      </c>
      <c r="B40" s="2070"/>
      <c r="C40" s="2071"/>
      <c r="D40" s="2071"/>
      <c r="E40" s="2071"/>
      <c r="F40" s="2072"/>
      <c r="G40" s="2072"/>
      <c r="H40" s="2073"/>
      <c r="I40" s="1985"/>
      <c r="J40" s="1987"/>
      <c r="K40" s="1987"/>
      <c r="L40" s="1987"/>
      <c r="M40" s="1987"/>
      <c r="N40" s="1987"/>
      <c r="O40" s="1987"/>
      <c r="P40" s="1987"/>
      <c r="Q40" s="1987"/>
      <c r="R40" s="1987"/>
      <c r="S40" s="1988"/>
      <c r="T40" s="1985"/>
      <c r="U40" s="1986"/>
      <c r="V40" s="1987"/>
      <c r="W40" s="1987"/>
      <c r="X40" s="1987"/>
      <c r="Y40" s="1987"/>
      <c r="Z40" s="1987"/>
      <c r="AA40" s="198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9" t="s">
        <v>2098</v>
      </c>
      <c r="B42" s="2060"/>
      <c r="C42" s="2061"/>
      <c r="D42" s="2074" t="s">
        <v>2099</v>
      </c>
      <c r="E42" s="2060"/>
      <c r="F42" s="2060"/>
      <c r="G42" s="2060"/>
      <c r="H42" s="2061"/>
      <c r="I42" s="1980"/>
      <c r="J42" s="1976"/>
      <c r="K42" s="1976"/>
      <c r="L42" s="1976"/>
      <c r="M42" s="1976"/>
      <c r="N42" s="1976"/>
      <c r="O42" s="1977"/>
      <c r="P42" s="1975"/>
      <c r="Q42" s="1976"/>
      <c r="R42" s="1976"/>
      <c r="S42" s="1977"/>
      <c r="T42" s="1980"/>
      <c r="U42" s="1976"/>
      <c r="V42" s="1976"/>
      <c r="W42" s="1977"/>
      <c r="X42" s="1975"/>
      <c r="Y42" s="1976"/>
      <c r="Z42" s="1976"/>
      <c r="AA42" s="1977"/>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63"/>
      <c r="B44" s="2064"/>
      <c r="C44" s="2064"/>
      <c r="D44" s="2064"/>
      <c r="E44" s="2064"/>
      <c r="F44" s="2064"/>
      <c r="G44" s="2064"/>
      <c r="H44" s="2065"/>
      <c r="I44" s="2055"/>
      <c r="J44" s="2057"/>
      <c r="K44" s="2057"/>
      <c r="L44" s="2057"/>
      <c r="M44" s="2057"/>
      <c r="N44" s="2057"/>
      <c r="O44" s="2057"/>
      <c r="P44" s="2057"/>
      <c r="Q44" s="2057"/>
      <c r="R44" s="2057"/>
      <c r="S44" s="2058"/>
      <c r="T44" s="2055"/>
      <c r="U44" s="2056"/>
      <c r="V44" s="2056"/>
      <c r="W44" s="2056"/>
      <c r="X44" s="2056"/>
      <c r="Y44" s="2056"/>
      <c r="Z44" s="2057"/>
      <c r="AA44" s="205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&amp;C89</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9" sqref="E19"/>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14" t="s">
        <v>1903</v>
      </c>
      <c r="B2" s="1550" t="s">
        <v>2035</v>
      </c>
      <c r="C2" s="715" t="s">
        <v>1908</v>
      </c>
      <c r="D2" s="715" t="s">
        <v>1909</v>
      </c>
      <c r="E2" s="715" t="s">
        <v>1910</v>
      </c>
      <c r="F2" s="715" t="s">
        <v>1911</v>
      </c>
    </row>
    <row r="3" spans="1:6" ht="12" customHeight="1" x14ac:dyDescent="0.2">
      <c r="A3" s="2215"/>
      <c r="B3" s="1547"/>
      <c r="C3" s="1548"/>
      <c r="D3" s="1549" t="s">
        <v>274</v>
      </c>
      <c r="E3" s="1548"/>
      <c r="F3" s="1549" t="s">
        <v>275</v>
      </c>
    </row>
    <row r="4" spans="1:6" ht="13.7" customHeight="1" x14ac:dyDescent="0.2">
      <c r="A4" s="716" t="s">
        <v>1217</v>
      </c>
      <c r="B4" s="1771">
        <f>'Revenues 9-14'!C5</f>
        <v>1369861</v>
      </c>
      <c r="C4" s="1546"/>
      <c r="D4" s="1774">
        <f>B4-C4</f>
        <v>1369861</v>
      </c>
      <c r="E4" s="1546">
        <v>1436146</v>
      </c>
      <c r="F4" s="1774">
        <f>E4-C4</f>
        <v>1436146</v>
      </c>
    </row>
    <row r="5" spans="1:6" ht="13.7" customHeight="1" x14ac:dyDescent="0.2">
      <c r="A5" s="716" t="s">
        <v>925</v>
      </c>
      <c r="B5" s="1772">
        <f>'Revenues 9-14'!D5</f>
        <v>293808</v>
      </c>
      <c r="C5" s="585"/>
      <c r="D5" s="1775">
        <f t="shared" ref="D5:D18" si="0">B5-C5</f>
        <v>293808</v>
      </c>
      <c r="E5" s="585">
        <v>292615</v>
      </c>
      <c r="F5" s="1775">
        <f>E5-C5</f>
        <v>292615</v>
      </c>
    </row>
    <row r="6" spans="1:6" ht="13.7" customHeight="1" x14ac:dyDescent="0.2">
      <c r="A6" s="716" t="s">
        <v>431</v>
      </c>
      <c r="B6" s="1772">
        <f>'Revenues 9-14'!E5</f>
        <v>261888</v>
      </c>
      <c r="C6" s="585"/>
      <c r="D6" s="1775">
        <f t="shared" si="0"/>
        <v>261888</v>
      </c>
      <c r="E6" s="585">
        <v>239996</v>
      </c>
      <c r="F6" s="1775">
        <f t="shared" ref="F6:F18" si="1">E6-C6</f>
        <v>239996</v>
      </c>
    </row>
    <row r="7" spans="1:6" ht="13.7" customHeight="1" x14ac:dyDescent="0.2">
      <c r="A7" s="716" t="s">
        <v>157</v>
      </c>
      <c r="B7" s="1772">
        <f>'Revenues 9-14'!F5</f>
        <v>117524</v>
      </c>
      <c r="C7" s="585"/>
      <c r="D7" s="1775">
        <f t="shared" si="0"/>
        <v>117524</v>
      </c>
      <c r="E7" s="585">
        <v>107711</v>
      </c>
      <c r="F7" s="1775">
        <f t="shared" si="1"/>
        <v>107711</v>
      </c>
    </row>
    <row r="8" spans="1:6" ht="13.7" customHeight="1" x14ac:dyDescent="0.2">
      <c r="A8" s="716" t="s">
        <v>1241</v>
      </c>
      <c r="B8" s="1772">
        <f>'Revenues 9-14'!G5</f>
        <v>221318</v>
      </c>
      <c r="C8" s="585"/>
      <c r="D8" s="1775">
        <f t="shared" si="0"/>
        <v>221318</v>
      </c>
      <c r="E8" s="585">
        <v>220000</v>
      </c>
      <c r="F8" s="1775">
        <f t="shared" si="1"/>
        <v>220000</v>
      </c>
    </row>
    <row r="9" spans="1:6" ht="13.7" customHeight="1" x14ac:dyDescent="0.2">
      <c r="A9" s="716" t="s">
        <v>428</v>
      </c>
      <c r="B9" s="1772">
        <f>'Revenues 9-14'!H5</f>
        <v>0</v>
      </c>
      <c r="C9" s="585"/>
      <c r="D9" s="1775">
        <f t="shared" si="0"/>
        <v>0</v>
      </c>
      <c r="E9" s="585">
        <v>0</v>
      </c>
      <c r="F9" s="1775">
        <f t="shared" si="1"/>
        <v>0</v>
      </c>
    </row>
    <row r="10" spans="1:6" ht="13.7" customHeight="1" x14ac:dyDescent="0.2">
      <c r="A10" s="716" t="s">
        <v>427</v>
      </c>
      <c r="B10" s="1772">
        <f>'Revenues 9-14'!I5</f>
        <v>29380</v>
      </c>
      <c r="C10" s="585"/>
      <c r="D10" s="1775">
        <f t="shared" si="0"/>
        <v>29380</v>
      </c>
      <c r="E10" s="585">
        <v>32912</v>
      </c>
      <c r="F10" s="1775">
        <f t="shared" si="1"/>
        <v>32912</v>
      </c>
    </row>
    <row r="11" spans="1:6" x14ac:dyDescent="0.2">
      <c r="A11" s="716" t="s">
        <v>429</v>
      </c>
      <c r="B11" s="1772">
        <f>'Revenues 9-14'!J5</f>
        <v>60364</v>
      </c>
      <c r="C11" s="585"/>
      <c r="D11" s="1775">
        <f t="shared" si="0"/>
        <v>60364</v>
      </c>
      <c r="E11" s="585">
        <v>89000</v>
      </c>
      <c r="F11" s="1775">
        <f t="shared" si="1"/>
        <v>89000</v>
      </c>
    </row>
    <row r="12" spans="1:6" ht="13.7" customHeight="1" x14ac:dyDescent="0.2">
      <c r="A12" s="716" t="s">
        <v>159</v>
      </c>
      <c r="B12" s="1772">
        <f>'Revenues 9-14'!K5</f>
        <v>0</v>
      </c>
      <c r="C12" s="585"/>
      <c r="D12" s="1775">
        <f t="shared" si="0"/>
        <v>0</v>
      </c>
      <c r="E12" s="585">
        <v>0</v>
      </c>
      <c r="F12" s="1775">
        <f t="shared" si="1"/>
        <v>0</v>
      </c>
    </row>
    <row r="13" spans="1:6" ht="13.7" customHeight="1" x14ac:dyDescent="0.2">
      <c r="A13" s="716" t="s">
        <v>993</v>
      </c>
      <c r="B13" s="1772">
        <f>SUM('Revenues 9-14'!C6:D6)</f>
        <v>0</v>
      </c>
      <c r="C13" s="585"/>
      <c r="D13" s="1775">
        <f t="shared" si="0"/>
        <v>0</v>
      </c>
      <c r="E13" s="585">
        <v>0</v>
      </c>
      <c r="F13" s="1775">
        <f t="shared" si="1"/>
        <v>0</v>
      </c>
    </row>
    <row r="14" spans="1:6" ht="13.7" customHeight="1" x14ac:dyDescent="0.2">
      <c r="A14" s="716" t="s">
        <v>430</v>
      </c>
      <c r="B14" s="1772">
        <f>SUM('Revenues 9-14'!C7:D7,'Revenues 9-14'!F7:H7)</f>
        <v>23505</v>
      </c>
      <c r="C14" s="585"/>
      <c r="D14" s="1775">
        <f t="shared" si="0"/>
        <v>23505</v>
      </c>
      <c r="E14" s="585">
        <v>23936</v>
      </c>
      <c r="F14" s="1775">
        <f t="shared" si="1"/>
        <v>23936</v>
      </c>
    </row>
    <row r="15" spans="1:6" ht="13.7" customHeight="1" x14ac:dyDescent="0.2">
      <c r="A15" s="716" t="s">
        <v>1220</v>
      </c>
      <c r="B15" s="1772">
        <f>'Revenues 9-14'!E9</f>
        <v>0</v>
      </c>
      <c r="C15" s="585"/>
      <c r="D15" s="1775">
        <f t="shared" si="0"/>
        <v>0</v>
      </c>
      <c r="E15" s="585">
        <v>0</v>
      </c>
      <c r="F15" s="1775">
        <f t="shared" si="1"/>
        <v>0</v>
      </c>
    </row>
    <row r="16" spans="1:6" ht="13.7" customHeight="1" x14ac:dyDescent="0.2">
      <c r="A16" s="716" t="s">
        <v>1221</v>
      </c>
      <c r="B16" s="1772">
        <f>'Revenues 9-14'!G8</f>
        <v>155928</v>
      </c>
      <c r="C16" s="585"/>
      <c r="D16" s="1775">
        <f t="shared" si="0"/>
        <v>155928</v>
      </c>
      <c r="E16" s="585">
        <v>155000</v>
      </c>
      <c r="F16" s="1775">
        <f t="shared" si="1"/>
        <v>155000</v>
      </c>
    </row>
    <row r="17" spans="1:6" ht="13.7" customHeight="1" x14ac:dyDescent="0.2">
      <c r="A17" s="716" t="s">
        <v>1222</v>
      </c>
      <c r="B17" s="1772">
        <f>'Revenues 9-14'!C10</f>
        <v>0</v>
      </c>
      <c r="C17" s="585"/>
      <c r="D17" s="1775">
        <f t="shared" si="0"/>
        <v>0</v>
      </c>
      <c r="E17" s="585">
        <v>0</v>
      </c>
      <c r="F17" s="1775">
        <f t="shared" si="1"/>
        <v>0</v>
      </c>
    </row>
    <row r="18" spans="1:6" ht="13.7" customHeight="1" x14ac:dyDescent="0.2">
      <c r="A18" s="716" t="s">
        <v>786</v>
      </c>
      <c r="B18" s="1772">
        <f>SUM('Revenues 9-14'!C11:K11)</f>
        <v>0</v>
      </c>
      <c r="C18" s="585"/>
      <c r="D18" s="1775">
        <f t="shared" si="0"/>
        <v>0</v>
      </c>
      <c r="E18" s="585">
        <v>0</v>
      </c>
      <c r="F18" s="1775">
        <f t="shared" si="1"/>
        <v>0</v>
      </c>
    </row>
    <row r="19" spans="1:6" ht="13.7" customHeight="1" thickBot="1" x14ac:dyDescent="0.25">
      <c r="A19" s="1776" t="s">
        <v>1223</v>
      </c>
      <c r="B19" s="1773">
        <f>SUM(B4:B18)</f>
        <v>2533576</v>
      </c>
      <c r="C19" s="1773">
        <f>SUM(C4:C18)</f>
        <v>0</v>
      </c>
      <c r="D19" s="1773">
        <f>SUM(D4:D18)</f>
        <v>2533576</v>
      </c>
      <c r="E19" s="1773">
        <f>SUM(E4:E18)</f>
        <v>2597316</v>
      </c>
      <c r="F19" s="1773">
        <f>SUM(F4:F18)</f>
        <v>2597316</v>
      </c>
    </row>
    <row r="20" spans="1:6" ht="13.5" thickTop="1" x14ac:dyDescent="0.2">
      <c r="B20" s="714"/>
      <c r="F20" s="717"/>
    </row>
    <row r="21" spans="1:6" x14ac:dyDescent="0.2">
      <c r="A21" s="718" t="s">
        <v>1913</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Footer xml:space="preserve">&amp;C62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8" colorId="8" zoomScale="110" zoomScaleNormal="110" workbookViewId="0">
      <selection activeCell="C7" sqref="C7"/>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0" t="s">
        <v>650</v>
      </c>
      <c r="B1" s="2221"/>
      <c r="C1" s="722"/>
    </row>
    <row r="2" spans="1:7" ht="33.75" x14ac:dyDescent="0.2">
      <c r="A2" s="2229" t="s">
        <v>1903</v>
      </c>
      <c r="B2" s="2230"/>
      <c r="C2" s="1907" t="s">
        <v>2036</v>
      </c>
      <c r="D2" s="724" t="s">
        <v>2043</v>
      </c>
      <c r="E2" s="724" t="s">
        <v>2044</v>
      </c>
      <c r="F2" s="1907" t="s">
        <v>2037</v>
      </c>
    </row>
    <row r="3" spans="1:7" ht="15.75" customHeight="1" x14ac:dyDescent="0.2">
      <c r="A3" s="2233" t="s">
        <v>1176</v>
      </c>
      <c r="B3" s="2234"/>
      <c r="C3" s="2222"/>
      <c r="D3" s="2223"/>
      <c r="E3" s="2223"/>
      <c r="F3" s="2224"/>
    </row>
    <row r="4" spans="1:7" ht="12.75" customHeight="1" thickBot="1" x14ac:dyDescent="0.25">
      <c r="A4" s="2231" t="s">
        <v>651</v>
      </c>
      <c r="B4" s="2232"/>
      <c r="C4" s="581"/>
      <c r="D4" s="581"/>
      <c r="E4" s="581"/>
      <c r="F4" s="1777">
        <f>SUM(C4+D4)-E4</f>
        <v>0</v>
      </c>
    </row>
    <row r="5" spans="1:7" ht="15.75" customHeight="1" thickTop="1" x14ac:dyDescent="0.2">
      <c r="A5" s="2216" t="s">
        <v>1172</v>
      </c>
      <c r="B5" s="2217"/>
      <c r="C5" s="2225"/>
      <c r="D5" s="2226"/>
      <c r="E5" s="2226"/>
      <c r="F5" s="2227"/>
    </row>
    <row r="6" spans="1:7" ht="12.75" customHeight="1" thickBot="1" x14ac:dyDescent="0.25">
      <c r="A6" s="725" t="s">
        <v>66</v>
      </c>
      <c r="B6" s="726"/>
      <c r="C6" s="727">
        <v>0</v>
      </c>
      <c r="D6" s="585">
        <v>250000</v>
      </c>
      <c r="E6" s="727">
        <v>250000</v>
      </c>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8" t="s">
        <v>652</v>
      </c>
      <c r="B15" s="2219"/>
      <c r="C15" s="1777">
        <f>SUM(C6:C14)</f>
        <v>0</v>
      </c>
      <c r="D15" s="1777">
        <f>SUM(D6:D14)</f>
        <v>250000</v>
      </c>
      <c r="E15" s="1777">
        <f>SUM(E6:E14)</f>
        <v>250000</v>
      </c>
      <c r="F15" s="1777">
        <f>SUM(F6:F14)</f>
        <v>0</v>
      </c>
      <c r="G15" s="552"/>
    </row>
    <row r="16" spans="1:7" s="202" customFormat="1" ht="15.75" customHeight="1" thickTop="1" x14ac:dyDescent="0.2">
      <c r="A16" s="2228" t="s">
        <v>1173</v>
      </c>
      <c r="B16" s="2217"/>
      <c r="C16" s="2225"/>
      <c r="D16" s="2226"/>
      <c r="E16" s="2226"/>
      <c r="F16" s="2227"/>
    </row>
    <row r="17" spans="1:11" ht="12.75" customHeight="1" thickBot="1" x14ac:dyDescent="0.25">
      <c r="A17" s="2241" t="s">
        <v>66</v>
      </c>
      <c r="B17" s="2242"/>
      <c r="C17" s="727"/>
      <c r="D17" s="585"/>
      <c r="E17" s="727"/>
      <c r="F17" s="1777">
        <f>SUM(C17+D17)-E17</f>
        <v>0</v>
      </c>
    </row>
    <row r="18" spans="1:11" ht="12.75" customHeight="1" thickTop="1" thickBot="1" x14ac:dyDescent="0.25">
      <c r="A18" s="2241" t="s">
        <v>6</v>
      </c>
      <c r="B18" s="2242"/>
      <c r="C18" s="727"/>
      <c r="D18" s="585"/>
      <c r="E18" s="727"/>
      <c r="F18" s="1777">
        <f>SUM(C18+D18)-E18</f>
        <v>0</v>
      </c>
    </row>
    <row r="19" spans="1:11" ht="12.75" customHeight="1" thickTop="1" thickBot="1" x14ac:dyDescent="0.25">
      <c r="A19" s="2241" t="s">
        <v>406</v>
      </c>
      <c r="B19" s="2242"/>
      <c r="C19" s="727"/>
      <c r="D19" s="585"/>
      <c r="E19" s="727"/>
      <c r="F19" s="1777">
        <f>SUM(C19+D19)-E19</f>
        <v>0</v>
      </c>
    </row>
    <row r="20" spans="1:11" ht="12.75" customHeight="1" thickTop="1" thickBot="1" x14ac:dyDescent="0.25">
      <c r="A20" s="2241" t="s">
        <v>468</v>
      </c>
      <c r="B20" s="2242"/>
      <c r="C20" s="727"/>
      <c r="D20" s="585"/>
      <c r="E20" s="727"/>
      <c r="F20" s="1777">
        <f>SUM(C20+D20)-E20</f>
        <v>0</v>
      </c>
    </row>
    <row r="21" spans="1:11" ht="14.25" thickTop="1" thickBot="1" x14ac:dyDescent="0.25">
      <c r="A21" s="2218" t="s">
        <v>653</v>
      </c>
      <c r="B21" s="2219"/>
      <c r="C21" s="1777">
        <f>SUM(C17:C20)</f>
        <v>0</v>
      </c>
      <c r="D21" s="1777">
        <f>SUM(D17:D20)</f>
        <v>0</v>
      </c>
      <c r="E21" s="1777">
        <f>SUM(E17:E20)</f>
        <v>0</v>
      </c>
      <c r="F21" s="1777">
        <f>SUM(F17:F20)</f>
        <v>0</v>
      </c>
      <c r="G21" s="552"/>
    </row>
    <row r="22" spans="1:11" ht="15.75" customHeight="1" thickTop="1" x14ac:dyDescent="0.2">
      <c r="A22" s="2243" t="s">
        <v>1174</v>
      </c>
      <c r="B22" s="2217"/>
      <c r="C22" s="2225"/>
      <c r="D22" s="2226"/>
      <c r="E22" s="2226"/>
      <c r="F22" s="2227"/>
    </row>
    <row r="23" spans="1:11" ht="13.5" thickBot="1" x14ac:dyDescent="0.25">
      <c r="A23" s="2231" t="s">
        <v>654</v>
      </c>
      <c r="B23" s="2232"/>
      <c r="C23" s="581"/>
      <c r="D23" s="581"/>
      <c r="E23" s="581"/>
      <c r="F23" s="1777">
        <f>SUM(C23+D23)-E23</f>
        <v>0</v>
      </c>
      <c r="G23" s="552"/>
    </row>
    <row r="24" spans="1:11" ht="15.75" customHeight="1" thickTop="1" x14ac:dyDescent="0.2">
      <c r="A24" s="2243" t="s">
        <v>1175</v>
      </c>
      <c r="B24" s="2217"/>
      <c r="C24" s="2225"/>
      <c r="D24" s="2226"/>
      <c r="E24" s="2226"/>
      <c r="F24" s="2227"/>
    </row>
    <row r="25" spans="1:11" ht="13.5" thickBot="1" x14ac:dyDescent="0.25">
      <c r="A25" s="2231" t="s">
        <v>655</v>
      </c>
      <c r="B25" s="2232"/>
      <c r="C25" s="581"/>
      <c r="D25" s="581"/>
      <c r="E25" s="581"/>
      <c r="F25" s="1777">
        <f>SUM(C25+D25)-E25</f>
        <v>0</v>
      </c>
      <c r="G25" s="552"/>
    </row>
    <row r="26" spans="1:11" ht="15.75" customHeight="1" thickTop="1" x14ac:dyDescent="0.2">
      <c r="A26" s="2216" t="s">
        <v>678</v>
      </c>
      <c r="B26" s="2217"/>
      <c r="C26" s="728"/>
      <c r="D26" s="728"/>
      <c r="E26" s="728"/>
      <c r="F26" s="729"/>
    </row>
    <row r="27" spans="1:11" ht="13.5" thickBot="1" x14ac:dyDescent="0.25">
      <c r="A27" s="2218" t="s">
        <v>1130</v>
      </c>
      <c r="B27" s="2219"/>
      <c r="C27" s="585"/>
      <c r="D27" s="585"/>
      <c r="E27" s="585"/>
      <c r="F27" s="1777">
        <f>SUM(C27+D27)-E27</f>
        <v>0</v>
      </c>
      <c r="G27" s="552"/>
    </row>
    <row r="28" spans="1:11" ht="7.5" customHeight="1" thickTop="1" x14ac:dyDescent="0.2">
      <c r="A28" s="594"/>
    </row>
    <row r="29" spans="1:11" ht="23.25" customHeight="1" x14ac:dyDescent="0.2">
      <c r="A29" s="2244" t="s">
        <v>603</v>
      </c>
      <c r="B29" s="2221"/>
      <c r="C29" s="730"/>
      <c r="D29" s="730"/>
      <c r="E29" s="730"/>
      <c r="F29" s="730"/>
      <c r="G29" s="730"/>
      <c r="H29" s="730"/>
      <c r="I29" s="730"/>
      <c r="J29" s="730"/>
    </row>
    <row r="30" spans="1:11" ht="33.75" x14ac:dyDescent="0.2">
      <c r="A30" s="1551" t="s">
        <v>1131</v>
      </c>
      <c r="B30" s="731" t="s">
        <v>1186</v>
      </c>
      <c r="C30" s="1908" t="s">
        <v>604</v>
      </c>
      <c r="D30" s="1908" t="s">
        <v>1772</v>
      </c>
      <c r="E30" s="1908" t="s">
        <v>2038</v>
      </c>
      <c r="F30" s="1908" t="s">
        <v>2039</v>
      </c>
      <c r="G30" s="1908" t="s">
        <v>2042</v>
      </c>
      <c r="H30" s="1908" t="s">
        <v>2040</v>
      </c>
      <c r="I30" s="1908" t="s">
        <v>2041</v>
      </c>
      <c r="J30" s="1909" t="s">
        <v>2</v>
      </c>
      <c r="K30" s="732"/>
    </row>
    <row r="31" spans="1:11" ht="12" customHeight="1" x14ac:dyDescent="0.2">
      <c r="A31" s="733" t="s">
        <v>2075</v>
      </c>
      <c r="B31" s="734">
        <v>42224</v>
      </c>
      <c r="C31" s="735">
        <v>1016600</v>
      </c>
      <c r="D31" s="736" t="s">
        <v>2076</v>
      </c>
      <c r="E31" s="735">
        <v>1016600</v>
      </c>
      <c r="F31" s="735"/>
      <c r="G31" s="735"/>
      <c r="H31" s="735"/>
      <c r="I31" s="1778">
        <f>((E31+F31)-H31)+G31</f>
        <v>1016600</v>
      </c>
      <c r="J31" s="735"/>
      <c r="K31" s="737"/>
    </row>
    <row r="32" spans="1:11" ht="12" customHeight="1" x14ac:dyDescent="0.2">
      <c r="A32" s="733" t="s">
        <v>2077</v>
      </c>
      <c r="B32" s="734">
        <v>42224</v>
      </c>
      <c r="C32" s="735">
        <v>2556900</v>
      </c>
      <c r="D32" s="736" t="s">
        <v>2076</v>
      </c>
      <c r="E32" s="735">
        <v>2424000</v>
      </c>
      <c r="F32" s="735"/>
      <c r="G32" s="735"/>
      <c r="H32" s="735">
        <v>192200</v>
      </c>
      <c r="I32" s="1778">
        <f>((E32+F32)-H32)+G32</f>
        <v>2231800</v>
      </c>
      <c r="J32" s="735" t="s">
        <v>1231</v>
      </c>
      <c r="K32" s="737"/>
    </row>
    <row r="33" spans="1:11" ht="12" customHeight="1" x14ac:dyDescent="0.2">
      <c r="A33" s="733" t="s">
        <v>2078</v>
      </c>
      <c r="B33" s="734">
        <v>42322</v>
      </c>
      <c r="C33" s="735">
        <v>185700</v>
      </c>
      <c r="D33" s="736" t="s">
        <v>2079</v>
      </c>
      <c r="E33" s="735">
        <v>123320</v>
      </c>
      <c r="F33" s="735"/>
      <c r="G33" s="735"/>
      <c r="H33" s="735">
        <v>37273</v>
      </c>
      <c r="I33" s="1778">
        <f t="shared" ref="I33:I48" si="1">((E33+F33)-H33)+G33</f>
        <v>86047</v>
      </c>
      <c r="J33" s="735"/>
      <c r="K33" s="737"/>
    </row>
    <row r="34" spans="1:11" ht="12" customHeight="1" x14ac:dyDescent="0.2">
      <c r="A34" s="733" t="s">
        <v>2078</v>
      </c>
      <c r="B34" s="734">
        <v>42917</v>
      </c>
      <c r="C34" s="735">
        <v>190183</v>
      </c>
      <c r="D34" s="736" t="s">
        <v>2081</v>
      </c>
      <c r="E34" s="735"/>
      <c r="F34" s="735">
        <v>190183</v>
      </c>
      <c r="G34" s="735"/>
      <c r="H34" s="735">
        <v>38037</v>
      </c>
      <c r="I34" s="1778">
        <f t="shared" si="1"/>
        <v>152146</v>
      </c>
      <c r="J34" s="735"/>
      <c r="K34" s="738"/>
    </row>
    <row r="35" spans="1:11" ht="12" customHeight="1" x14ac:dyDescent="0.2">
      <c r="A35" s="733" t="s">
        <v>2080</v>
      </c>
      <c r="B35" s="734">
        <v>43157</v>
      </c>
      <c r="C35" s="739">
        <v>57884</v>
      </c>
      <c r="D35" s="736" t="s">
        <v>2081</v>
      </c>
      <c r="E35" s="739"/>
      <c r="F35" s="739">
        <v>57884</v>
      </c>
      <c r="G35" s="739"/>
      <c r="H35" s="739"/>
      <c r="I35" s="1778">
        <f t="shared" si="1"/>
        <v>57884</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4007267</v>
      </c>
      <c r="D49" s="746"/>
      <c r="E49" s="1778">
        <f t="shared" ref="E49:J49" si="2">SUM(E31:E48)</f>
        <v>3563920</v>
      </c>
      <c r="F49" s="1778">
        <f t="shared" si="2"/>
        <v>248067</v>
      </c>
      <c r="G49" s="1778">
        <f t="shared" si="2"/>
        <v>0</v>
      </c>
      <c r="H49" s="1778">
        <f t="shared" si="2"/>
        <v>267510</v>
      </c>
      <c r="I49" s="1778">
        <f t="shared" si="2"/>
        <v>3544477</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1912</v>
      </c>
      <c r="B51" s="747"/>
      <c r="C51" s="738"/>
      <c r="D51" s="738"/>
      <c r="E51" s="738"/>
      <c r="F51" s="738"/>
      <c r="G51" s="738"/>
      <c r="H51" s="737"/>
      <c r="I51" s="737"/>
      <c r="J51" s="747"/>
    </row>
    <row r="52" spans="1:11" ht="11.25" customHeight="1" x14ac:dyDescent="0.2">
      <c r="A52" s="749" t="s">
        <v>968</v>
      </c>
      <c r="B52" s="2235" t="s">
        <v>605</v>
      </c>
      <c r="C52" s="2236"/>
      <c r="D52" s="2236"/>
      <c r="E52" s="750" t="s">
        <v>900</v>
      </c>
      <c r="F52" s="2237"/>
      <c r="G52" s="2238"/>
      <c r="H52" s="737"/>
      <c r="I52" s="737"/>
      <c r="J52" s="747"/>
    </row>
    <row r="53" spans="1:11" ht="11.25" customHeight="1" x14ac:dyDescent="0.2">
      <c r="A53" s="751" t="s">
        <v>969</v>
      </c>
      <c r="B53" s="752" t="s">
        <v>1008</v>
      </c>
      <c r="C53" s="747"/>
      <c r="D53" s="738"/>
      <c r="E53" s="750" t="s">
        <v>518</v>
      </c>
      <c r="F53" s="2239"/>
      <c r="G53" s="2240"/>
      <c r="H53" s="737"/>
      <c r="I53" s="737"/>
      <c r="J53" s="747"/>
    </row>
    <row r="54" spans="1:11" ht="11.25" customHeight="1" x14ac:dyDescent="0.2">
      <c r="A54" s="753" t="s">
        <v>970</v>
      </c>
      <c r="B54" s="748" t="s">
        <v>1009</v>
      </c>
      <c r="C54" s="747"/>
      <c r="D54" s="738"/>
      <c r="E54" s="750" t="s">
        <v>519</v>
      </c>
      <c r="F54" s="2239"/>
      <c r="G54" s="2240"/>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Footer>&amp;C63</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2" colorId="8" zoomScale="110" zoomScaleNormal="110" workbookViewId="0">
      <selection activeCell="H25" sqref="H2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9" t="s">
        <v>911</v>
      </c>
      <c r="B1" s="2270"/>
      <c r="C1" s="2270"/>
      <c r="D1" s="2270"/>
      <c r="E1" s="2270"/>
      <c r="F1" s="2270"/>
      <c r="G1" s="2271"/>
      <c r="H1" s="1552"/>
      <c r="I1" s="761"/>
      <c r="J1" s="433"/>
    </row>
    <row r="2" spans="1:11" ht="26.25" x14ac:dyDescent="0.2">
      <c r="A2" s="2248" t="s">
        <v>1776</v>
      </c>
      <c r="B2" s="2249"/>
      <c r="C2" s="2249"/>
      <c r="D2" s="2249"/>
      <c r="E2" s="2250"/>
      <c r="F2" s="762" t="s">
        <v>960</v>
      </c>
      <c r="G2" s="763" t="s">
        <v>1773</v>
      </c>
      <c r="H2" s="763" t="s">
        <v>430</v>
      </c>
      <c r="I2" s="763" t="s">
        <v>1220</v>
      </c>
      <c r="J2" s="763" t="s">
        <v>1917</v>
      </c>
      <c r="K2" s="763" t="s">
        <v>140</v>
      </c>
    </row>
    <row r="3" spans="1:11" x14ac:dyDescent="0.2">
      <c r="A3" s="2251" t="s">
        <v>1698</v>
      </c>
      <c r="B3" s="2252"/>
      <c r="C3" s="2252"/>
      <c r="D3" s="2252"/>
      <c r="E3" s="2253"/>
      <c r="F3" s="764"/>
      <c r="G3" s="765"/>
      <c r="H3" s="765"/>
      <c r="I3" s="765"/>
      <c r="J3" s="766">
        <v>428035</v>
      </c>
      <c r="K3" s="766"/>
    </row>
    <row r="4" spans="1:11" x14ac:dyDescent="0.2">
      <c r="A4" s="2254" t="s">
        <v>387</v>
      </c>
      <c r="B4" s="2255"/>
      <c r="C4" s="2255"/>
      <c r="D4" s="2255"/>
      <c r="E4" s="2236"/>
      <c r="F4" s="767"/>
      <c r="G4" s="768"/>
      <c r="H4" s="769"/>
      <c r="I4" s="768"/>
      <c r="J4" s="770"/>
      <c r="K4" s="770"/>
    </row>
    <row r="5" spans="1:11" x14ac:dyDescent="0.2">
      <c r="A5" s="2272" t="s">
        <v>1129</v>
      </c>
      <c r="B5" s="2245"/>
      <c r="C5" s="2245"/>
      <c r="D5" s="2245"/>
      <c r="E5" s="2273"/>
      <c r="F5" s="771" t="s">
        <v>903</v>
      </c>
      <c r="G5" s="772"/>
      <c r="H5" s="765">
        <v>23605</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2950</v>
      </c>
    </row>
    <row r="8" spans="1:11" x14ac:dyDescent="0.2">
      <c r="A8" s="779" t="s">
        <v>363</v>
      </c>
      <c r="B8" s="780"/>
      <c r="C8" s="780"/>
      <c r="D8" s="780"/>
      <c r="E8" s="781"/>
      <c r="F8" s="771" t="s">
        <v>906</v>
      </c>
      <c r="G8" s="783"/>
      <c r="H8" s="783"/>
      <c r="I8" s="783"/>
      <c r="J8" s="766">
        <v>567575</v>
      </c>
      <c r="K8" s="770"/>
    </row>
    <row r="9" spans="1:11" x14ac:dyDescent="0.2">
      <c r="A9" s="779" t="s">
        <v>140</v>
      </c>
      <c r="B9" s="780"/>
      <c r="C9" s="780"/>
      <c r="D9" s="780"/>
      <c r="E9" s="781"/>
      <c r="F9" s="778" t="s">
        <v>908</v>
      </c>
      <c r="G9" s="783"/>
      <c r="H9" s="772"/>
      <c r="I9" s="772"/>
      <c r="J9" s="782"/>
      <c r="K9" s="766">
        <v>14768</v>
      </c>
    </row>
    <row r="10" spans="1:11" x14ac:dyDescent="0.2">
      <c r="A10" s="2272" t="s">
        <v>1918</v>
      </c>
      <c r="B10" s="2245"/>
      <c r="C10" s="2245"/>
      <c r="D10" s="2245"/>
      <c r="E10" s="2274"/>
      <c r="F10" s="784" t="s">
        <v>917</v>
      </c>
      <c r="G10" s="783"/>
      <c r="H10" s="785"/>
      <c r="I10" s="765"/>
      <c r="J10" s="766"/>
      <c r="K10" s="766"/>
    </row>
    <row r="11" spans="1:11" x14ac:dyDescent="0.2">
      <c r="A11" s="2272" t="s">
        <v>162</v>
      </c>
      <c r="B11" s="2245"/>
      <c r="C11" s="2245"/>
      <c r="D11" s="2245"/>
      <c r="E11" s="2273"/>
      <c r="F11" s="771" t="s">
        <v>907</v>
      </c>
      <c r="G11" s="772"/>
      <c r="H11" s="765"/>
      <c r="I11" s="765"/>
      <c r="J11" s="766"/>
      <c r="K11" s="774"/>
    </row>
    <row r="12" spans="1:11" ht="13.5" thickBot="1" x14ac:dyDescent="0.25">
      <c r="A12" s="2262" t="s">
        <v>961</v>
      </c>
      <c r="B12" s="2263"/>
      <c r="C12" s="2263"/>
      <c r="D12" s="2263"/>
      <c r="E12" s="2264"/>
      <c r="F12" s="1779"/>
      <c r="G12" s="1780">
        <f>SUM(G5:G11)</f>
        <v>0</v>
      </c>
      <c r="H12" s="1780">
        <f>SUM(H5:H11)</f>
        <v>23605</v>
      </c>
      <c r="I12" s="1780">
        <f>SUM(I5:I11)</f>
        <v>0</v>
      </c>
      <c r="J12" s="1780">
        <f>SUM(J5:J11)</f>
        <v>567575</v>
      </c>
      <c r="K12" s="1780">
        <f>SUM(K5:K11)</f>
        <v>17718</v>
      </c>
    </row>
    <row r="13" spans="1:11" ht="13.5" thickTop="1" x14ac:dyDescent="0.2">
      <c r="A13" s="2256" t="s">
        <v>388</v>
      </c>
      <c r="B13" s="2257"/>
      <c r="C13" s="2257"/>
      <c r="D13" s="2257"/>
      <c r="E13" s="2258"/>
      <c r="F13" s="786"/>
      <c r="G13" s="787"/>
      <c r="H13" s="788"/>
      <c r="I13" s="789"/>
      <c r="J13" s="789"/>
      <c r="K13" s="789"/>
    </row>
    <row r="14" spans="1:11" x14ac:dyDescent="0.2">
      <c r="A14" s="2278" t="s">
        <v>476</v>
      </c>
      <c r="B14" s="2278"/>
      <c r="C14" s="2278"/>
      <c r="D14" s="2278"/>
      <c r="E14" s="2279"/>
      <c r="F14" s="790" t="s">
        <v>909</v>
      </c>
      <c r="G14" s="783"/>
      <c r="H14" s="765">
        <v>23605</v>
      </c>
      <c r="I14" s="772"/>
      <c r="J14" s="774"/>
      <c r="K14" s="766">
        <v>17718</v>
      </c>
    </row>
    <row r="15" spans="1:11" x14ac:dyDescent="0.2">
      <c r="A15" s="2245" t="s">
        <v>4</v>
      </c>
      <c r="B15" s="2245"/>
      <c r="C15" s="2245"/>
      <c r="D15" s="2245"/>
      <c r="E15" s="2273"/>
      <c r="F15" s="790" t="s">
        <v>910</v>
      </c>
      <c r="G15" s="772"/>
      <c r="H15" s="765"/>
      <c r="I15" s="765"/>
      <c r="J15" s="766">
        <v>523479</v>
      </c>
      <c r="K15" s="766"/>
    </row>
    <row r="16" spans="1:11" x14ac:dyDescent="0.2">
      <c r="A16" s="2245" t="s">
        <v>316</v>
      </c>
      <c r="B16" s="2245"/>
      <c r="C16" s="2245"/>
      <c r="D16" s="2245"/>
      <c r="E16" s="2273"/>
      <c r="F16" s="790" t="s">
        <v>980</v>
      </c>
      <c r="G16" s="773"/>
      <c r="H16" s="768"/>
      <c r="I16" s="768"/>
      <c r="J16" s="770"/>
      <c r="K16" s="770"/>
    </row>
    <row r="17" spans="1:11" x14ac:dyDescent="0.2">
      <c r="A17" s="2267" t="s">
        <v>992</v>
      </c>
      <c r="B17" s="2267"/>
      <c r="C17" s="2267"/>
      <c r="D17" s="2267"/>
      <c r="E17" s="2268"/>
      <c r="F17" s="791"/>
      <c r="G17" s="792"/>
      <c r="H17" s="793"/>
      <c r="I17" s="793"/>
      <c r="J17" s="794"/>
      <c r="K17" s="795"/>
    </row>
    <row r="18" spans="1:11" x14ac:dyDescent="0.2">
      <c r="A18" s="2259" t="s">
        <v>386</v>
      </c>
      <c r="B18" s="2260"/>
      <c r="C18" s="2260"/>
      <c r="D18" s="2260"/>
      <c r="E18" s="2261"/>
      <c r="F18" s="790" t="s">
        <v>989</v>
      </c>
      <c r="G18" s="783"/>
      <c r="H18" s="783"/>
      <c r="I18" s="783"/>
      <c r="J18" s="766"/>
      <c r="K18" s="796"/>
    </row>
    <row r="19" spans="1:11" ht="21.75" customHeight="1" x14ac:dyDescent="0.2">
      <c r="A19" s="2280" t="s">
        <v>1914</v>
      </c>
      <c r="B19" s="2280"/>
      <c r="C19" s="2280"/>
      <c r="D19" s="2280"/>
      <c r="E19" s="2281"/>
      <c r="F19" s="790" t="s">
        <v>990</v>
      </c>
      <c r="G19" s="783"/>
      <c r="H19" s="783"/>
      <c r="I19" s="783"/>
      <c r="J19" s="766"/>
      <c r="K19" s="796"/>
    </row>
    <row r="20" spans="1:11" x14ac:dyDescent="0.2">
      <c r="A20" s="2259" t="s">
        <v>1919</v>
      </c>
      <c r="B20" s="2260"/>
      <c r="C20" s="2260"/>
      <c r="D20" s="2260"/>
      <c r="E20" s="2261"/>
      <c r="F20" s="790" t="s">
        <v>991</v>
      </c>
      <c r="G20" s="783"/>
      <c r="H20" s="783"/>
      <c r="I20" s="783"/>
      <c r="J20" s="766"/>
      <c r="K20" s="796"/>
    </row>
    <row r="21" spans="1:11" ht="13.5" thickBot="1" x14ac:dyDescent="0.25">
      <c r="A21" s="2265" t="s">
        <v>659</v>
      </c>
      <c r="B21" s="2265"/>
      <c r="C21" s="2265"/>
      <c r="D21" s="2265"/>
      <c r="E21" s="2265"/>
      <c r="F21" s="1781"/>
      <c r="G21" s="793"/>
      <c r="H21" s="797"/>
      <c r="I21" s="797"/>
      <c r="J21" s="1782">
        <f>SUM(J18:J20)</f>
        <v>0</v>
      </c>
      <c r="K21" s="794"/>
    </row>
    <row r="22" spans="1:11" ht="13.5" thickTop="1" x14ac:dyDescent="0.2">
      <c r="A22" s="2245" t="s">
        <v>1920</v>
      </c>
      <c r="B22" s="2245"/>
      <c r="C22" s="2245"/>
      <c r="D22" s="2245"/>
      <c r="E22" s="2273"/>
      <c r="F22" s="790" t="s">
        <v>917</v>
      </c>
      <c r="G22" s="783"/>
      <c r="H22" s="765"/>
      <c r="I22" s="765"/>
      <c r="J22" s="798"/>
      <c r="K22" s="766"/>
    </row>
    <row r="23" spans="1:11" ht="13.5" thickBot="1" x14ac:dyDescent="0.25">
      <c r="A23" s="2266" t="s">
        <v>962</v>
      </c>
      <c r="B23" s="2265"/>
      <c r="C23" s="2265"/>
      <c r="D23" s="2265"/>
      <c r="E23" s="2265"/>
      <c r="F23" s="1783"/>
      <c r="G23" s="1780">
        <f>SUM(G14:G16,G21,G22)</f>
        <v>0</v>
      </c>
      <c r="H23" s="1780">
        <f>SUM(H14:H16,H21,H22)</f>
        <v>23605</v>
      </c>
      <c r="I23" s="1780">
        <f>SUM(I14:I16,I21,I22)</f>
        <v>0</v>
      </c>
      <c r="J23" s="1780">
        <f>SUM(J14:J16,J21,J22)</f>
        <v>523479</v>
      </c>
      <c r="K23" s="1780">
        <f>SUM(K14:K16,K21,K22)</f>
        <v>17718</v>
      </c>
    </row>
    <row r="24" spans="1:11" ht="14.25" thickTop="1" thickBot="1" x14ac:dyDescent="0.25">
      <c r="A24" s="2266" t="s">
        <v>2024</v>
      </c>
      <c r="B24" s="2265"/>
      <c r="C24" s="2265"/>
      <c r="D24" s="2265"/>
      <c r="E24" s="2265"/>
      <c r="F24" s="1784"/>
      <c r="G24" s="1785">
        <f>SUM(G3,G12)-G23</f>
        <v>0</v>
      </c>
      <c r="H24" s="1785">
        <f>SUM(H3,H12)-H23</f>
        <v>0</v>
      </c>
      <c r="I24" s="1785">
        <f>SUM(I3,I12)-I23</f>
        <v>0</v>
      </c>
      <c r="J24" s="1785">
        <f>SUM(J3,J12)-J23</f>
        <v>472131</v>
      </c>
      <c r="K24" s="1785">
        <f>SUM(K3,K12)-K23</f>
        <v>0</v>
      </c>
    </row>
    <row r="25" spans="1:11" ht="13.5" thickTop="1" x14ac:dyDescent="0.2">
      <c r="A25" s="799" t="s">
        <v>440</v>
      </c>
      <c r="B25" s="800"/>
      <c r="C25" s="800"/>
      <c r="D25" s="800"/>
      <c r="E25" s="801"/>
      <c r="F25" s="802">
        <v>714</v>
      </c>
      <c r="G25" s="803"/>
      <c r="H25" s="803"/>
      <c r="I25" s="803"/>
      <c r="J25" s="798">
        <v>332591</v>
      </c>
      <c r="K25" s="798"/>
    </row>
    <row r="26" spans="1:11" ht="13.5" thickBot="1" x14ac:dyDescent="0.25">
      <c r="A26" s="799" t="s">
        <v>360</v>
      </c>
      <c r="B26" s="800"/>
      <c r="C26" s="800"/>
      <c r="D26" s="800"/>
      <c r="E26" s="801"/>
      <c r="F26" s="802">
        <v>730</v>
      </c>
      <c r="G26" s="1780">
        <f>G24-G25</f>
        <v>0</v>
      </c>
      <c r="H26" s="1780">
        <f>H24-H25</f>
        <v>0</v>
      </c>
      <c r="I26" s="1780">
        <f>I24-I25</f>
        <v>0</v>
      </c>
      <c r="J26" s="1780">
        <f>J24-J25</f>
        <v>139540</v>
      </c>
      <c r="K26" s="1780">
        <f>K24-K25</f>
        <v>0</v>
      </c>
    </row>
    <row r="27" spans="1:11" ht="5.25" customHeight="1" thickTop="1" x14ac:dyDescent="0.2">
      <c r="I27" s="202"/>
      <c r="J27" s="202"/>
    </row>
    <row r="28" spans="1:11" ht="29.25" customHeight="1" x14ac:dyDescent="0.2">
      <c r="A28" s="1903" t="s">
        <v>2034</v>
      </c>
      <c r="B28" s="1904"/>
      <c r="C28" s="1904"/>
      <c r="D28" s="1904"/>
      <c r="E28" s="1905"/>
      <c r="F28" s="804"/>
      <c r="G28" s="805"/>
    </row>
    <row r="29" spans="1:11" x14ac:dyDescent="0.2">
      <c r="B29" s="501"/>
      <c r="C29" s="501"/>
      <c r="D29" s="501"/>
      <c r="F29" s="202"/>
      <c r="G29" s="806"/>
    </row>
    <row r="30" spans="1:11" x14ac:dyDescent="0.2">
      <c r="A30" s="807" t="s">
        <v>593</v>
      </c>
      <c r="B30" s="808"/>
      <c r="C30" s="807" t="s">
        <v>401</v>
      </c>
      <c r="D30" s="808" t="s">
        <v>2095</v>
      </c>
      <c r="E30" s="809" t="s">
        <v>792</v>
      </c>
      <c r="F30" s="202"/>
      <c r="G30" s="806"/>
    </row>
    <row r="31" spans="1:11" x14ac:dyDescent="0.2">
      <c r="A31" s="810"/>
      <c r="D31" s="237"/>
      <c r="E31" s="811" t="s">
        <v>793</v>
      </c>
      <c r="F31" s="812" t="s">
        <v>560</v>
      </c>
      <c r="G31" s="765"/>
      <c r="H31" s="2275"/>
      <c r="I31" s="2276"/>
      <c r="J31" s="2276"/>
      <c r="K31" s="2276"/>
    </row>
    <row r="32" spans="1:11" x14ac:dyDescent="0.2">
      <c r="A32" s="810"/>
      <c r="B32" s="237"/>
      <c r="C32" s="237"/>
      <c r="D32" s="237"/>
      <c r="E32" s="806"/>
      <c r="F32" s="812" t="s">
        <v>561</v>
      </c>
      <c r="G32" s="765"/>
      <c r="H32" s="2277"/>
      <c r="I32" s="2276"/>
      <c r="J32" s="2276"/>
      <c r="K32" s="2276"/>
    </row>
    <row r="33" spans="1:11" ht="1.5" customHeight="1" x14ac:dyDescent="0.2">
      <c r="A33" s="813" t="s">
        <v>1231</v>
      </c>
      <c r="B33" s="364"/>
      <c r="C33" s="364"/>
      <c r="D33" s="364"/>
      <c r="E33" s="364"/>
      <c r="F33" s="364"/>
      <c r="G33" s="814"/>
      <c r="H33" s="2277"/>
      <c r="I33" s="2276"/>
      <c r="J33" s="2276"/>
      <c r="K33" s="2276"/>
    </row>
    <row r="34" spans="1:11" x14ac:dyDescent="0.2">
      <c r="A34" s="815" t="s">
        <v>1921</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5" t="s">
        <v>562</v>
      </c>
      <c r="B41" s="2246"/>
      <c r="C41" s="2246"/>
      <c r="D41" s="2246"/>
      <c r="E41" s="2246"/>
      <c r="F41" s="2247"/>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1915</v>
      </c>
      <c r="B46" s="408" t="s">
        <v>1774</v>
      </c>
    </row>
    <row r="47" spans="1:11" s="824" customFormat="1" ht="12.75" customHeight="1" x14ac:dyDescent="0.2">
      <c r="A47" s="822"/>
      <c r="B47" s="823" t="s">
        <v>1775</v>
      </c>
      <c r="E47" s="823"/>
      <c r="K47" s="825"/>
    </row>
    <row r="48" spans="1:11" ht="12.75" customHeight="1" x14ac:dyDescent="0.2">
      <c r="A48" s="1554" t="s">
        <v>1916</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 xml:space="preserve">&amp;C&amp;"Arial,Bold"Schedule of Restricted Local Tax Levies and Selected Revenues Sources 
Schedule of Tort Immunity Expenditures </oddHeader>
    <oddFooter>&amp;C64</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D14" sqref="D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4" t="s">
        <v>2033</v>
      </c>
      <c r="B1" s="2285"/>
      <c r="C1" s="2286"/>
      <c r="D1" s="827"/>
      <c r="E1" s="828"/>
      <c r="F1" s="828"/>
      <c r="G1" s="829"/>
      <c r="H1" s="830"/>
      <c r="I1" s="831"/>
      <c r="J1" s="2282"/>
      <c r="K1" s="2283"/>
      <c r="L1" s="2283"/>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965330</v>
      </c>
      <c r="D5" s="842"/>
      <c r="E5" s="842"/>
      <c r="F5" s="1782">
        <f>(C5+D5)-E5</f>
        <v>965330</v>
      </c>
      <c r="G5" s="838"/>
      <c r="H5" s="843"/>
      <c r="I5" s="843"/>
      <c r="J5" s="843"/>
      <c r="K5" s="794"/>
      <c r="L5" s="1791">
        <f>F5-K5</f>
        <v>965330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17955141</v>
      </c>
      <c r="D8" s="845">
        <v>27346</v>
      </c>
      <c r="E8" s="845"/>
      <c r="F8" s="1782">
        <f>(C8+D8)-E8</f>
        <v>17982487</v>
      </c>
      <c r="G8" s="844">
        <v>50</v>
      </c>
      <c r="H8" s="766">
        <v>7555704</v>
      </c>
      <c r="I8" s="766">
        <v>305569</v>
      </c>
      <c r="J8" s="766"/>
      <c r="K8" s="1791">
        <f>(H8+I8)-J8</f>
        <v>7861273</v>
      </c>
      <c r="L8" s="1791">
        <f>F8-K8</f>
        <v>10121214</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722838</v>
      </c>
      <c r="D10" s="847"/>
      <c r="E10" s="847"/>
      <c r="F10" s="1786">
        <f>(C10+D10)-E10</f>
        <v>722838</v>
      </c>
      <c r="G10" s="844">
        <v>20</v>
      </c>
      <c r="H10" s="848">
        <v>683856</v>
      </c>
      <c r="I10" s="848">
        <v>15463</v>
      </c>
      <c r="J10" s="848"/>
      <c r="K10" s="1791">
        <f>(H10+I10)-J10</f>
        <v>699319</v>
      </c>
      <c r="L10" s="1791">
        <f>F10-K10</f>
        <v>23519</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2003438</v>
      </c>
      <c r="D12" s="845">
        <v>16225</v>
      </c>
      <c r="E12" s="845"/>
      <c r="F12" s="1782">
        <f>(C12+D12)-E12</f>
        <v>2019663</v>
      </c>
      <c r="G12" s="844">
        <v>10</v>
      </c>
      <c r="H12" s="766">
        <v>1896846</v>
      </c>
      <c r="I12" s="766">
        <v>29915</v>
      </c>
      <c r="J12" s="766"/>
      <c r="K12" s="1791">
        <f>(H12+I12)-J12</f>
        <v>1926761</v>
      </c>
      <c r="L12" s="1791">
        <f>F12-K12</f>
        <v>92902</v>
      </c>
    </row>
    <row r="13" spans="1:14" ht="14.25" thickTop="1" thickBot="1" x14ac:dyDescent="0.25">
      <c r="A13" s="849" t="s">
        <v>1184</v>
      </c>
      <c r="B13" s="841">
        <v>252</v>
      </c>
      <c r="C13" s="845">
        <v>1042187</v>
      </c>
      <c r="D13" s="845">
        <v>248878</v>
      </c>
      <c r="E13" s="845">
        <v>261330</v>
      </c>
      <c r="F13" s="1782">
        <f>(C13+D13)-E13</f>
        <v>1029735</v>
      </c>
      <c r="G13" s="844">
        <v>5</v>
      </c>
      <c r="H13" s="766">
        <v>898107</v>
      </c>
      <c r="I13" s="766">
        <v>95823</v>
      </c>
      <c r="J13" s="766">
        <v>261330</v>
      </c>
      <c r="K13" s="1791">
        <f>(H13+I13)-J13</f>
        <v>732600</v>
      </c>
      <c r="L13" s="1791">
        <f>F13-K13</f>
        <v>297135</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22688934</v>
      </c>
      <c r="D16" s="1782">
        <f>SUM(D3,D5:D6,D8:D10,D12:D15)</f>
        <v>292449</v>
      </c>
      <c r="E16" s="1782">
        <f>SUM(E3,E5:E6,E8:E10,E12:E15)</f>
        <v>261330</v>
      </c>
      <c r="F16" s="1782">
        <f>SUM(F3,F5:F6,F8:F10,F12:F15)</f>
        <v>22720053</v>
      </c>
      <c r="G16" s="844"/>
      <c r="H16" s="1782">
        <f>SUM(H3,H6,H8:H10,H12:H14,)</f>
        <v>11034513</v>
      </c>
      <c r="I16" s="1782">
        <f>SUM(I3,I6,I8:I10,I12:I14,)</f>
        <v>446770</v>
      </c>
      <c r="J16" s="1782">
        <f>SUM(J3,J6,J8:J10,J12:J14,)</f>
        <v>261330</v>
      </c>
      <c r="K16" s="1782">
        <f>(H16+I16)-J16</f>
        <v>11219953</v>
      </c>
      <c r="L16" s="1782">
        <f>F16-K16</f>
        <v>11500100</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446770</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 xml:space="preserve">&amp;C </oddHeader>
    <oddFooter>&amp;C65</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8"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90" t="s">
        <v>1699</v>
      </c>
      <c r="B1" s="2291"/>
      <c r="C1" s="2291"/>
      <c r="D1" s="2291"/>
      <c r="E1" s="2291"/>
      <c r="F1" s="2292"/>
      <c r="G1" s="856"/>
    </row>
    <row r="2" spans="1:7" ht="15" customHeight="1" thickBot="1" x14ac:dyDescent="0.25">
      <c r="A2" s="2293" t="s">
        <v>498</v>
      </c>
      <c r="B2" s="2294"/>
      <c r="C2" s="2294"/>
      <c r="D2" s="2294"/>
      <c r="E2" s="2294"/>
      <c r="F2" s="2295"/>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6"/>
      <c r="B5" s="2297"/>
      <c r="C5" s="2297"/>
      <c r="D5" s="2297"/>
      <c r="E5" s="2297"/>
      <c r="F5" s="2297"/>
    </row>
    <row r="6" spans="1:7" ht="13.5" customHeight="1" thickBot="1" x14ac:dyDescent="0.25">
      <c r="A6" s="2287" t="s">
        <v>1166</v>
      </c>
      <c r="B6" s="2288"/>
      <c r="C6" s="2288"/>
      <c r="D6" s="2288"/>
      <c r="E6" s="2288"/>
      <c r="F6" s="2289"/>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2">
        <f>'Expenditures 15-22'!K114</f>
        <v>9165398</v>
      </c>
      <c r="G8" s="866"/>
    </row>
    <row r="9" spans="1:7" x14ac:dyDescent="0.2">
      <c r="A9" s="870" t="s">
        <v>480</v>
      </c>
      <c r="B9" s="871" t="s">
        <v>1987</v>
      </c>
      <c r="C9" s="872"/>
      <c r="D9" s="870" t="s">
        <v>522</v>
      </c>
      <c r="E9" s="869"/>
      <c r="F9" s="1933">
        <f>'Expenditures 15-22'!K151</f>
        <v>930248</v>
      </c>
      <c r="G9" s="873"/>
    </row>
    <row r="10" spans="1:7" x14ac:dyDescent="0.2">
      <c r="A10" s="870" t="s">
        <v>520</v>
      </c>
      <c r="B10" s="871" t="s">
        <v>1988</v>
      </c>
      <c r="C10" s="872"/>
      <c r="D10" s="870" t="s">
        <v>522</v>
      </c>
      <c r="E10" s="869"/>
      <c r="F10" s="1933">
        <f>'Expenditures 15-22'!K174</f>
        <v>299226</v>
      </c>
      <c r="G10" s="873"/>
    </row>
    <row r="11" spans="1:7" x14ac:dyDescent="0.2">
      <c r="A11" s="870" t="s">
        <v>481</v>
      </c>
      <c r="B11" s="871" t="s">
        <v>1989</v>
      </c>
      <c r="C11" s="872"/>
      <c r="D11" s="870" t="s">
        <v>522</v>
      </c>
      <c r="E11" s="869"/>
      <c r="F11" s="1933">
        <f>'Expenditures 15-22'!K210</f>
        <v>562098</v>
      </c>
      <c r="G11" s="873"/>
    </row>
    <row r="12" spans="1:7" x14ac:dyDescent="0.2">
      <c r="A12" s="870" t="s">
        <v>482</v>
      </c>
      <c r="B12" s="871" t="s">
        <v>1990</v>
      </c>
      <c r="C12" s="872"/>
      <c r="D12" s="870" t="s">
        <v>522</v>
      </c>
      <c r="E12" s="869"/>
      <c r="F12" s="1933">
        <f>'Expenditures 15-22'!K295</f>
        <v>370570</v>
      </c>
      <c r="G12" s="873"/>
    </row>
    <row r="13" spans="1:7" x14ac:dyDescent="0.2">
      <c r="A13" s="870" t="s">
        <v>108</v>
      </c>
      <c r="B13" s="871" t="s">
        <v>1991</v>
      </c>
      <c r="C13" s="872"/>
      <c r="D13" s="870" t="s">
        <v>522</v>
      </c>
      <c r="E13" s="869"/>
      <c r="F13" s="1933">
        <f>'Expenditures 15-22'!K342</f>
        <v>73784</v>
      </c>
      <c r="G13" s="874"/>
    </row>
    <row r="14" spans="1:7" ht="12" customHeight="1" thickBot="1" x14ac:dyDescent="0.25">
      <c r="A14" s="1792"/>
      <c r="B14" s="1793"/>
      <c r="C14" s="1794"/>
      <c r="D14" s="1795" t="s">
        <v>522</v>
      </c>
      <c r="E14" s="1796" t="s">
        <v>1015</v>
      </c>
      <c r="F14" s="1797">
        <f>SUM(F8:F13)</f>
        <v>11401324</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4">
        <f>'Revenues 9-14'!F43</f>
        <v>0</v>
      </c>
      <c r="G18" s="866"/>
    </row>
    <row r="19" spans="1:7" x14ac:dyDescent="0.2">
      <c r="A19" s="870" t="s">
        <v>481</v>
      </c>
      <c r="B19" s="871" t="s">
        <v>1069</v>
      </c>
      <c r="C19" s="878">
        <f>'Revenues 9-14'!B47</f>
        <v>1421</v>
      </c>
      <c r="D19" s="879" t="str">
        <f>'Revenues 9-14'!A47</f>
        <v>Summer Sch - Transp. Fees from Pupils or Parents (In State)</v>
      </c>
      <c r="E19" s="880"/>
      <c r="F19" s="1935">
        <f>'Revenues 9-14'!F47</f>
        <v>0</v>
      </c>
      <c r="G19" s="866"/>
    </row>
    <row r="20" spans="1:7" x14ac:dyDescent="0.2">
      <c r="A20" s="870" t="s">
        <v>481</v>
      </c>
      <c r="B20" s="871" t="s">
        <v>1070</v>
      </c>
      <c r="C20" s="876">
        <f>'Revenues 9-14'!B48</f>
        <v>1422</v>
      </c>
      <c r="D20" s="877" t="str">
        <f>'Revenues 9-14'!A48</f>
        <v>Summer Sch - Transp. Fees from Other Districts (In State)</v>
      </c>
      <c r="E20" s="869"/>
      <c r="F20" s="1936">
        <f>'Revenues 9-14'!F48</f>
        <v>0</v>
      </c>
      <c r="G20" s="866"/>
    </row>
    <row r="21" spans="1:7" x14ac:dyDescent="0.2">
      <c r="A21" s="870" t="s">
        <v>481</v>
      </c>
      <c r="B21" s="871" t="s">
        <v>1071</v>
      </c>
      <c r="C21" s="878">
        <f>'Revenues 9-14'!B49</f>
        <v>1423</v>
      </c>
      <c r="D21" s="877" t="str">
        <f>'Revenues 9-14'!A49</f>
        <v>Summer Sch - Transp. Fees from Other Sources (In State)</v>
      </c>
      <c r="E21" s="869"/>
      <c r="F21" s="1937">
        <f>'Revenues 9-14'!F49</f>
        <v>0</v>
      </c>
      <c r="G21" s="866"/>
    </row>
    <row r="22" spans="1:7" x14ac:dyDescent="0.2">
      <c r="A22" s="870" t="s">
        <v>481</v>
      </c>
      <c r="B22" s="871" t="s">
        <v>1072</v>
      </c>
      <c r="C22" s="878">
        <f>'Revenues 9-14'!B50</f>
        <v>1424</v>
      </c>
      <c r="D22" s="877" t="str">
        <f>'Revenues 9-14'!A50</f>
        <v>Summer Sch - Transp. Fees from Other Sources (Out of State)</v>
      </c>
      <c r="E22" s="869"/>
      <c r="F22" s="1937">
        <f>'Revenues 9-14'!F50</f>
        <v>0</v>
      </c>
      <c r="G22" s="866"/>
    </row>
    <row r="23" spans="1:7" x14ac:dyDescent="0.2">
      <c r="A23" s="870" t="s">
        <v>481</v>
      </c>
      <c r="B23" s="871" t="s">
        <v>1073</v>
      </c>
      <c r="C23" s="876">
        <f>'Revenues 9-14'!B52</f>
        <v>1432</v>
      </c>
      <c r="D23" s="877" t="str">
        <f>'Revenues 9-14'!A52</f>
        <v>CTE - Transp Fees from Other Districts (In State)</v>
      </c>
      <c r="E23" s="869"/>
      <c r="F23" s="1937">
        <f>'Revenues 9-14'!F52</f>
        <v>0</v>
      </c>
      <c r="G23" s="866"/>
    </row>
    <row r="24" spans="1:7" x14ac:dyDescent="0.2">
      <c r="A24" s="870" t="s">
        <v>481</v>
      </c>
      <c r="B24" s="871" t="s">
        <v>1074</v>
      </c>
      <c r="C24" s="876">
        <f>'Revenues 9-14'!B56</f>
        <v>1442</v>
      </c>
      <c r="D24" s="877" t="str">
        <f>'Revenues 9-14'!A56</f>
        <v>Special Ed - Transp Fees from Other Districts (In State)</v>
      </c>
      <c r="E24" s="869"/>
      <c r="F24" s="1937">
        <f>'Revenues 9-14'!F56</f>
        <v>0</v>
      </c>
      <c r="G24" s="866"/>
    </row>
    <row r="25" spans="1:7" x14ac:dyDescent="0.2">
      <c r="A25" s="870" t="s">
        <v>481</v>
      </c>
      <c r="B25" s="871" t="s">
        <v>1075</v>
      </c>
      <c r="C25" s="876">
        <f>'Revenues 9-14'!B59</f>
        <v>1451</v>
      </c>
      <c r="D25" s="877" t="str">
        <f>'Revenues 9-14'!A59</f>
        <v>Adult - Transp Fees from Pupils or Parents (In State)</v>
      </c>
      <c r="E25" s="869"/>
      <c r="F25" s="1937">
        <f>'Revenues 9-14'!F59</f>
        <v>0</v>
      </c>
      <c r="G25" s="866"/>
    </row>
    <row r="26" spans="1:7" x14ac:dyDescent="0.2">
      <c r="A26" s="870" t="s">
        <v>481</v>
      </c>
      <c r="B26" s="871" t="s">
        <v>1076</v>
      </c>
      <c r="C26" s="876">
        <f>'Revenues 9-14'!B60</f>
        <v>1452</v>
      </c>
      <c r="D26" s="877" t="str">
        <f>'Revenues 9-14'!A60</f>
        <v>Adult - Transp Fees from Other Districts (In State)</v>
      </c>
      <c r="E26" s="869"/>
      <c r="F26" s="1937">
        <f>'Revenues 9-14'!F60</f>
        <v>0</v>
      </c>
      <c r="G26" s="866"/>
    </row>
    <row r="27" spans="1:7" x14ac:dyDescent="0.2">
      <c r="A27" s="870" t="s">
        <v>481</v>
      </c>
      <c r="B27" s="871" t="s">
        <v>1077</v>
      </c>
      <c r="C27" s="876">
        <f>'Revenues 9-14'!B61</f>
        <v>1453</v>
      </c>
      <c r="D27" s="877" t="str">
        <f>'Revenues 9-14'!A61</f>
        <v>Adult - Transp Fees from Other Sources (In State)</v>
      </c>
      <c r="E27" s="869"/>
      <c r="F27" s="1937">
        <f>'Revenues 9-14'!F61</f>
        <v>0</v>
      </c>
      <c r="G27" s="866"/>
    </row>
    <row r="28" spans="1:7" x14ac:dyDescent="0.2">
      <c r="A28" s="870" t="s">
        <v>481</v>
      </c>
      <c r="B28" s="871" t="s">
        <v>1078</v>
      </c>
      <c r="C28" s="876">
        <f>'Revenues 9-14'!B62</f>
        <v>1454</v>
      </c>
      <c r="D28" s="877" t="str">
        <f>'Revenues 9-14'!A62</f>
        <v>Adult - Transp Fees from Other Sources (Out of State)</v>
      </c>
      <c r="E28" s="869"/>
      <c r="F28" s="1937">
        <f>'Revenues 9-14'!F62</f>
        <v>0</v>
      </c>
      <c r="G28" s="866"/>
    </row>
    <row r="29" spans="1:7" x14ac:dyDescent="0.2">
      <c r="A29" s="870" t="s">
        <v>1159</v>
      </c>
      <c r="B29" s="871" t="s">
        <v>1683</v>
      </c>
      <c r="C29" s="881">
        <f>'Revenues 9-14'!B148</f>
        <v>3410</v>
      </c>
      <c r="D29" s="882" t="str">
        <f>'Revenues 9-14'!A148</f>
        <v>Adult Ed (from ICCB)</v>
      </c>
      <c r="E29" s="869"/>
      <c r="F29" s="1937">
        <f>SUM('Revenues 9-14'!D148,F149)</f>
        <v>0</v>
      </c>
      <c r="G29" s="866"/>
    </row>
    <row r="30" spans="1:7" x14ac:dyDescent="0.2">
      <c r="A30" s="870" t="s">
        <v>1159</v>
      </c>
      <c r="B30" s="871" t="s">
        <v>861</v>
      </c>
      <c r="C30" s="881">
        <f>'Revenues 9-14'!B149</f>
        <v>3499</v>
      </c>
      <c r="D30" s="882" t="str">
        <f>'Revenues 9-14'!A149</f>
        <v>Adult Ed - Other (Describe &amp; Itemize)</v>
      </c>
      <c r="E30" s="869"/>
      <c r="F30" s="1938">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7">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7">
        <f>SUM('Revenues 9-14'!D219,'Revenues 9-14'!F219)</f>
        <v>0</v>
      </c>
      <c r="G32" s="866"/>
    </row>
    <row r="33" spans="1:7" x14ac:dyDescent="0.2">
      <c r="A33" s="870" t="s">
        <v>480</v>
      </c>
      <c r="B33" s="871" t="s">
        <v>801</v>
      </c>
      <c r="C33" s="876">
        <f>'Revenues 9-14'!B229</f>
        <v>4810</v>
      </c>
      <c r="D33" s="884" t="str">
        <f>'Revenues 9-14'!A229</f>
        <v>Federal - Adult Education</v>
      </c>
      <c r="E33" s="869"/>
      <c r="F33" s="1937">
        <f>'Revenues 9-14'!D229</f>
        <v>0</v>
      </c>
      <c r="G33" s="866"/>
    </row>
    <row r="34" spans="1:7" x14ac:dyDescent="0.2">
      <c r="A34" s="870" t="s">
        <v>479</v>
      </c>
      <c r="B34" s="870" t="s">
        <v>1545</v>
      </c>
      <c r="C34" s="887" t="str">
        <f>'Expenditures 15-22'!B7</f>
        <v>1125</v>
      </c>
      <c r="D34" s="888" t="str">
        <f>'Expenditures 15-22'!A7</f>
        <v>Pre-K Programs</v>
      </c>
      <c r="E34" s="869"/>
      <c r="F34" s="1937">
        <f>'Expenditures 15-22'!K7-SUM('Expenditures 15-22'!G7,'Expenditures 15-22'!I7)</f>
        <v>286181</v>
      </c>
      <c r="G34" s="866"/>
    </row>
    <row r="35" spans="1:7" x14ac:dyDescent="0.2">
      <c r="A35" s="870" t="s">
        <v>479</v>
      </c>
      <c r="B35" s="870" t="s">
        <v>1546</v>
      </c>
      <c r="C35" s="887" t="str">
        <f>'Expenditures 15-22'!B9</f>
        <v>1225</v>
      </c>
      <c r="D35" s="888" t="str">
        <f>'Expenditures 15-22'!A9</f>
        <v>Special Education Programs Pre-K</v>
      </c>
      <c r="E35" s="869"/>
      <c r="F35" s="1937">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7">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7">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7">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7">
        <f>'Expenditures 15-22'!K20</f>
        <v>0</v>
      </c>
      <c r="G39" s="866"/>
    </row>
    <row r="40" spans="1:7" x14ac:dyDescent="0.2">
      <c r="A40" s="870" t="s">
        <v>479</v>
      </c>
      <c r="B40" s="870" t="s">
        <v>120</v>
      </c>
      <c r="C40" s="887" t="str">
        <f>'Expenditures 15-22'!B21</f>
        <v>1911</v>
      </c>
      <c r="D40" s="889" t="str">
        <f>'Expenditures 15-22'!A21</f>
        <v>Regular K-12 Programs - Private Tuition</v>
      </c>
      <c r="E40" s="869"/>
      <c r="F40" s="1937">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7">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7">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7">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7">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7">
        <f>'Expenditures 15-22'!K26</f>
        <v>0</v>
      </c>
      <c r="G45" s="866"/>
    </row>
    <row r="46" spans="1:7" x14ac:dyDescent="0.2">
      <c r="A46" s="870" t="s">
        <v>479</v>
      </c>
      <c r="B46" s="870" t="s">
        <v>126</v>
      </c>
      <c r="C46" s="887" t="str">
        <f>'Expenditures 15-22'!B27</f>
        <v>1917</v>
      </c>
      <c r="D46" s="889" t="str">
        <f>'Expenditures 15-22'!A27</f>
        <v>CTE Programs - Private Tuition</v>
      </c>
      <c r="E46" s="869"/>
      <c r="F46" s="1937">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7">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7">
        <f>'Expenditures 15-22'!K29</f>
        <v>0</v>
      </c>
      <c r="G48" s="866"/>
    </row>
    <row r="49" spans="1:7" x14ac:dyDescent="0.2">
      <c r="A49" s="870" t="s">
        <v>479</v>
      </c>
      <c r="B49" s="870" t="s">
        <v>129</v>
      </c>
      <c r="C49" s="887" t="str">
        <f>'Expenditures 15-22'!B30</f>
        <v>1920</v>
      </c>
      <c r="D49" s="889" t="str">
        <f>'Expenditures 15-22'!A30</f>
        <v>Gifted Programs - Private Tuition</v>
      </c>
      <c r="E49" s="869"/>
      <c r="F49" s="1937">
        <f>'Expenditures 15-22'!K30</f>
        <v>0</v>
      </c>
      <c r="G49" s="866"/>
    </row>
    <row r="50" spans="1:7" x14ac:dyDescent="0.2">
      <c r="A50" s="870" t="s">
        <v>479</v>
      </c>
      <c r="B50" s="870" t="s">
        <v>130</v>
      </c>
      <c r="C50" s="887" t="str">
        <f>'Expenditures 15-22'!B31</f>
        <v>1921</v>
      </c>
      <c r="D50" s="889" t="str">
        <f>'Expenditures 15-22'!A31</f>
        <v>Bilingual Programs - Private Tuition</v>
      </c>
      <c r="E50" s="869"/>
      <c r="F50" s="1937">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7">
        <f>'Expenditures 15-22'!K32</f>
        <v>0</v>
      </c>
      <c r="G51" s="866"/>
    </row>
    <row r="52" spans="1:7" x14ac:dyDescent="0.2">
      <c r="A52" s="870" t="s">
        <v>479</v>
      </c>
      <c r="B52" s="870" t="s">
        <v>1550</v>
      </c>
      <c r="C52" s="890" t="str">
        <f>'Expenditures 15-22'!B75</f>
        <v>3000</v>
      </c>
      <c r="D52" s="889" t="s">
        <v>469</v>
      </c>
      <c r="E52" s="869"/>
      <c r="F52" s="1937">
        <f>'Expenditures 15-22'!K75-SUM('Expenditures 15-22'!G75,'Expenditures 15-22'!I75)</f>
        <v>77418</v>
      </c>
      <c r="G52" s="866"/>
    </row>
    <row r="53" spans="1:7" x14ac:dyDescent="0.2">
      <c r="A53" s="870" t="s">
        <v>479</v>
      </c>
      <c r="B53" s="870" t="s">
        <v>1551</v>
      </c>
      <c r="C53" s="890">
        <f>'Expenditures 15-22'!B102</f>
        <v>4000</v>
      </c>
      <c r="D53" s="889" t="str">
        <f>'Expenditures 15-22'!A102</f>
        <v>Total Payments to Other Govt Units</v>
      </c>
      <c r="E53" s="869"/>
      <c r="F53" s="1937">
        <f>'Expenditures 15-22'!K102</f>
        <v>157653</v>
      </c>
      <c r="G53" s="866"/>
    </row>
    <row r="54" spans="1:7" x14ac:dyDescent="0.2">
      <c r="A54" s="870" t="s">
        <v>479</v>
      </c>
      <c r="B54" s="870" t="s">
        <v>1552</v>
      </c>
      <c r="C54" s="890" t="s">
        <v>1039</v>
      </c>
      <c r="D54" s="886" t="s">
        <v>1157</v>
      </c>
      <c r="E54" s="869"/>
      <c r="F54" s="1937">
        <f>'Expenditures 15-22'!G114</f>
        <v>89329</v>
      </c>
      <c r="G54" s="866"/>
    </row>
    <row r="55" spans="1:7" x14ac:dyDescent="0.2">
      <c r="A55" s="870" t="s">
        <v>479</v>
      </c>
      <c r="B55" s="870" t="s">
        <v>1553</v>
      </c>
      <c r="C55" s="890" t="s">
        <v>1039</v>
      </c>
      <c r="D55" s="886" t="s">
        <v>309</v>
      </c>
      <c r="E55" s="869"/>
      <c r="F55" s="1937">
        <f>'Expenditures 15-22'!I114</f>
        <v>0</v>
      </c>
      <c r="G55" s="866"/>
    </row>
    <row r="56" spans="1:7" x14ac:dyDescent="0.2">
      <c r="A56" s="870" t="s">
        <v>480</v>
      </c>
      <c r="B56" s="870" t="s">
        <v>1554</v>
      </c>
      <c r="C56" s="887" t="str">
        <f>'Expenditures 15-22'!B130</f>
        <v>3000</v>
      </c>
      <c r="D56" s="893" t="s">
        <v>469</v>
      </c>
      <c r="E56" s="869"/>
      <c r="F56" s="1937">
        <f>'Expenditures 15-22'!K130-SUM('Expenditures 15-22'!G130+'Expenditures 15-22'!I130)</f>
        <v>0</v>
      </c>
      <c r="G56" s="866"/>
    </row>
    <row r="57" spans="1:7" x14ac:dyDescent="0.2">
      <c r="A57" s="870" t="s">
        <v>480</v>
      </c>
      <c r="B57" s="870" t="s">
        <v>1992</v>
      </c>
      <c r="C57" s="890">
        <f>'Expenditures 15-22'!B139</f>
        <v>4000</v>
      </c>
      <c r="D57" s="888" t="str">
        <f>'Expenditures 15-22'!A139</f>
        <v>Total Payments to Other Govt Units</v>
      </c>
      <c r="E57" s="869"/>
      <c r="F57" s="1937">
        <f>'Expenditures 15-22'!K139</f>
        <v>0</v>
      </c>
      <c r="G57" s="866"/>
    </row>
    <row r="58" spans="1:7" x14ac:dyDescent="0.2">
      <c r="A58" s="870" t="s">
        <v>480</v>
      </c>
      <c r="B58" s="870" t="s">
        <v>1993</v>
      </c>
      <c r="C58" s="887" t="s">
        <v>1039</v>
      </c>
      <c r="D58" s="886" t="s">
        <v>1157</v>
      </c>
      <c r="E58" s="869"/>
      <c r="F58" s="1939">
        <f>'Expenditures 15-22'!G151</f>
        <v>58253</v>
      </c>
      <c r="G58" s="866"/>
    </row>
    <row r="59" spans="1:7" x14ac:dyDescent="0.2">
      <c r="A59" s="894" t="s">
        <v>480</v>
      </c>
      <c r="B59" s="857" t="s">
        <v>1994</v>
      </c>
      <c r="C59" s="895" t="s">
        <v>1039</v>
      </c>
      <c r="D59" s="857" t="s">
        <v>309</v>
      </c>
      <c r="F59" s="1940">
        <f>'Expenditures 15-22'!I151</f>
        <v>0</v>
      </c>
      <c r="G59" s="866"/>
    </row>
    <row r="60" spans="1:7" x14ac:dyDescent="0.2">
      <c r="A60" s="894" t="s">
        <v>520</v>
      </c>
      <c r="B60" s="857" t="s">
        <v>1995</v>
      </c>
      <c r="C60" s="895">
        <v>4000</v>
      </c>
      <c r="D60" s="857" t="s">
        <v>330</v>
      </c>
      <c r="F60" s="1938">
        <f>'Expenditures 15-22'!K160</f>
        <v>0</v>
      </c>
      <c r="G60" s="866"/>
    </row>
    <row r="61" spans="1:7" x14ac:dyDescent="0.2">
      <c r="A61" s="896" t="s">
        <v>520</v>
      </c>
      <c r="B61" s="896" t="s">
        <v>1996</v>
      </c>
      <c r="C61" s="897" t="str">
        <f>'Expenditures 15-22'!B170</f>
        <v>5300</v>
      </c>
      <c r="D61" s="898" t="s">
        <v>329</v>
      </c>
      <c r="E61" s="880"/>
      <c r="F61" s="1937">
        <f>'Expenditures 15-22'!K170</f>
        <v>192200</v>
      </c>
      <c r="G61" s="866"/>
    </row>
    <row r="62" spans="1:7" x14ac:dyDescent="0.2">
      <c r="A62" s="870" t="s">
        <v>481</v>
      </c>
      <c r="B62" s="870" t="s">
        <v>1997</v>
      </c>
      <c r="C62" s="887">
        <f>'Expenditures 15-22'!B185</f>
        <v>3000</v>
      </c>
      <c r="D62" s="877" t="s">
        <v>469</v>
      </c>
      <c r="E62" s="869"/>
      <c r="F62" s="1937">
        <f>'Expenditures 15-22'!K185-SUM('Expenditures 15-22'!G185,'Expenditures 15-22'!I185)</f>
        <v>0</v>
      </c>
      <c r="G62" s="866"/>
    </row>
    <row r="63" spans="1:7" x14ac:dyDescent="0.2">
      <c r="A63" s="870" t="s">
        <v>481</v>
      </c>
      <c r="B63" s="870" t="s">
        <v>1998</v>
      </c>
      <c r="C63" s="887" t="str">
        <f>'Expenditures 15-22'!B196</f>
        <v>4000</v>
      </c>
      <c r="D63" s="888" t="str">
        <f>'Expenditures 15-22'!A196</f>
        <v>Total Payments to Other Govt Units</v>
      </c>
      <c r="E63" s="869"/>
      <c r="F63" s="1937">
        <f>'Expenditures 15-22'!K196</f>
        <v>0</v>
      </c>
      <c r="G63" s="866"/>
    </row>
    <row r="64" spans="1:7" x14ac:dyDescent="0.2">
      <c r="A64" s="896" t="s">
        <v>481</v>
      </c>
      <c r="B64" s="896" t="s">
        <v>1999</v>
      </c>
      <c r="C64" s="897" t="str">
        <f>'Expenditures 15-22'!B206</f>
        <v>5300</v>
      </c>
      <c r="D64" s="893" t="s">
        <v>329</v>
      </c>
      <c r="E64" s="869"/>
      <c r="F64" s="1937">
        <f>'Expenditures 15-22'!K206</f>
        <v>77761</v>
      </c>
      <c r="G64" s="866"/>
    </row>
    <row r="65" spans="1:8" x14ac:dyDescent="0.2">
      <c r="A65" s="870" t="s">
        <v>481</v>
      </c>
      <c r="B65" s="870" t="s">
        <v>2000</v>
      </c>
      <c r="C65" s="887" t="s">
        <v>1039</v>
      </c>
      <c r="D65" s="886" t="s">
        <v>1157</v>
      </c>
      <c r="E65" s="869"/>
      <c r="F65" s="1937">
        <f>'Expenditures 15-22'!G210</f>
        <v>0</v>
      </c>
      <c r="G65" s="866"/>
    </row>
    <row r="66" spans="1:8" x14ac:dyDescent="0.2">
      <c r="A66" s="870" t="s">
        <v>481</v>
      </c>
      <c r="B66" s="870" t="s">
        <v>2001</v>
      </c>
      <c r="C66" s="887" t="s">
        <v>1039</v>
      </c>
      <c r="D66" s="886" t="s">
        <v>309</v>
      </c>
      <c r="E66" s="869"/>
      <c r="F66" s="1937">
        <f>'Expenditures 15-22'!I210</f>
        <v>0</v>
      </c>
      <c r="G66" s="866"/>
    </row>
    <row r="67" spans="1:8" x14ac:dyDescent="0.2">
      <c r="A67" s="870" t="s">
        <v>482</v>
      </c>
      <c r="B67" s="870" t="s">
        <v>2002</v>
      </c>
      <c r="C67" s="887" t="str">
        <f>'Expenditures 15-22'!B216</f>
        <v>1125</v>
      </c>
      <c r="D67" s="893" t="str">
        <f>'Expenditures 15-22'!A216</f>
        <v>Pre-K Programs</v>
      </c>
      <c r="E67" s="869"/>
      <c r="F67" s="1937">
        <f>'Expenditures 15-22'!K216</f>
        <v>638</v>
      </c>
      <c r="G67" s="866"/>
    </row>
    <row r="68" spans="1:8" x14ac:dyDescent="0.2">
      <c r="A68" s="870" t="s">
        <v>482</v>
      </c>
      <c r="B68" s="870" t="s">
        <v>1555</v>
      </c>
      <c r="C68" s="887" t="str">
        <f>'Expenditures 15-22'!B218</f>
        <v>1225</v>
      </c>
      <c r="D68" s="893" t="str">
        <f>'Expenditures 15-22'!A218</f>
        <v>Special Education Programs - Pre-K</v>
      </c>
      <c r="E68" s="869"/>
      <c r="F68" s="1937">
        <f>'Expenditures 15-22'!K218</f>
        <v>0</v>
      </c>
      <c r="G68" s="866"/>
    </row>
    <row r="69" spans="1:8" x14ac:dyDescent="0.2">
      <c r="A69" s="870" t="s">
        <v>482</v>
      </c>
      <c r="B69" s="870" t="s">
        <v>2003</v>
      </c>
      <c r="C69" s="887" t="str">
        <f>'Expenditures 15-22'!B220</f>
        <v>1275</v>
      </c>
      <c r="D69" s="893" t="str">
        <f>'Expenditures 15-22'!A220</f>
        <v>Remedial and Supplemental Programs - Pre-K</v>
      </c>
      <c r="E69" s="869"/>
      <c r="F69" s="1937">
        <f>'Expenditures 15-22'!K220</f>
        <v>0</v>
      </c>
      <c r="G69" s="866"/>
    </row>
    <row r="70" spans="1:8" x14ac:dyDescent="0.2">
      <c r="A70" s="870" t="s">
        <v>482</v>
      </c>
      <c r="B70" s="870" t="s">
        <v>2004</v>
      </c>
      <c r="C70" s="887">
        <f>'Expenditures 15-22'!B221</f>
        <v>1300</v>
      </c>
      <c r="D70" s="888" t="str">
        <f>'Expenditures 15-22'!A221</f>
        <v>Adult/Continuing Education Programs</v>
      </c>
      <c r="E70" s="869"/>
      <c r="F70" s="1937">
        <f>'Expenditures 15-22'!K221</f>
        <v>0</v>
      </c>
      <c r="G70" s="866"/>
    </row>
    <row r="71" spans="1:8" x14ac:dyDescent="0.2">
      <c r="A71" s="870" t="s">
        <v>482</v>
      </c>
      <c r="B71" s="870" t="s">
        <v>2005</v>
      </c>
      <c r="C71" s="887">
        <f>'Expenditures 15-22'!B224</f>
        <v>1600</v>
      </c>
      <c r="D71" s="888" t="str">
        <f>'Expenditures 15-22'!A224</f>
        <v>Summer School Programs</v>
      </c>
      <c r="E71" s="869"/>
      <c r="F71" s="1937">
        <f>'Expenditures 15-22'!K224</f>
        <v>0</v>
      </c>
      <c r="G71" s="866"/>
    </row>
    <row r="72" spans="1:8" x14ac:dyDescent="0.2">
      <c r="A72" s="870" t="s">
        <v>482</v>
      </c>
      <c r="B72" s="870" t="s">
        <v>2006</v>
      </c>
      <c r="C72" s="887">
        <f>'Expenditures 15-22'!B280</f>
        <v>3000</v>
      </c>
      <c r="D72" s="877" t="s">
        <v>469</v>
      </c>
      <c r="E72" s="869"/>
      <c r="F72" s="1937">
        <f>'Expenditures 15-22'!K280</f>
        <v>15</v>
      </c>
      <c r="G72" s="866"/>
    </row>
    <row r="73" spans="1:8" x14ac:dyDescent="0.2">
      <c r="A73" s="870" t="s">
        <v>482</v>
      </c>
      <c r="B73" s="870" t="s">
        <v>2007</v>
      </c>
      <c r="C73" s="887" t="str">
        <f>'Expenditures 15-22'!B285</f>
        <v>4000</v>
      </c>
      <c r="D73" s="888" t="str">
        <f>'Expenditures 15-22'!A285</f>
        <v>Total Payments to Other Govt Units</v>
      </c>
      <c r="E73" s="869"/>
      <c r="F73" s="1937">
        <f>'Expenditures 15-22'!K285</f>
        <v>0</v>
      </c>
      <c r="G73" s="866"/>
    </row>
    <row r="74" spans="1:8" x14ac:dyDescent="0.2">
      <c r="A74" s="870" t="s">
        <v>456</v>
      </c>
      <c r="B74" s="870" t="s">
        <v>2008</v>
      </c>
      <c r="C74" s="887" t="s">
        <v>915</v>
      </c>
      <c r="D74" s="888" t="s">
        <v>1567</v>
      </c>
      <c r="E74" s="869"/>
      <c r="F74" s="1941">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2009</v>
      </c>
      <c r="E76" s="1796" t="s">
        <v>1015</v>
      </c>
      <c r="F76" s="1800">
        <f>SUM(F18:F74)</f>
        <v>939448</v>
      </c>
      <c r="G76" s="866"/>
    </row>
    <row r="77" spans="1:8" s="894" customFormat="1" ht="12" customHeight="1" thickTop="1" thickBot="1" x14ac:dyDescent="0.25">
      <c r="A77" s="1801"/>
      <c r="B77" s="1798"/>
      <c r="C77" s="1794"/>
      <c r="D77" s="1799" t="s">
        <v>2010</v>
      </c>
      <c r="E77" s="1796"/>
      <c r="F77" s="1802">
        <f>(F14-F76)</f>
        <v>10461876</v>
      </c>
      <c r="G77" s="870"/>
    </row>
    <row r="78" spans="1:8" s="894" customFormat="1" ht="12" customHeight="1" thickTop="1" x14ac:dyDescent="0.2">
      <c r="A78" s="1803"/>
      <c r="B78" s="1798"/>
      <c r="C78" s="1794"/>
      <c r="D78" s="1799" t="s">
        <v>2057</v>
      </c>
      <c r="E78" s="1796"/>
      <c r="F78" s="899">
        <v>1040.71</v>
      </c>
      <c r="G78" s="900"/>
      <c r="H78" s="870"/>
    </row>
    <row r="79" spans="1:8" s="894" customFormat="1" ht="12" customHeight="1" thickBot="1" x14ac:dyDescent="0.25">
      <c r="A79" s="1804"/>
      <c r="B79" s="1798"/>
      <c r="C79" s="1794"/>
      <c r="D79" s="1799" t="s">
        <v>2011</v>
      </c>
      <c r="E79" s="1796" t="s">
        <v>1015</v>
      </c>
      <c r="F79" s="1805">
        <f>IF(F78&gt;0,F77/F78," Complete Line 78")</f>
        <v>10052.63329842127</v>
      </c>
      <c r="G79" s="870"/>
    </row>
    <row r="80" spans="1:8" s="894" customFormat="1" ht="8.25" customHeight="1" thickTop="1" x14ac:dyDescent="0.2">
      <c r="A80" s="901"/>
      <c r="B80" s="870"/>
      <c r="C80" s="872"/>
      <c r="D80" s="902"/>
      <c r="E80" s="869"/>
      <c r="F80" s="903"/>
      <c r="G80" s="870"/>
    </row>
    <row r="81" spans="1:7" s="894" customFormat="1" ht="12" thickBot="1" x14ac:dyDescent="0.25">
      <c r="A81" s="2287" t="s">
        <v>1167</v>
      </c>
      <c r="B81" s="2288"/>
      <c r="C81" s="2288"/>
      <c r="D81" s="2288"/>
      <c r="E81" s="2288"/>
      <c r="F81" s="2289"/>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1">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52789</v>
      </c>
      <c r="G94" s="913"/>
    </row>
    <row r="95" spans="1:7" x14ac:dyDescent="0.2">
      <c r="A95" s="909" t="s">
        <v>142</v>
      </c>
      <c r="B95" s="909" t="s">
        <v>177</v>
      </c>
      <c r="C95" s="911">
        <v>1700</v>
      </c>
      <c r="D95" s="919" t="str">
        <f>'Revenues 9-14'!A82</f>
        <v>Total District/School Activity Income</v>
      </c>
      <c r="E95" s="907"/>
      <c r="F95" s="1811">
        <f>SUM('Revenues 9-14'!C82,'Revenues 9-14'!D82)</f>
        <v>57534</v>
      </c>
      <c r="G95" s="913"/>
    </row>
    <row r="96" spans="1:7" x14ac:dyDescent="0.2">
      <c r="A96" s="909" t="s">
        <v>479</v>
      </c>
      <c r="B96" s="909" t="s">
        <v>178</v>
      </c>
      <c r="C96" s="911">
        <f>'Revenues 9-14'!B84</f>
        <v>1811</v>
      </c>
      <c r="D96" s="912" t="str">
        <f>'Revenues 9-14'!A84</f>
        <v>Rentals - Regular Textbooks</v>
      </c>
      <c r="E96" s="907"/>
      <c r="F96" s="1811">
        <f>'Revenues 9-14'!C84</f>
        <v>14252</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920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166240</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34448</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5891</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14768</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395273</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79270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1574</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0">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1">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1">
        <f>SUM('Revenues 9-14'!C166:G166)</f>
        <v>0</v>
      </c>
      <c r="G122" s="913"/>
    </row>
    <row r="123" spans="1:7" x14ac:dyDescent="0.2">
      <c r="A123" s="924" t="s">
        <v>525</v>
      </c>
      <c r="B123" s="924" t="s">
        <v>853</v>
      </c>
      <c r="C123" s="925">
        <f>'Revenues 9-14'!B167</f>
        <v>3815</v>
      </c>
      <c r="D123" s="926" t="str">
        <f>'Revenues 9-14'!A167</f>
        <v>State Charter Schools</v>
      </c>
      <c r="E123" s="907"/>
      <c r="F123" s="1931">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32499</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36393</v>
      </c>
      <c r="G128" s="931"/>
    </row>
    <row r="129" spans="1:7" x14ac:dyDescent="0.2">
      <c r="A129" s="928" t="s">
        <v>685</v>
      </c>
      <c r="B129" s="928" t="s">
        <v>803</v>
      </c>
      <c r="C129" s="933">
        <v>4200</v>
      </c>
      <c r="D129" s="930" t="str">
        <f>'Revenues 9-14'!A201</f>
        <v>Total Food Service</v>
      </c>
      <c r="E129" s="907"/>
      <c r="F129" s="1811">
        <f>SUM('Revenues 9-14'!C201,'Revenues 9-14'!G201)</f>
        <v>357331</v>
      </c>
      <c r="G129" s="931"/>
    </row>
    <row r="130" spans="1:7" x14ac:dyDescent="0.2">
      <c r="A130" s="928" t="s">
        <v>689</v>
      </c>
      <c r="B130" s="928" t="s">
        <v>804</v>
      </c>
      <c r="C130" s="933">
        <v>4300</v>
      </c>
      <c r="D130" s="934" t="str">
        <f>'Revenues 9-14'!A211</f>
        <v>Total Title I</v>
      </c>
      <c r="E130" s="907"/>
      <c r="F130" s="1811">
        <f>SUM('Revenues 9-14'!C211,'Revenues 9-14'!D211,'Revenues 9-14'!F211,'Revenues 9-14'!G211)</f>
        <v>568843</v>
      </c>
      <c r="G130" s="931"/>
    </row>
    <row r="131" spans="1:7" x14ac:dyDescent="0.2">
      <c r="A131" s="928" t="s">
        <v>689</v>
      </c>
      <c r="B131" s="928" t="s">
        <v>805</v>
      </c>
      <c r="C131" s="933">
        <v>4400</v>
      </c>
      <c r="D131" s="934" t="str">
        <f>'Revenues 9-14'!A216</f>
        <v>Total Title IV</v>
      </c>
      <c r="E131" s="907"/>
      <c r="F131" s="1811">
        <f>SUM('Revenues 9-14'!C216,'Revenues 9-14'!D216,'Revenues 9-14'!F216,'Revenues 9-14'!G216)</f>
        <v>14400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2234</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3940</v>
      </c>
      <c r="G136" s="931">
        <v>6303</v>
      </c>
    </row>
    <row r="137" spans="1:7" s="868" customFormat="1" hidden="1" x14ac:dyDescent="0.2">
      <c r="A137" s="935" t="s">
        <v>215</v>
      </c>
      <c r="B137" s="935" t="s">
        <v>1484</v>
      </c>
      <c r="C137" s="936" t="s">
        <v>216</v>
      </c>
      <c r="D137" s="937" t="str">
        <f>'Revenues 9-14'!A231</f>
        <v>ARRA - Title I - Low Income</v>
      </c>
      <c r="E137" s="938"/>
      <c r="F137" s="1931">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1">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1">
        <f>SUM('Revenues 9-14'!C268,'Revenues 9-14'!D268,'Revenues 9-14'!F268,'Revenues 9-14'!G268)</f>
        <v>58609</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11041</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42138</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2" t="s">
        <v>5</v>
      </c>
      <c r="B175" s="1943" t="s">
        <v>2056</v>
      </c>
      <c r="C175" s="1944">
        <v>3100</v>
      </c>
      <c r="D175" s="1945" t="s">
        <v>2059</v>
      </c>
      <c r="E175" s="907"/>
      <c r="F175" s="1929"/>
      <c r="G175" s="928"/>
    </row>
    <row r="176" spans="1:7" x14ac:dyDescent="0.2">
      <c r="A176" s="1942" t="s">
        <v>685</v>
      </c>
      <c r="B176" s="1943" t="s">
        <v>2056</v>
      </c>
      <c r="C176" s="1944">
        <v>3300</v>
      </c>
      <c r="D176" s="1945" t="s">
        <v>2060</v>
      </c>
      <c r="E176" s="907"/>
      <c r="F176" s="1929"/>
      <c r="G176" s="928"/>
    </row>
    <row r="177" spans="1:7" ht="6" customHeight="1" x14ac:dyDescent="0.2">
      <c r="A177" s="928"/>
      <c r="B177" s="928"/>
      <c r="C177" s="950"/>
      <c r="D177" s="928"/>
      <c r="E177" s="907"/>
      <c r="F177" s="951"/>
      <c r="G177" s="948"/>
    </row>
    <row r="178" spans="1:7" x14ac:dyDescent="0.2">
      <c r="A178" s="1792"/>
      <c r="B178" s="1806"/>
      <c r="C178" s="1807"/>
      <c r="D178" s="1808" t="s">
        <v>2012</v>
      </c>
      <c r="E178" s="1809" t="s">
        <v>1015</v>
      </c>
      <c r="F178" s="1810">
        <f>SUM(F84:F136,F161:F176)</f>
        <v>1950387</v>
      </c>
    </row>
    <row r="179" spans="1:7" ht="12" customHeight="1" x14ac:dyDescent="0.2">
      <c r="A179" s="1792"/>
      <c r="B179" s="1806"/>
      <c r="C179" s="1807"/>
      <c r="D179" s="1808" t="s">
        <v>2013</v>
      </c>
      <c r="E179" s="1809"/>
      <c r="F179" s="1811">
        <f>'PCTC-OEPP 27-28'!F77-F178</f>
        <v>8511489</v>
      </c>
    </row>
    <row r="180" spans="1:7" ht="12" customHeight="1" x14ac:dyDescent="0.2">
      <c r="A180" s="1792"/>
      <c r="B180" s="1806"/>
      <c r="C180" s="1807"/>
      <c r="D180" s="1808" t="s">
        <v>1922</v>
      </c>
      <c r="E180" s="1809"/>
      <c r="F180" s="1811">
        <f>'Cap Outlay Deprec 26'!I18</f>
        <v>446770</v>
      </c>
    </row>
    <row r="181" spans="1:7" ht="12" customHeight="1" x14ac:dyDescent="0.2">
      <c r="A181" s="1792"/>
      <c r="B181" s="1806"/>
      <c r="C181" s="1807"/>
      <c r="D181" s="1808" t="s">
        <v>2014</v>
      </c>
      <c r="E181" s="1809"/>
      <c r="F181" s="1811">
        <f>F179+F180</f>
        <v>8958259</v>
      </c>
    </row>
    <row r="182" spans="1:7" ht="12" customHeight="1" x14ac:dyDescent="0.2">
      <c r="A182" s="1792"/>
      <c r="B182" s="1812"/>
      <c r="C182" s="1807"/>
      <c r="D182" s="1808" t="str">
        <f>D78</f>
        <v>9 Month ADA from District Average Daily Attendance/Prior General State Aid Inquiry 2017-2018</v>
      </c>
      <c r="E182" s="1809"/>
      <c r="F182" s="1813">
        <f>'PCTC-OEPP 27-28'!F78</f>
        <v>1040.71</v>
      </c>
      <c r="G182" s="931"/>
    </row>
    <row r="183" spans="1:7" ht="12" customHeight="1" thickBot="1" x14ac:dyDescent="0.25">
      <c r="A183" s="1792"/>
      <c r="B183" s="1812"/>
      <c r="C183" s="1807"/>
      <c r="D183" s="1808" t="s">
        <v>2015</v>
      </c>
      <c r="E183" s="1809" t="s">
        <v>1626</v>
      </c>
      <c r="F183" s="1814">
        <f>F181/F182</f>
        <v>8607.8340748143091</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6" customFormat="1" ht="12.2" customHeight="1" x14ac:dyDescent="0.2">
      <c r="A186" s="1946" t="s">
        <v>2063</v>
      </c>
      <c r="B186" s="1947"/>
      <c r="C186" s="1948"/>
      <c r="D186" s="1947"/>
      <c r="E186" s="1948"/>
      <c r="F186" s="1947"/>
      <c r="G186" s="1947"/>
    </row>
    <row r="187" spans="1:7" s="1946" customFormat="1" ht="12.2" customHeight="1" x14ac:dyDescent="0.2">
      <c r="A187" s="1949" t="s">
        <v>2064</v>
      </c>
      <c r="C187" s="1948"/>
      <c r="D187" s="1947"/>
      <c r="E187" s="1948"/>
      <c r="F187" s="1947"/>
      <c r="G187" s="1947"/>
    </row>
    <row r="188" spans="1:7" ht="12" customHeight="1" x14ac:dyDescent="0.2">
      <c r="C188" s="950"/>
      <c r="D188" s="931"/>
      <c r="E188" s="950"/>
      <c r="F188" s="931"/>
      <c r="G188" s="931"/>
    </row>
    <row r="189" spans="1:7" x14ac:dyDescent="0.2">
      <c r="A189" s="1950" t="s">
        <v>2062</v>
      </c>
      <c r="B189" s="1951"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&amp;C69</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32"/>
  <sheetViews>
    <sheetView showGridLines="0" workbookViewId="0">
      <pane ySplit="16" topLeftCell="A17" activePane="bottomLeft" state="frozen"/>
      <selection pane="bottomLeft" activeCell="A17" sqref="A17"/>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1938</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301" t="s">
        <v>1923</v>
      </c>
      <c r="B4" s="2302"/>
      <c r="C4" s="2302"/>
      <c r="D4" s="2302"/>
      <c r="E4" s="2302"/>
      <c r="F4" s="2302"/>
      <c r="G4" s="2303"/>
    </row>
    <row r="5" spans="1:7" x14ac:dyDescent="0.25">
      <c r="A5" s="2304"/>
      <c r="B5" s="2305"/>
      <c r="C5" s="2305"/>
      <c r="D5" s="2305"/>
      <c r="E5" s="2305"/>
      <c r="F5" s="2305"/>
      <c r="G5" s="2306"/>
    </row>
    <row r="6" spans="1:7" ht="18.75" x14ac:dyDescent="0.25">
      <c r="A6" s="1556" t="s">
        <v>1924</v>
      </c>
      <c r="B6" s="1557"/>
      <c r="C6" s="1557"/>
      <c r="D6" s="1557"/>
      <c r="E6" s="1557"/>
      <c r="F6" s="1557"/>
      <c r="G6" s="1558"/>
    </row>
    <row r="7" spans="1:7" ht="30.75" customHeight="1" x14ac:dyDescent="0.25">
      <c r="A7" s="2307" t="s">
        <v>2073</v>
      </c>
      <c r="B7" s="2308"/>
      <c r="C7" s="2308"/>
      <c r="D7" s="2308"/>
      <c r="E7" s="2308"/>
      <c r="F7" s="2308"/>
      <c r="G7" s="2309"/>
    </row>
    <row r="8" spans="1:7" ht="15.75" customHeight="1" x14ac:dyDescent="0.25">
      <c r="A8" s="2310" t="s">
        <v>2022</v>
      </c>
      <c r="B8" s="2311"/>
      <c r="C8" s="2311"/>
      <c r="D8" s="2311"/>
      <c r="E8" s="2311"/>
      <c r="F8" s="2311"/>
      <c r="G8" s="2312"/>
    </row>
    <row r="9" spans="1:7" ht="35.25" customHeight="1" x14ac:dyDescent="0.25">
      <c r="A9" s="2307" t="s">
        <v>2021</v>
      </c>
      <c r="B9" s="2308"/>
      <c r="C9" s="2308"/>
      <c r="D9" s="2308"/>
      <c r="E9" s="2308"/>
      <c r="F9" s="2308"/>
      <c r="G9" s="2309"/>
    </row>
    <row r="10" spans="1:7" ht="15" customHeight="1" x14ac:dyDescent="0.25">
      <c r="A10" s="1559" t="s">
        <v>1925</v>
      </c>
      <c r="B10" s="1560"/>
      <c r="C10" s="1560"/>
      <c r="D10" s="1560"/>
      <c r="E10" s="1560"/>
      <c r="F10" s="1560"/>
      <c r="G10" s="1561"/>
    </row>
    <row r="11" spans="1:7" ht="17.25" customHeight="1" x14ac:dyDescent="0.25">
      <c r="A11" s="2307" t="s">
        <v>1939</v>
      </c>
      <c r="B11" s="2308"/>
      <c r="C11" s="2308"/>
      <c r="D11" s="2308"/>
      <c r="E11" s="2308"/>
      <c r="F11" s="2308"/>
      <c r="G11" s="2309"/>
    </row>
    <row r="12" spans="1:7" ht="15" customHeight="1" x14ac:dyDescent="0.25">
      <c r="A12" s="1559" t="s">
        <v>1930</v>
      </c>
      <c r="B12" s="1560"/>
      <c r="C12" s="1560"/>
      <c r="D12" s="1560"/>
      <c r="E12" s="1560"/>
      <c r="F12" s="1560"/>
      <c r="G12" s="1561"/>
    </row>
    <row r="13" spans="1:7" ht="32.25" customHeight="1" x14ac:dyDescent="0.25">
      <c r="A13" s="2298" t="s">
        <v>1931</v>
      </c>
      <c r="B13" s="2299"/>
      <c r="C13" s="2299"/>
      <c r="D13" s="2299"/>
      <c r="E13" s="2299"/>
      <c r="F13" s="2299"/>
      <c r="G13" s="2300"/>
    </row>
    <row r="14" spans="1:7" x14ac:dyDescent="0.25">
      <c r="A14" s="1683" t="s">
        <v>1940</v>
      </c>
      <c r="B14" s="1684"/>
      <c r="C14" s="1684"/>
      <c r="D14" s="1684"/>
      <c r="E14" s="1684"/>
      <c r="F14" s="1684"/>
      <c r="G14" s="1685"/>
    </row>
    <row r="15" spans="1:7" ht="61.5" customHeight="1" x14ac:dyDescent="0.25">
      <c r="A15" s="1568" t="s">
        <v>1932</v>
      </c>
      <c r="B15" s="1568" t="s">
        <v>1933</v>
      </c>
      <c r="C15" s="1568" t="s">
        <v>1934</v>
      </c>
      <c r="D15" s="1569" t="s">
        <v>1935</v>
      </c>
      <c r="E15" s="1569" t="s">
        <v>1926</v>
      </c>
      <c r="F15" s="1569" t="s">
        <v>1936</v>
      </c>
      <c r="G15" s="1569" t="s">
        <v>1937</v>
      </c>
    </row>
    <row r="16" spans="1:7" x14ac:dyDescent="0.25">
      <c r="A16" s="1670" t="s">
        <v>1941</v>
      </c>
      <c r="B16" s="1671" t="s">
        <v>1929</v>
      </c>
      <c r="C16" s="1672" t="s">
        <v>1927</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2" t="s">
        <v>2133</v>
      </c>
      <c r="B17" s="1968" t="s">
        <v>2198</v>
      </c>
      <c r="C17" s="1953" t="s">
        <v>2134</v>
      </c>
      <c r="D17" s="1867">
        <v>3209</v>
      </c>
      <c r="E17" s="1562">
        <f t="shared" ref="E17:E132" si="1">IF(D17&lt;=25000,D17,IF(D17&gt;25000,25000,0))</f>
        <v>3209</v>
      </c>
      <c r="F17" s="1815">
        <f t="shared" si="0"/>
        <v>3209</v>
      </c>
      <c r="G17" s="1816">
        <f>IF(F17=0,0,D17-F17)</f>
        <v>0</v>
      </c>
      <c r="H17" s="1669"/>
    </row>
    <row r="18" spans="1:8" x14ac:dyDescent="0.25">
      <c r="A18" s="1952" t="s">
        <v>2136</v>
      </c>
      <c r="B18" s="1968" t="s">
        <v>2198</v>
      </c>
      <c r="C18" s="1953" t="s">
        <v>2135</v>
      </c>
      <c r="D18" s="1867">
        <v>8717</v>
      </c>
      <c r="E18" s="1562">
        <f t="shared" ref="E18:E131" si="2">IF(D18&lt;=25000,D18,IF(D18&gt;25000,25000,0))</f>
        <v>8717</v>
      </c>
      <c r="F18" s="1815">
        <f t="shared" ref="F18:F131"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8717</v>
      </c>
      <c r="G18" s="1816">
        <f t="shared" ref="G18:G131" si="4">IF(F18=0,0,D18-F18)</f>
        <v>0</v>
      </c>
    </row>
    <row r="19" spans="1:8" x14ac:dyDescent="0.25">
      <c r="A19" s="1952" t="s">
        <v>2137</v>
      </c>
      <c r="B19" s="1968" t="s">
        <v>2198</v>
      </c>
      <c r="C19" s="1953" t="s">
        <v>2138</v>
      </c>
      <c r="D19" s="1867">
        <v>2770</v>
      </c>
      <c r="E19" s="1562">
        <f t="shared" si="2"/>
        <v>2770</v>
      </c>
      <c r="F19" s="1815">
        <f t="shared" si="3"/>
        <v>2770</v>
      </c>
      <c r="G19" s="1816">
        <f t="shared" si="4"/>
        <v>0</v>
      </c>
    </row>
    <row r="20" spans="1:8" x14ac:dyDescent="0.25">
      <c r="A20" s="1952" t="s">
        <v>2108</v>
      </c>
      <c r="B20" s="1968" t="s">
        <v>2198</v>
      </c>
      <c r="C20" s="1953" t="s">
        <v>2139</v>
      </c>
      <c r="D20" s="1867">
        <v>70090</v>
      </c>
      <c r="E20" s="1562">
        <f t="shared" si="2"/>
        <v>25000</v>
      </c>
      <c r="F20" s="1815">
        <f t="shared" si="3"/>
        <v>25000</v>
      </c>
      <c r="G20" s="1816">
        <f t="shared" si="4"/>
        <v>45090</v>
      </c>
    </row>
    <row r="21" spans="1:8" x14ac:dyDescent="0.25">
      <c r="A21" s="1952" t="s">
        <v>2140</v>
      </c>
      <c r="B21" s="1968" t="s">
        <v>2199</v>
      </c>
      <c r="C21" s="1953" t="s">
        <v>2141</v>
      </c>
      <c r="D21" s="1867">
        <v>15210</v>
      </c>
      <c r="E21" s="1562">
        <f t="shared" si="2"/>
        <v>15210</v>
      </c>
      <c r="F21" s="1815">
        <f t="shared" si="3"/>
        <v>15210</v>
      </c>
      <c r="G21" s="1816">
        <f t="shared" si="4"/>
        <v>0</v>
      </c>
    </row>
    <row r="22" spans="1:8" x14ac:dyDescent="0.25">
      <c r="A22" s="1952" t="s">
        <v>2108</v>
      </c>
      <c r="B22" s="1968" t="s">
        <v>2198</v>
      </c>
      <c r="C22" s="1953" t="s">
        <v>2142</v>
      </c>
      <c r="D22" s="1867">
        <v>10991</v>
      </c>
      <c r="E22" s="1562">
        <f t="shared" si="2"/>
        <v>10991</v>
      </c>
      <c r="F22" s="1815">
        <f t="shared" si="3"/>
        <v>10991</v>
      </c>
      <c r="G22" s="1816">
        <f t="shared" si="4"/>
        <v>0</v>
      </c>
    </row>
    <row r="23" spans="1:8" x14ac:dyDescent="0.25">
      <c r="A23" s="1952" t="s">
        <v>2124</v>
      </c>
      <c r="B23" s="1968" t="s">
        <v>2198</v>
      </c>
      <c r="C23" s="1953" t="s">
        <v>2125</v>
      </c>
      <c r="D23" s="1867">
        <v>212929</v>
      </c>
      <c r="E23" s="1562">
        <f t="shared" si="2"/>
        <v>25000</v>
      </c>
      <c r="F23" s="1815">
        <f t="shared" si="3"/>
        <v>25000</v>
      </c>
      <c r="G23" s="1816">
        <f t="shared" si="4"/>
        <v>187929</v>
      </c>
    </row>
    <row r="24" spans="1:8" x14ac:dyDescent="0.25">
      <c r="A24" s="1952" t="s">
        <v>2106</v>
      </c>
      <c r="B24" s="1968" t="s">
        <v>2198</v>
      </c>
      <c r="C24" s="1953" t="s">
        <v>2107</v>
      </c>
      <c r="D24" s="1867">
        <v>19556</v>
      </c>
      <c r="E24" s="1562">
        <f t="shared" si="2"/>
        <v>19556</v>
      </c>
      <c r="F24" s="1815">
        <f t="shared" si="3"/>
        <v>19556</v>
      </c>
      <c r="G24" s="1816">
        <f t="shared" si="4"/>
        <v>0</v>
      </c>
    </row>
    <row r="25" spans="1:8" x14ac:dyDescent="0.25">
      <c r="A25" s="1952" t="s">
        <v>2108</v>
      </c>
      <c r="B25" s="1968" t="s">
        <v>2198</v>
      </c>
      <c r="C25" s="1953" t="s">
        <v>2109</v>
      </c>
      <c r="D25" s="1867">
        <v>24151</v>
      </c>
      <c r="E25" s="1562">
        <f t="shared" si="2"/>
        <v>24151</v>
      </c>
      <c r="F25" s="1815">
        <f t="shared" si="3"/>
        <v>24151</v>
      </c>
      <c r="G25" s="1816">
        <f t="shared" si="4"/>
        <v>0</v>
      </c>
    </row>
    <row r="26" spans="1:8" x14ac:dyDescent="0.25">
      <c r="A26" s="1952" t="s">
        <v>2110</v>
      </c>
      <c r="B26" s="1968" t="s">
        <v>2198</v>
      </c>
      <c r="C26" s="1953" t="s">
        <v>2111</v>
      </c>
      <c r="D26" s="1867">
        <v>2700</v>
      </c>
      <c r="E26" s="1562">
        <f t="shared" si="2"/>
        <v>2700</v>
      </c>
      <c r="F26" s="1815">
        <f t="shared" si="3"/>
        <v>2700</v>
      </c>
      <c r="G26" s="1816">
        <f t="shared" si="4"/>
        <v>0</v>
      </c>
    </row>
    <row r="27" spans="1:8" x14ac:dyDescent="0.25">
      <c r="A27" s="1952" t="s">
        <v>2105</v>
      </c>
      <c r="B27" s="1968" t="s">
        <v>2199</v>
      </c>
      <c r="C27" s="1953" t="s">
        <v>2112</v>
      </c>
      <c r="D27" s="1867">
        <v>6588</v>
      </c>
      <c r="E27" s="1562">
        <f t="shared" si="2"/>
        <v>6588</v>
      </c>
      <c r="F27" s="1815">
        <f t="shared" si="3"/>
        <v>6588</v>
      </c>
      <c r="G27" s="1816">
        <f t="shared" si="4"/>
        <v>0</v>
      </c>
    </row>
    <row r="28" spans="1:8" x14ac:dyDescent="0.25">
      <c r="A28" s="1952" t="s">
        <v>2113</v>
      </c>
      <c r="B28" s="1968" t="s">
        <v>2198</v>
      </c>
      <c r="C28" s="1953" t="s">
        <v>2114</v>
      </c>
      <c r="D28" s="1867">
        <v>9007</v>
      </c>
      <c r="E28" s="1562">
        <f t="shared" si="2"/>
        <v>9007</v>
      </c>
      <c r="F28" s="1815">
        <f t="shared" si="3"/>
        <v>9007</v>
      </c>
      <c r="G28" s="1816">
        <f t="shared" si="4"/>
        <v>0</v>
      </c>
    </row>
    <row r="29" spans="1:8" x14ac:dyDescent="0.25">
      <c r="A29" s="1952" t="s">
        <v>2115</v>
      </c>
      <c r="B29" s="1968" t="s">
        <v>2200</v>
      </c>
      <c r="C29" s="1953" t="s">
        <v>2116</v>
      </c>
      <c r="D29" s="1867">
        <v>2798</v>
      </c>
      <c r="E29" s="1562">
        <f t="shared" si="2"/>
        <v>2798</v>
      </c>
      <c r="F29" s="1815">
        <f t="shared" si="3"/>
        <v>2798</v>
      </c>
      <c r="G29" s="1816">
        <f t="shared" si="4"/>
        <v>0</v>
      </c>
    </row>
    <row r="30" spans="1:8" x14ac:dyDescent="0.25">
      <c r="A30" s="1952" t="s">
        <v>2118</v>
      </c>
      <c r="B30" s="1968" t="s">
        <v>2198</v>
      </c>
      <c r="C30" s="1953" t="s">
        <v>2117</v>
      </c>
      <c r="D30" s="1867">
        <v>29768</v>
      </c>
      <c r="E30" s="1562">
        <f t="shared" si="2"/>
        <v>25000</v>
      </c>
      <c r="F30" s="1815">
        <f t="shared" si="3"/>
        <v>25000</v>
      </c>
      <c r="G30" s="1816">
        <f t="shared" si="4"/>
        <v>4768</v>
      </c>
    </row>
    <row r="31" spans="1:8" x14ac:dyDescent="0.25">
      <c r="A31" s="1952" t="s">
        <v>2119</v>
      </c>
      <c r="B31" s="1968" t="s">
        <v>2201</v>
      </c>
      <c r="C31" s="1967" t="s">
        <v>2195</v>
      </c>
      <c r="D31" s="1867">
        <v>8600</v>
      </c>
      <c r="E31" s="1562">
        <f t="shared" si="2"/>
        <v>8600</v>
      </c>
      <c r="F31" s="1815">
        <f t="shared" si="3"/>
        <v>8600</v>
      </c>
      <c r="G31" s="1816">
        <f t="shared" si="4"/>
        <v>0</v>
      </c>
    </row>
    <row r="32" spans="1:8" x14ac:dyDescent="0.25">
      <c r="A32" s="1952" t="s">
        <v>2120</v>
      </c>
      <c r="B32" s="1969" t="s">
        <v>2198</v>
      </c>
      <c r="C32" s="1953" t="s">
        <v>2121</v>
      </c>
      <c r="D32" s="1867">
        <v>4858</v>
      </c>
      <c r="E32" s="1562">
        <f t="shared" si="2"/>
        <v>4858</v>
      </c>
      <c r="F32" s="1815">
        <f t="shared" si="3"/>
        <v>4858</v>
      </c>
      <c r="G32" s="1816">
        <f t="shared" si="4"/>
        <v>0</v>
      </c>
    </row>
    <row r="33" spans="1:7" x14ac:dyDescent="0.25">
      <c r="A33" s="1952" t="s">
        <v>2122</v>
      </c>
      <c r="B33" s="1969" t="s">
        <v>2201</v>
      </c>
      <c r="C33" s="1953" t="s">
        <v>2123</v>
      </c>
      <c r="D33" s="1867">
        <v>10250</v>
      </c>
      <c r="E33" s="1562">
        <f t="shared" si="2"/>
        <v>10250</v>
      </c>
      <c r="F33" s="1815">
        <f t="shared" si="3"/>
        <v>10250</v>
      </c>
      <c r="G33" s="1816">
        <f t="shared" si="4"/>
        <v>0</v>
      </c>
    </row>
    <row r="34" spans="1:7" x14ac:dyDescent="0.25">
      <c r="A34" s="1966" t="s">
        <v>2196</v>
      </c>
      <c r="B34" s="1969" t="s">
        <v>2202</v>
      </c>
      <c r="C34" s="1967" t="s">
        <v>2197</v>
      </c>
      <c r="D34" s="1867">
        <v>3750</v>
      </c>
      <c r="E34" s="1562">
        <f t="shared" si="2"/>
        <v>3750</v>
      </c>
      <c r="F34" s="1815">
        <f t="shared" si="3"/>
        <v>3750</v>
      </c>
      <c r="G34" s="1816">
        <f t="shared" si="4"/>
        <v>0</v>
      </c>
    </row>
    <row r="35" spans="1:7" x14ac:dyDescent="0.25">
      <c r="A35" s="1675"/>
      <c r="B35" s="1689"/>
      <c r="C35" s="1676"/>
      <c r="D35" s="1867"/>
      <c r="E35" s="1562">
        <f t="shared" si="2"/>
        <v>0</v>
      </c>
      <c r="F35" s="1815">
        <f t="shared" si="3"/>
        <v>0</v>
      </c>
      <c r="G35" s="1816">
        <f t="shared" si="4"/>
        <v>0</v>
      </c>
    </row>
    <row r="36" spans="1:7" x14ac:dyDescent="0.25">
      <c r="A36" s="1675"/>
      <c r="B36" s="1689"/>
      <c r="C36" s="1676"/>
      <c r="D36" s="1867"/>
      <c r="E36" s="1562">
        <f t="shared" si="2"/>
        <v>0</v>
      </c>
      <c r="F36" s="1815">
        <f t="shared" si="3"/>
        <v>0</v>
      </c>
      <c r="G36" s="1816">
        <f t="shared" si="4"/>
        <v>0</v>
      </c>
    </row>
    <row r="37" spans="1:7" x14ac:dyDescent="0.25">
      <c r="A37" s="1675"/>
      <c r="B37" s="168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7"/>
      <c r="B55" s="1689"/>
      <c r="C55" s="1678"/>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5"/>
      <c r="B64" s="1689"/>
      <c r="C64" s="1676"/>
      <c r="D64" s="1867"/>
      <c r="E64" s="1562">
        <f t="shared" ref="E64:E75" si="5">IF(D64&lt;=25000,D64,IF(D64&gt;25000,25000,0))</f>
        <v>0</v>
      </c>
      <c r="F64" s="1815">
        <f t="shared" ref="F64:F75" si="6">IF(OR(B64="10-1000-100",B64="10-1000-200",B64="10-1000-300",B64="10-1000-400",B64="10-1000-600",B64="10-1000-800",B64="50-1000-200",B64="10-2100-100",B64="10-2100-200",B64="10-2100-300",B64="10-2100-400",B64="10-2100-600",B64="10-2100-800",B64="20-2100-200",B64="20-2190-100",B64="20-2190-200",B64="20-2190-300",B64="20-2190-400",B64="20-2190-600",B64="20-2190-800",B64="40-2190-100",B64="40-2190-200",B64="40-2190-300",B64="40-2190-400",B64="40-2190-600",B64="40-2190-800",B64="50-2190-200",B64="10-2200-100",B64="10-2200-200",B64="10-2200-300",B64="10-2200-400",B64="10-2200-600",B64="10-2200-800",B64="50-2200-200",B64="10-2300-100",B64="10-2300-200",B64="10-2300-300",B64="10-2300-400",B64="10-2300-600",B64="10-2300-800",B64="50-2300-200",B64="80-2300-100",B64="80-2300-200",B64="80-2300-300",B64="80-2300-400",B64="80-2300-600",B64="80-2300-800",B64="10-2400-100",B64="10-2400-200",B64="10-2400-300",B64="10-2400-400",B64="10-2400-600",B64="10-2400-800",B64="50-2400-200",B64="10-2510-100",B64="10-2510-200",B64="10-2510-300",B64="10-2510-400",B64="10-2510-600",B64="10-2510-800",B64="20-2510-100",B64="20-2510-200",B64="20-2510-300",B64="20-2510-400",B64="20-2510-600",B64="20-2510-800",B64="50-2510-200",B64="10-2520-100",B64="10-2520-200",B64="10-2520-300",B64="10-2520-400",B64="10-2520-600",B64="10-2520-800",B64="50-2520-200",B64="10-2540-100",B64="10-2540-200",B64="10-2540-300",B64="10-2540-400",B64="10-2540-600",B64="20-2540-800",B64="20-2540-100",B64="20-2540-200",B64="20-2540-300",B64="20-2540-400",B64="20-2540-600",B64="50-2540-200",B64="90-2540-100",B64="90-2540-200",B64="90-2540-300",B64="90-2540-400",B64="90-2540-600",B64="90-2540-800",B64="90-2540-800",B64="10-2550-100",B64="10-2550-200",B64="10-2550-300",B64="10-2550-400",B64="10-2550-600",B64="10-2550-800",B64="20-2550-100",B64="20-2550-200",B64="20-2550-300",B64="20-2550-400",B64="20-2550-600",B64="20-2550-800",B64="40-2550-100",B64="40-2550-200",B64="40-2550-300",B64="40-2550-400",B64="40-2550-600",B64="40-2550-800",B64="50-2550-200",B64="10-2560-100",B64="10-2560-200",B64="10-2560-300",B64="10-2560-400",B64="10-2560-600",B64="10-2560-800",B64="20-2560-100",B64="20-2560-200",B64="20-2560-300",B64="20-2560-400",B64="20-2560-600",B64="20-2560-800",B64="50-2560-200",B64="10-2570-100",B64="10-2570-200",B64="10-2570-300",B64="10-2570-400",B64="10-2570-600",B64="10-2570-800",B64="50-2570-200",B64="10-2610-100",B64="10-2610-200",B64="10-2610-300",B64="10-2610-400",B64="10-2610-600",B64="10-2610-800",B64="50-2610-200",B64="10-2620-100",B64="10-2620-200",B64="10-2620-300",B64="10-2620-400",B64="10-2620-600",B64="10-2620-800",B64="50-2620-200",B64="10-2630-100",B64="10-2630-200",B64="10-2630-300",B64="10-2630-400",B64="10-2630-600",B64="10-2630-800",B64="50-2630-200",B64="10-2640-100",B64="10-2640-200",B64="10-2640-300",B64="10-2640-400",B64="10-2640-600",B64="10-2640-800",B64="50-2640-200",B64="10-2660-100",B64="10-2660-200",B64="10-2660-300",B64="10-2660-400",B64="10-2660-600",B64="10-2660-800",B64="50-2660-200",B64="10-2900-100",B64="10-2900-200",B64="10-2900-300",B64="10-2900-400",B64="10-2900-600",B64="10-2900-800",B64="20-2900-100",B64="20-2900-200",B64="20-2900-300",B64="20-2900-400",B64="20-2900-600",B64="20-2900-800",B64="40-2900-100",B64="40-2900-200",B64="40-2900-300",B64="40-2900-400",B64="40-2900-600",B64="40-2900-800",B64="50-2900-200",B64="60-2900-100",B64="60-2900-200",B64="60-2900-300",B64="60-2900-400",B64="60-2900-600",B64="60-2900-800",B64="90-2900-100",B64="90-2900-200",B64="90-2900-300",B64="90-2900-400",B64="90-2900-600",B64="90-2900-800",B64="10-3000-100",B64="10-3000-200",B64="10-3000-300",B64="10-3000-400",B64="10-3000-600",B64="10-3000-800",B64="20-3000-100",B64="20-3000-200",B64="20-3000-300",B64="20-3000-400",B64="20-3000-600",B64="20-3000-800",B64="40-3000-100",B64="40-3000-200",B64="40-3000-300",B64="40-3000-400",B64="40-3000-600",B64="40-3000-800",B64="50-3000-200"),E64,0)</f>
        <v>0</v>
      </c>
      <c r="G64" s="1816">
        <f t="shared" ref="G64:G75" si="7">IF(F64=0,0,D64-F64)</f>
        <v>0</v>
      </c>
    </row>
    <row r="65" spans="1:7" x14ac:dyDescent="0.25">
      <c r="A65" s="1675"/>
      <c r="B65" s="1689"/>
      <c r="C65" s="1676"/>
      <c r="D65" s="1867"/>
      <c r="E65" s="1562">
        <f t="shared" si="5"/>
        <v>0</v>
      </c>
      <c r="F65" s="1815">
        <f t="shared" si="6"/>
        <v>0</v>
      </c>
      <c r="G65" s="1816">
        <f t="shared" si="7"/>
        <v>0</v>
      </c>
    </row>
    <row r="66" spans="1:7" x14ac:dyDescent="0.25">
      <c r="A66" s="1675"/>
      <c r="B66" s="1689"/>
      <c r="C66" s="1676"/>
      <c r="D66" s="1867"/>
      <c r="E66" s="1562">
        <f t="shared" si="5"/>
        <v>0</v>
      </c>
      <c r="F66" s="1815">
        <f t="shared" si="6"/>
        <v>0</v>
      </c>
      <c r="G66" s="1816">
        <f t="shared" si="7"/>
        <v>0</v>
      </c>
    </row>
    <row r="67" spans="1:7" x14ac:dyDescent="0.25">
      <c r="A67" s="1675"/>
      <c r="B67" s="1689"/>
      <c r="C67" s="1676"/>
      <c r="D67" s="1867"/>
      <c r="E67" s="1562">
        <f t="shared" si="5"/>
        <v>0</v>
      </c>
      <c r="F67" s="1815">
        <f t="shared" si="6"/>
        <v>0</v>
      </c>
      <c r="G67" s="1816">
        <f t="shared" si="7"/>
        <v>0</v>
      </c>
    </row>
    <row r="68" spans="1:7" x14ac:dyDescent="0.25">
      <c r="A68" s="1675"/>
      <c r="B68" s="1689"/>
      <c r="C68" s="1676"/>
      <c r="D68" s="1867"/>
      <c r="E68" s="1562">
        <f t="shared" si="5"/>
        <v>0</v>
      </c>
      <c r="F68" s="1815">
        <f t="shared" si="6"/>
        <v>0</v>
      </c>
      <c r="G68" s="1816">
        <f t="shared" si="7"/>
        <v>0</v>
      </c>
    </row>
    <row r="69" spans="1:7" x14ac:dyDescent="0.25">
      <c r="A69" s="1675"/>
      <c r="B69" s="1689"/>
      <c r="C69" s="1676"/>
      <c r="D69" s="1867"/>
      <c r="E69" s="1562">
        <f t="shared" si="5"/>
        <v>0</v>
      </c>
      <c r="F69" s="1815">
        <f t="shared" si="6"/>
        <v>0</v>
      </c>
      <c r="G69" s="1816">
        <f t="shared" si="7"/>
        <v>0</v>
      </c>
    </row>
    <row r="70" spans="1:7" x14ac:dyDescent="0.25">
      <c r="A70" s="1675"/>
      <c r="B70" s="1689"/>
      <c r="C70" s="1676"/>
      <c r="D70" s="1867"/>
      <c r="E70" s="1562">
        <f t="shared" si="5"/>
        <v>0</v>
      </c>
      <c r="F70" s="1815">
        <f t="shared" si="6"/>
        <v>0</v>
      </c>
      <c r="G70" s="1816">
        <f t="shared" si="7"/>
        <v>0</v>
      </c>
    </row>
    <row r="71" spans="1:7" x14ac:dyDescent="0.25">
      <c r="A71" s="1675"/>
      <c r="B71" s="1689"/>
      <c r="C71" s="1676"/>
      <c r="D71" s="1867"/>
      <c r="E71" s="1562">
        <f t="shared" si="5"/>
        <v>0</v>
      </c>
      <c r="F71" s="1815">
        <f t="shared" si="6"/>
        <v>0</v>
      </c>
      <c r="G71" s="1816">
        <f t="shared" si="7"/>
        <v>0</v>
      </c>
    </row>
    <row r="72" spans="1:7" x14ac:dyDescent="0.25">
      <c r="A72" s="1675"/>
      <c r="B72" s="1689"/>
      <c r="C72" s="1676"/>
      <c r="D72" s="1867"/>
      <c r="E72" s="1562">
        <f t="shared" si="5"/>
        <v>0</v>
      </c>
      <c r="F72" s="1815">
        <f t="shared" si="6"/>
        <v>0</v>
      </c>
      <c r="G72" s="1816">
        <f t="shared" si="7"/>
        <v>0</v>
      </c>
    </row>
    <row r="73" spans="1:7" x14ac:dyDescent="0.25">
      <c r="A73" s="1675"/>
      <c r="B73" s="1689"/>
      <c r="C73" s="1676"/>
      <c r="D73" s="1867"/>
      <c r="E73" s="1562">
        <f t="shared" si="5"/>
        <v>0</v>
      </c>
      <c r="F73" s="1815">
        <f t="shared" si="6"/>
        <v>0</v>
      </c>
      <c r="G73" s="1816">
        <f t="shared" si="7"/>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2"/>
        <v>0</v>
      </c>
      <c r="F76" s="1815">
        <f t="shared" si="3"/>
        <v>0</v>
      </c>
      <c r="G76" s="1816">
        <f t="shared" si="4"/>
        <v>0</v>
      </c>
    </row>
    <row r="77" spans="1:7" x14ac:dyDescent="0.25">
      <c r="A77" s="1675"/>
      <c r="B77" s="1689"/>
      <c r="C77" s="1676"/>
      <c r="D77" s="1867"/>
      <c r="E77" s="1562">
        <f t="shared" si="2"/>
        <v>0</v>
      </c>
      <c r="F77" s="1815">
        <f t="shared" si="3"/>
        <v>0</v>
      </c>
      <c r="G77" s="1816">
        <f t="shared" si="4"/>
        <v>0</v>
      </c>
    </row>
    <row r="78" spans="1:7" x14ac:dyDescent="0.25">
      <c r="A78" s="1675"/>
      <c r="B78" s="1689"/>
      <c r="C78" s="1676"/>
      <c r="D78" s="1867"/>
      <c r="E78" s="1562">
        <f t="shared" si="2"/>
        <v>0</v>
      </c>
      <c r="F78" s="1815">
        <f t="shared" si="3"/>
        <v>0</v>
      </c>
      <c r="G78" s="1816">
        <f t="shared" si="4"/>
        <v>0</v>
      </c>
    </row>
    <row r="79" spans="1:7" x14ac:dyDescent="0.25">
      <c r="A79" s="1675"/>
      <c r="B79" s="1689"/>
      <c r="C79" s="1676"/>
      <c r="D79" s="1867"/>
      <c r="E79" s="1562">
        <f t="shared" si="2"/>
        <v>0</v>
      </c>
      <c r="F79" s="1815">
        <f t="shared" si="3"/>
        <v>0</v>
      </c>
      <c r="G79" s="1816">
        <f t="shared" si="4"/>
        <v>0</v>
      </c>
    </row>
    <row r="80" spans="1:7" x14ac:dyDescent="0.25">
      <c r="A80" s="1675"/>
      <c r="B80" s="1689"/>
      <c r="C80" s="1676"/>
      <c r="D80" s="1867"/>
      <c r="E80" s="1562">
        <f t="shared" si="2"/>
        <v>0</v>
      </c>
      <c r="F80" s="1815">
        <f t="shared" si="3"/>
        <v>0</v>
      </c>
      <c r="G80" s="1816">
        <f t="shared" si="4"/>
        <v>0</v>
      </c>
    </row>
    <row r="81" spans="1:7" x14ac:dyDescent="0.25">
      <c r="A81" s="1675"/>
      <c r="B81" s="1689"/>
      <c r="C81" s="1676"/>
      <c r="D81" s="1867"/>
      <c r="E81" s="1562">
        <f t="shared" si="2"/>
        <v>0</v>
      </c>
      <c r="F81" s="1815">
        <f t="shared" si="3"/>
        <v>0</v>
      </c>
      <c r="G81" s="1816">
        <f t="shared" si="4"/>
        <v>0</v>
      </c>
    </row>
    <row r="82" spans="1:7" x14ac:dyDescent="0.25">
      <c r="A82" s="1675"/>
      <c r="B82" s="1689"/>
      <c r="C82" s="1676"/>
      <c r="D82" s="1867"/>
      <c r="E82" s="1562">
        <f t="shared" si="2"/>
        <v>0</v>
      </c>
      <c r="F82" s="1815">
        <f t="shared" si="3"/>
        <v>0</v>
      </c>
      <c r="G82" s="1816">
        <f t="shared" si="4"/>
        <v>0</v>
      </c>
    </row>
    <row r="83" spans="1:7" x14ac:dyDescent="0.25">
      <c r="A83" s="1675"/>
      <c r="B83" s="1689"/>
      <c r="C83" s="1676"/>
      <c r="D83" s="1867"/>
      <c r="E83" s="1562">
        <f t="shared" si="2"/>
        <v>0</v>
      </c>
      <c r="F83" s="1815">
        <f t="shared" si="3"/>
        <v>0</v>
      </c>
      <c r="G83" s="1816">
        <f t="shared" si="4"/>
        <v>0</v>
      </c>
    </row>
    <row r="84" spans="1:7" x14ac:dyDescent="0.25">
      <c r="A84" s="1675"/>
      <c r="B84" s="1689"/>
      <c r="C84" s="1676"/>
      <c r="D84" s="1867"/>
      <c r="E84" s="1562">
        <f t="shared" ref="E84" si="8">IF(D84&lt;=25000,D84,IF(D84&gt;25000,25000,0))</f>
        <v>0</v>
      </c>
      <c r="F84" s="1815">
        <f t="shared" ref="F84" si="9">IF(OR(B84="10-1000-100",B84="10-1000-200",B84="10-1000-300",B84="10-1000-400",B84="10-1000-600",B84="10-1000-800",B84="50-1000-200",B84="10-2100-100",B84="10-2100-200",B84="10-2100-300",B84="10-2100-400",B84="10-2100-600",B84="10-2100-800",B84="20-2100-200",B84="20-2190-100",B84="20-2190-200",B84="20-2190-300",B84="20-2190-400",B84="20-2190-600",B84="20-2190-800",B84="40-2190-100",B84="40-2190-200",B84="40-2190-300",B84="40-2190-400",B84="40-2190-600",B84="40-2190-800",B84="50-2190-200",B84="10-2200-100",B84="10-2200-200",B84="10-2200-300",B84="10-2200-400",B84="10-2200-600",B84="10-2200-800",B84="50-2200-200",B84="10-2300-100",B84="10-2300-200",B84="10-2300-300",B84="10-2300-400",B84="10-2300-600",B84="10-2300-800",B84="50-2300-200",B84="80-2300-100",B84="80-2300-200",B84="80-2300-300",B84="80-2300-400",B84="80-2300-600",B84="80-2300-800",B84="10-2400-100",B84="10-2400-200",B84="10-2400-300",B84="10-2400-400",B84="10-2400-600",B84="10-2400-800",B84="50-2400-200",B84="10-2510-100",B84="10-2510-200",B84="10-2510-300",B84="10-2510-400",B84="10-2510-600",B84="10-2510-800",B84="20-2510-100",B84="20-2510-200",B84="20-2510-300",B84="20-2510-400",B84="20-2510-600",B84="20-2510-800",B84="50-2510-200",B84="10-2520-100",B84="10-2520-200",B84="10-2520-300",B84="10-2520-400",B84="10-2520-600",B84="10-2520-800",B84="50-2520-200",B84="10-2540-100",B84="10-2540-200",B84="10-2540-300",B84="10-2540-400",B84="10-2540-600",B84="20-2540-800",B84="20-2540-100",B84="20-2540-200",B84="20-2540-300",B84="20-2540-400",B84="20-2540-600",B84="50-2540-200",B84="90-2540-100",B84="90-2540-200",B84="90-2540-300",B84="90-2540-400",B84="90-2540-600",B84="90-2540-800",B84="90-2540-800",B84="10-2550-100",B84="10-2550-200",B84="10-2550-300",B84="10-2550-400",B84="10-2550-600",B84="10-2550-800",B84="20-2550-100",B84="20-2550-200",B84="20-2550-300",B84="20-2550-400",B84="20-2550-600",B84="20-2550-800",B84="40-2550-100",B84="40-2550-200",B84="40-2550-300",B84="40-2550-400",B84="40-2550-600",B84="40-2550-800",B84="50-2550-200",B84="10-2560-100",B84="10-2560-200",B84="10-2560-300",B84="10-2560-400",B84="10-2560-600",B84="10-2560-800",B84="20-2560-100",B84="20-2560-200",B84="20-2560-300",B84="20-2560-400",B84="20-2560-600",B84="20-2560-800",B84="50-2560-200",B84="10-2570-100",B84="10-2570-200",B84="10-2570-300",B84="10-2570-400",B84="10-2570-600",B84="10-2570-800",B84="50-2570-200",B84="10-2610-100",B84="10-2610-200",B84="10-2610-300",B84="10-2610-400",B84="10-2610-600",B84="10-2610-800",B84="50-2610-200",B84="10-2620-100",B84="10-2620-200",B84="10-2620-300",B84="10-2620-400",B84="10-2620-600",B84="10-2620-800",B84="50-2620-200",B84="10-2630-100",B84="10-2630-200",B84="10-2630-300",B84="10-2630-400",B84="10-2630-600",B84="10-2630-800",B84="50-2630-200",B84="10-2640-100",B84="10-2640-200",B84="10-2640-300",B84="10-2640-400",B84="10-2640-600",B84="10-2640-800",B84="50-2640-200",B84="10-2660-100",B84="10-2660-200",B84="10-2660-300",B84="10-2660-400",B84="10-2660-600",B84="10-2660-800",B84="50-2660-200",B84="10-2900-100",B84="10-2900-200",B84="10-2900-300",B84="10-2900-400",B84="10-2900-600",B84="10-2900-800",B84="20-2900-100",B84="20-2900-200",B84="20-2900-300",B84="20-2900-400",B84="20-2900-600",B84="20-2900-800",B84="40-2900-100",B84="40-2900-200",B84="40-2900-300",B84="40-2900-400",B84="40-2900-600",B84="40-2900-800",B84="50-2900-200",B84="60-2900-100",B84="60-2900-200",B84="60-2900-300",B84="60-2900-400",B84="60-2900-600",B84="60-2900-800",B84="90-2900-100",B84="90-2900-200",B84="90-2900-300",B84="90-2900-400",B84="90-2900-600",B84="90-2900-800",B84="10-3000-100",B84="10-3000-200",B84="10-3000-300",B84="10-3000-400",B84="10-3000-600",B84="10-3000-800",B84="20-3000-100",B84="20-3000-200",B84="20-3000-300",B84="20-3000-400",B84="20-3000-600",B84="20-3000-800",B84="40-3000-100",B84="40-3000-200",B84="40-3000-300",B84="40-3000-400",B84="40-3000-600",B84="40-3000-800",B84="50-3000-200"),E84,0)</f>
        <v>0</v>
      </c>
      <c r="G84" s="1816">
        <f t="shared" ref="G84" si="10">IF(F84=0,0,D84-F84)</f>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ref="E86:E89" si="11">IF(D86&lt;=25000,D86,IF(D86&gt;25000,25000,0))</f>
        <v>0</v>
      </c>
      <c r="F86" s="1815">
        <f t="shared" ref="F86:F89" si="12">IF(OR(B86="10-1000-100",B86="10-1000-200",B86="10-1000-300",B86="10-1000-400",B86="10-1000-600",B86="10-1000-800",B86="50-1000-200",B86="10-2100-100",B86="10-2100-200",B86="10-2100-300",B86="10-2100-400",B86="10-2100-600",B86="10-2100-800",B86="20-2100-200",B86="20-2190-100",B86="20-2190-200",B86="20-2190-300",B86="20-2190-400",B86="20-2190-600",B86="20-2190-800",B86="40-2190-100",B86="40-2190-200",B86="40-2190-300",B86="40-2190-400",B86="40-2190-600",B86="40-2190-800",B86="50-2190-200",B86="10-2200-100",B86="10-2200-200",B86="10-2200-300",B86="10-2200-400",B86="10-2200-600",B86="10-2200-800",B86="50-2200-200",B86="10-2300-100",B86="10-2300-200",B86="10-2300-300",B86="10-2300-400",B86="10-2300-600",B86="10-2300-800",B86="50-2300-200",B86="80-2300-100",B86="80-2300-200",B86="80-2300-300",B86="80-2300-400",B86="80-2300-600",B86="80-2300-800",B86="10-2400-100",B86="10-2400-200",B86="10-2400-300",B86="10-2400-400",B86="10-2400-600",B86="10-2400-800",B86="50-2400-200",B86="10-2510-100",B86="10-2510-200",B86="10-2510-300",B86="10-2510-400",B86="10-2510-600",B86="10-2510-800",B86="20-2510-100",B86="20-2510-200",B86="20-2510-300",B86="20-2510-400",B86="20-2510-600",B86="20-2510-800",B86="50-2510-200",B86="10-2520-100",B86="10-2520-200",B86="10-2520-300",B86="10-2520-400",B86="10-2520-600",B86="10-2520-800",B86="50-2520-200",B86="10-2540-100",B86="10-2540-200",B86="10-2540-300",B86="10-2540-400",B86="10-2540-600",B86="20-2540-800",B86="20-2540-100",B86="20-2540-200",B86="20-2540-300",B86="20-2540-400",B86="20-2540-600",B86="50-2540-200",B86="90-2540-100",B86="90-2540-200",B86="90-2540-300",B86="90-2540-400",B86="90-2540-600",B86="90-2540-800",B86="90-2540-800",B86="10-2550-100",B86="10-2550-200",B86="10-2550-300",B86="10-2550-400",B86="10-2550-600",B86="10-2550-800",B86="20-2550-100",B86="20-2550-200",B86="20-2550-300",B86="20-2550-400",B86="20-2550-600",B86="20-2550-800",B86="40-2550-100",B86="40-2550-200",B86="40-2550-300",B86="40-2550-400",B86="40-2550-600",B86="40-2550-800",B86="50-2550-200",B86="10-2560-100",B86="10-2560-200",B86="10-2560-300",B86="10-2560-400",B86="10-2560-600",B86="10-2560-800",B86="20-2560-100",B86="20-2560-200",B86="20-2560-300",B86="20-2560-400",B86="20-2560-600",B86="20-2560-800",B86="50-2560-200",B86="10-2570-100",B86="10-2570-200",B86="10-2570-300",B86="10-2570-400",B86="10-2570-600",B86="10-2570-800",B86="50-2570-200",B86="10-2610-100",B86="10-2610-200",B86="10-2610-300",B86="10-2610-400",B86="10-2610-600",B86="10-2610-800",B86="50-2610-200",B86="10-2620-100",B86="10-2620-200",B86="10-2620-300",B86="10-2620-400",B86="10-2620-600",B86="10-2620-800",B86="50-2620-200",B86="10-2630-100",B86="10-2630-200",B86="10-2630-300",B86="10-2630-400",B86="10-2630-600",B86="10-2630-800",B86="50-2630-200",B86="10-2640-100",B86="10-2640-200",B86="10-2640-300",B86="10-2640-400",B86="10-2640-600",B86="10-2640-800",B86="50-2640-200",B86="10-2660-100",B86="10-2660-200",B86="10-2660-300",B86="10-2660-400",B86="10-2660-600",B86="10-2660-800",B86="50-2660-200",B86="10-2900-100",B86="10-2900-200",B86="10-2900-300",B86="10-2900-400",B86="10-2900-600",B86="10-2900-800",B86="20-2900-100",B86="20-2900-200",B86="20-2900-300",B86="20-2900-400",B86="20-2900-600",B86="20-2900-800",B86="40-2900-100",B86="40-2900-200",B86="40-2900-300",B86="40-2900-400",B86="40-2900-600",B86="40-2900-800",B86="50-2900-200",B86="60-2900-100",B86="60-2900-200",B86="60-2900-300",B86="60-2900-400",B86="60-2900-600",B86="60-2900-800",B86="90-2900-100",B86="90-2900-200",B86="90-2900-300",B86="90-2900-400",B86="90-2900-600",B86="90-2900-800",B86="10-3000-100",B86="10-3000-200",B86="10-3000-300",B86="10-3000-400",B86="10-3000-600",B86="10-3000-800",B86="20-3000-100",B86="20-3000-200",B86="20-3000-300",B86="20-3000-400",B86="20-3000-600",B86="20-3000-800",B86="40-3000-100",B86="40-3000-200",B86="40-3000-300",B86="40-3000-400",B86="40-3000-600",B86="40-3000-800",B86="50-3000-200"),E86,0)</f>
        <v>0</v>
      </c>
      <c r="G86" s="1816">
        <f t="shared" ref="G86:G89" si="13">IF(F86=0,0,D86-F86)</f>
        <v>0</v>
      </c>
    </row>
    <row r="87" spans="1:7" x14ac:dyDescent="0.25">
      <c r="A87" s="1675"/>
      <c r="B87" s="1689"/>
      <c r="C87" s="1676"/>
      <c r="D87" s="1867"/>
      <c r="E87" s="1562">
        <f t="shared" si="11"/>
        <v>0</v>
      </c>
      <c r="F87" s="1815">
        <f t="shared" si="12"/>
        <v>0</v>
      </c>
      <c r="G87" s="1816">
        <f t="shared" si="13"/>
        <v>0</v>
      </c>
    </row>
    <row r="88" spans="1:7" x14ac:dyDescent="0.25">
      <c r="A88" s="1675"/>
      <c r="B88" s="1689"/>
      <c r="C88" s="1676"/>
      <c r="D88" s="1867"/>
      <c r="E88" s="1562">
        <f t="shared" si="11"/>
        <v>0</v>
      </c>
      <c r="F88" s="1815">
        <f t="shared" si="12"/>
        <v>0</v>
      </c>
      <c r="G88" s="1816">
        <f t="shared" si="13"/>
        <v>0</v>
      </c>
    </row>
    <row r="89" spans="1:7" x14ac:dyDescent="0.25">
      <c r="A89" s="1675"/>
      <c r="B89" s="1689"/>
      <c r="C89" s="1676"/>
      <c r="D89" s="1867"/>
      <c r="E89" s="1562">
        <f t="shared" si="11"/>
        <v>0</v>
      </c>
      <c r="F89" s="1815">
        <f t="shared" si="12"/>
        <v>0</v>
      </c>
      <c r="G89" s="1816">
        <f t="shared" si="13"/>
        <v>0</v>
      </c>
    </row>
    <row r="90" spans="1:7" x14ac:dyDescent="0.25">
      <c r="A90" s="1675"/>
      <c r="B90" s="1689"/>
      <c r="C90" s="1676"/>
      <c r="D90" s="1867"/>
      <c r="E90" s="1562">
        <f t="shared" ref="E90" si="14">IF(D90&lt;=25000,D90,IF(D90&gt;25000,25000,0))</f>
        <v>0</v>
      </c>
      <c r="F90" s="1815">
        <f t="shared" ref="F90" si="15">IF(OR(B90="10-1000-100",B90="10-1000-200",B90="10-1000-300",B90="10-1000-400",B90="10-1000-600",B90="10-1000-800",B90="50-1000-200",B90="10-2100-100",B90="10-2100-200",B90="10-2100-300",B90="10-2100-400",B90="10-2100-600",B90="10-2100-800",B90="20-2100-200",B90="20-2190-100",B90="20-2190-200",B90="20-2190-300",B90="20-2190-400",B90="20-2190-600",B90="20-2190-800",B90="40-2190-100",B90="40-2190-200",B90="40-2190-300",B90="40-2190-400",B90="40-2190-600",B90="40-2190-800",B90="50-2190-200",B90="10-2200-100",B90="10-2200-200",B90="10-2200-300",B90="10-2200-400",B90="10-2200-600",B90="10-2200-800",B90="50-2200-200",B90="10-2300-100",B90="10-2300-200",B90="10-2300-300",B90="10-2300-400",B90="10-2300-600",B90="10-2300-800",B90="50-2300-200",B90="80-2300-100",B90="80-2300-200",B90="80-2300-300",B90="80-2300-400",B90="80-2300-600",B90="80-2300-800",B90="10-2400-100",B90="10-2400-200",B90="10-2400-300",B90="10-2400-400",B90="10-2400-600",B90="10-2400-800",B90="50-2400-200",B90="10-2510-100",B90="10-2510-200",B90="10-2510-300",B90="10-2510-400",B90="10-2510-600",B90="10-2510-800",B90="20-2510-100",B90="20-2510-200",B90="20-2510-300",B90="20-2510-400",B90="20-2510-600",B90="20-2510-800",B90="50-2510-200",B90="10-2520-100",B90="10-2520-200",B90="10-2520-300",B90="10-2520-400",B90="10-2520-600",B90="10-2520-800",B90="50-2520-200",B90="10-2540-100",B90="10-2540-200",B90="10-2540-300",B90="10-2540-400",B90="10-2540-600",B90="20-2540-800",B90="20-2540-100",B90="20-2540-200",B90="20-2540-300",B90="20-2540-400",B90="20-2540-600",B90="50-2540-200",B90="90-2540-100",B90="90-2540-200",B90="90-2540-300",B90="90-2540-400",B90="90-2540-600",B90="90-2540-800",B90="90-2540-800",B90="10-2550-100",B90="10-2550-200",B90="10-2550-300",B90="10-2550-400",B90="10-2550-600",B90="10-2550-800",B90="20-2550-100",B90="20-2550-200",B90="20-2550-300",B90="20-2550-400",B90="20-2550-600",B90="20-2550-800",B90="40-2550-100",B90="40-2550-200",B90="40-2550-300",B90="40-2550-400",B90="40-2550-600",B90="40-2550-800",B90="50-2550-200",B90="10-2560-100",B90="10-2560-200",B90="10-2560-300",B90="10-2560-400",B90="10-2560-600",B90="10-2560-800",B90="20-2560-100",B90="20-2560-200",B90="20-2560-300",B90="20-2560-400",B90="20-2560-600",B90="20-2560-800",B90="50-2560-200",B90="10-2570-100",B90="10-2570-200",B90="10-2570-300",B90="10-2570-400",B90="10-2570-600",B90="10-2570-800",B90="50-2570-200",B90="10-2610-100",B90="10-2610-200",B90="10-2610-300",B90="10-2610-400",B90="10-2610-600",B90="10-2610-800",B90="50-2610-200",B90="10-2620-100",B90="10-2620-200",B90="10-2620-300",B90="10-2620-400",B90="10-2620-600",B90="10-2620-800",B90="50-2620-200",B90="10-2630-100",B90="10-2630-200",B90="10-2630-300",B90="10-2630-400",B90="10-2630-600",B90="10-2630-800",B90="50-2630-200",B90="10-2640-100",B90="10-2640-200",B90="10-2640-300",B90="10-2640-400",B90="10-2640-600",B90="10-2640-800",B90="50-2640-200",B90="10-2660-100",B90="10-2660-200",B90="10-2660-300",B90="10-2660-400",B90="10-2660-600",B90="10-2660-800",B90="50-2660-200",B90="10-2900-100",B90="10-2900-200",B90="10-2900-300",B90="10-2900-400",B90="10-2900-600",B90="10-2900-800",B90="20-2900-100",B90="20-2900-200",B90="20-2900-300",B90="20-2900-400",B90="20-2900-600",B90="20-2900-800",B90="40-2900-100",B90="40-2900-200",B90="40-2900-300",B90="40-2900-400",B90="40-2900-600",B90="40-2900-800",B90="50-2900-200",B90="60-2900-100",B90="60-2900-200",B90="60-2900-300",B90="60-2900-400",B90="60-2900-600",B90="60-2900-800",B90="90-2900-100",B90="90-2900-200",B90="90-2900-300",B90="90-2900-400",B90="90-2900-600",B90="90-2900-800",B90="10-3000-100",B90="10-3000-200",B90="10-3000-300",B90="10-3000-400",B90="10-3000-600",B90="10-3000-800",B90="20-3000-100",B90="20-3000-200",B90="20-3000-300",B90="20-3000-400",B90="20-3000-600",B90="20-3000-800",B90="40-3000-100",B90="40-3000-200",B90="40-3000-300",B90="40-3000-400",B90="40-3000-600",B90="40-3000-800",B90="50-3000-200"),E90,0)</f>
        <v>0</v>
      </c>
      <c r="G90" s="1816">
        <f t="shared" ref="G90" si="16">IF(F90=0,0,D90-F90)</f>
        <v>0</v>
      </c>
    </row>
    <row r="91" spans="1:7" x14ac:dyDescent="0.25">
      <c r="A91" s="1675"/>
      <c r="B91" s="1689"/>
      <c r="C91" s="1676"/>
      <c r="D91" s="1867"/>
      <c r="E91" s="1562">
        <f t="shared" ref="E91:E103" si="17">IF(D91&lt;=25000,D91,IF(D91&gt;25000,25000,0))</f>
        <v>0</v>
      </c>
      <c r="F91" s="1815">
        <f t="shared" ref="F91:F103" si="18">IF(OR(B91="10-1000-100",B91="10-1000-200",B91="10-1000-300",B91="10-1000-400",B91="10-1000-600",B91="10-1000-800",B91="50-1000-200",B91="10-2100-100",B91="10-2100-200",B91="10-2100-300",B91="10-2100-400",B91="10-2100-600",B91="10-2100-800",B91="20-2100-200",B91="20-2190-100",B91="20-2190-200",B91="20-2190-300",B91="20-2190-400",B91="20-2190-600",B91="20-2190-800",B91="40-2190-100",B91="40-2190-200",B91="40-2190-300",B91="40-2190-400",B91="40-2190-600",B91="40-2190-800",B91="50-2190-200",B91="10-2200-100",B91="10-2200-200",B91="10-2200-300",B91="10-2200-400",B91="10-2200-600",B91="10-2200-800",B91="50-2200-200",B91="10-2300-100",B91="10-2300-200",B91="10-2300-300",B91="10-2300-400",B91="10-2300-600",B91="10-2300-800",B91="50-2300-200",B91="80-2300-100",B91="80-2300-200",B91="80-2300-300",B91="80-2300-400",B91="80-2300-600",B91="80-2300-800",B91="10-2400-100",B91="10-2400-200",B91="10-2400-300",B91="10-2400-400",B91="10-2400-600",B91="10-2400-800",B91="50-2400-200",B91="10-2510-100",B91="10-2510-200",B91="10-2510-300",B91="10-2510-400",B91="10-2510-600",B91="10-2510-800",B91="20-2510-100",B91="20-2510-200",B91="20-2510-300",B91="20-2510-400",B91="20-2510-600",B91="20-2510-800",B91="50-2510-200",B91="10-2520-100",B91="10-2520-200",B91="10-2520-300",B91="10-2520-400",B91="10-2520-600",B91="10-2520-800",B91="50-2520-200",B91="10-2540-100",B91="10-2540-200",B91="10-2540-300",B91="10-2540-400",B91="10-2540-600",B91="20-2540-800",B91="20-2540-100",B91="20-2540-200",B91="20-2540-300",B91="20-2540-400",B91="20-2540-600",B91="50-2540-200",B91="90-2540-100",B91="90-2540-200",B91="90-2540-300",B91="90-2540-400",B91="90-2540-600",B91="90-2540-800",B91="90-2540-800",B91="10-2550-100",B91="10-2550-200",B91="10-2550-300",B91="10-2550-400",B91="10-2550-600",B91="10-2550-800",B91="20-2550-100",B91="20-2550-200",B91="20-2550-300",B91="20-2550-400",B91="20-2550-600",B91="20-2550-800",B91="40-2550-100",B91="40-2550-200",B91="40-2550-300",B91="40-2550-400",B91="40-2550-600",B91="40-2550-800",B91="50-2550-200",B91="10-2560-100",B91="10-2560-200",B91="10-2560-300",B91="10-2560-400",B91="10-2560-600",B91="10-2560-800",B91="20-2560-100",B91="20-2560-200",B91="20-2560-300",B91="20-2560-400",B91="20-2560-600",B91="20-2560-800",B91="50-2560-200",B91="10-2570-100",B91="10-2570-200",B91="10-2570-300",B91="10-2570-400",B91="10-2570-600",B91="10-2570-800",B91="50-2570-200",B91="10-2610-100",B91="10-2610-200",B91="10-2610-300",B91="10-2610-400",B91="10-2610-600",B91="10-2610-800",B91="50-2610-200",B91="10-2620-100",B91="10-2620-200",B91="10-2620-300",B91="10-2620-400",B91="10-2620-600",B91="10-2620-800",B91="50-2620-200",B91="10-2630-100",B91="10-2630-200",B91="10-2630-300",B91="10-2630-400",B91="10-2630-600",B91="10-2630-800",B91="50-2630-200",B91="10-2640-100",B91="10-2640-200",B91="10-2640-300",B91="10-2640-400",B91="10-2640-600",B91="10-2640-800",B91="50-2640-200",B91="10-2660-100",B91="10-2660-200",B91="10-2660-300",B91="10-2660-400",B91="10-2660-600",B91="10-2660-800",B91="50-2660-200",B91="10-2900-100",B91="10-2900-200",B91="10-2900-300",B91="10-2900-400",B91="10-2900-600",B91="10-2900-800",B91="20-2900-100",B91="20-2900-200",B91="20-2900-300",B91="20-2900-400",B91="20-2900-600",B91="20-2900-800",B91="40-2900-100",B91="40-2900-200",B91="40-2900-300",B91="40-2900-400",B91="40-2900-600",B91="40-2900-800",B91="50-2900-200",B91="60-2900-100",B91="60-2900-200",B91="60-2900-300",B91="60-2900-400",B91="60-2900-600",B91="60-2900-800",B91="90-2900-100",B91="90-2900-200",B91="90-2900-300",B91="90-2900-400",B91="90-2900-600",B91="90-2900-800",B91="10-3000-100",B91="10-3000-200",B91="10-3000-300",B91="10-3000-400",B91="10-3000-600",B91="10-3000-800",B91="20-3000-100",B91="20-3000-200",B91="20-3000-300",B91="20-3000-400",B91="20-3000-600",B91="20-3000-800",B91="40-3000-100",B91="40-3000-200",B91="40-3000-300",B91="40-3000-400",B91="40-3000-600",B91="40-3000-800",B91="50-3000-200"),E91,0)</f>
        <v>0</v>
      </c>
      <c r="G91" s="1816">
        <f t="shared" ref="G91:G103" si="19">IF(F91=0,0,D91-F91)</f>
        <v>0</v>
      </c>
    </row>
    <row r="92" spans="1:7" x14ac:dyDescent="0.25">
      <c r="A92" s="1675"/>
      <c r="B92" s="1689"/>
      <c r="C92" s="1676"/>
      <c r="D92" s="1867"/>
      <c r="E92" s="1562">
        <f t="shared" si="17"/>
        <v>0</v>
      </c>
      <c r="F92" s="1815">
        <f t="shared" si="18"/>
        <v>0</v>
      </c>
      <c r="G92" s="1816">
        <f t="shared" si="19"/>
        <v>0</v>
      </c>
    </row>
    <row r="93" spans="1:7" x14ac:dyDescent="0.25">
      <c r="A93" s="1675"/>
      <c r="B93" s="1689"/>
      <c r="C93" s="1676"/>
      <c r="D93" s="1867"/>
      <c r="E93" s="1562">
        <f t="shared" si="17"/>
        <v>0</v>
      </c>
      <c r="F93" s="1815">
        <f t="shared" si="18"/>
        <v>0</v>
      </c>
      <c r="G93" s="1816">
        <f t="shared" si="19"/>
        <v>0</v>
      </c>
    </row>
    <row r="94" spans="1:7" x14ac:dyDescent="0.25">
      <c r="A94" s="1675"/>
      <c r="B94" s="1689"/>
      <c r="C94" s="1676"/>
      <c r="D94" s="1867"/>
      <c r="E94" s="1562">
        <f t="shared" si="17"/>
        <v>0</v>
      </c>
      <c r="F94" s="1815">
        <f t="shared" si="18"/>
        <v>0</v>
      </c>
      <c r="G94" s="1816">
        <f t="shared" si="19"/>
        <v>0</v>
      </c>
    </row>
    <row r="95" spans="1:7" x14ac:dyDescent="0.25">
      <c r="A95" s="1675"/>
      <c r="B95" s="1689"/>
      <c r="C95" s="1676"/>
      <c r="D95" s="1867"/>
      <c r="E95" s="1562">
        <f t="shared" si="17"/>
        <v>0</v>
      </c>
      <c r="F95" s="1815">
        <f t="shared" si="18"/>
        <v>0</v>
      </c>
      <c r="G95" s="1816">
        <f t="shared" si="19"/>
        <v>0</v>
      </c>
    </row>
    <row r="96" spans="1:7" x14ac:dyDescent="0.25">
      <c r="A96" s="1675"/>
      <c r="B96" s="1689"/>
      <c r="C96" s="1676"/>
      <c r="D96" s="1867"/>
      <c r="E96" s="1562">
        <f t="shared" si="17"/>
        <v>0</v>
      </c>
      <c r="F96" s="1815">
        <f t="shared" si="18"/>
        <v>0</v>
      </c>
      <c r="G96" s="1816">
        <f t="shared" si="19"/>
        <v>0</v>
      </c>
    </row>
    <row r="97" spans="1:7" x14ac:dyDescent="0.25">
      <c r="A97" s="1675"/>
      <c r="B97" s="1689"/>
      <c r="C97" s="1676"/>
      <c r="D97" s="1867"/>
      <c r="E97" s="1562">
        <f t="shared" si="17"/>
        <v>0</v>
      </c>
      <c r="F97" s="1815">
        <f t="shared" si="18"/>
        <v>0</v>
      </c>
      <c r="G97" s="1816">
        <f t="shared" si="19"/>
        <v>0</v>
      </c>
    </row>
    <row r="98" spans="1:7" x14ac:dyDescent="0.25">
      <c r="A98" s="1675"/>
      <c r="B98" s="1689"/>
      <c r="C98" s="1676"/>
      <c r="D98" s="1867"/>
      <c r="E98" s="1562">
        <f t="shared" si="17"/>
        <v>0</v>
      </c>
      <c r="F98" s="1815">
        <f t="shared" si="18"/>
        <v>0</v>
      </c>
      <c r="G98" s="1816">
        <f t="shared" si="19"/>
        <v>0</v>
      </c>
    </row>
    <row r="99" spans="1:7" x14ac:dyDescent="0.25">
      <c r="A99" s="1675"/>
      <c r="B99" s="1689"/>
      <c r="C99" s="1676"/>
      <c r="D99" s="1867"/>
      <c r="E99" s="1562">
        <f t="shared" si="17"/>
        <v>0</v>
      </c>
      <c r="F99" s="1815">
        <f t="shared" si="18"/>
        <v>0</v>
      </c>
      <c r="G99" s="1816">
        <f t="shared" si="19"/>
        <v>0</v>
      </c>
    </row>
    <row r="100" spans="1:7" x14ac:dyDescent="0.25">
      <c r="A100" s="1675"/>
      <c r="B100" s="1689"/>
      <c r="C100" s="1676"/>
      <c r="D100" s="1867"/>
      <c r="E100" s="1562">
        <f t="shared" si="17"/>
        <v>0</v>
      </c>
      <c r="F100" s="1815">
        <f t="shared" si="18"/>
        <v>0</v>
      </c>
      <c r="G100" s="1816">
        <f t="shared" si="19"/>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ref="E104:E116" si="20">IF(D104&lt;=25000,D104,IF(D104&gt;25000,25000,0))</f>
        <v>0</v>
      </c>
      <c r="F104" s="1815">
        <f t="shared" ref="F104:F116" si="21">IF(OR(B104="10-1000-100",B104="10-1000-200",B104="10-1000-300",B104="10-1000-400",B104="10-1000-600",B104="10-1000-800",B104="50-1000-200",B104="10-2100-100",B104="10-2100-200",B104="10-2100-300",B104="10-2100-400",B104="10-2100-600",B104="10-2100-800",B104="20-2100-200",B104="20-2190-100",B104="20-2190-200",B104="20-2190-300",B104="20-2190-400",B104="20-2190-600",B104="20-2190-800",B104="40-2190-100",B104="40-2190-200",B104="40-2190-300",B104="40-2190-400",B104="40-2190-600",B104="40-2190-800",B104="50-2190-200",B104="10-2200-100",B104="10-2200-200",B104="10-2200-300",B104="10-2200-400",B104="10-2200-600",B104="10-2200-800",B104="50-2200-200",B104="10-2300-100",B104="10-2300-200",B104="10-2300-300",B104="10-2300-400",B104="10-2300-600",B104="10-2300-800",B104="50-2300-200",B104="80-2300-100",B104="80-2300-200",B104="80-2300-300",B104="80-2300-400",B104="80-2300-600",B104="80-2300-800",B104="10-2400-100",B104="10-2400-200",B104="10-2400-300",B104="10-2400-400",B104="10-2400-600",B104="10-2400-800",B104="50-2400-200",B104="10-2510-100",B104="10-2510-200",B104="10-2510-300",B104="10-2510-400",B104="10-2510-600",B104="10-2510-800",B104="20-2510-100",B104="20-2510-200",B104="20-2510-300",B104="20-2510-400",B104="20-2510-600",B104="20-2510-800",B104="50-2510-200",B104="10-2520-100",B104="10-2520-200",B104="10-2520-300",B104="10-2520-400",B104="10-2520-600",B104="10-2520-800",B104="50-2520-200",B104="10-2540-100",B104="10-2540-200",B104="10-2540-300",B104="10-2540-400",B104="10-2540-600",B104="20-2540-800",B104="20-2540-100",B104="20-2540-200",B104="20-2540-300",B104="20-2540-400",B104="20-2540-600",B104="50-2540-200",B104="90-2540-100",B104="90-2540-200",B104="90-2540-300",B104="90-2540-400",B104="90-2540-600",B104="90-2540-800",B104="90-2540-800",B104="10-2550-100",B104="10-2550-200",B104="10-2550-300",B104="10-2550-400",B104="10-2550-600",B104="10-2550-800",B104="20-2550-100",B104="20-2550-200",B104="20-2550-300",B104="20-2550-400",B104="20-2550-600",B104="20-2550-800",B104="40-2550-100",B104="40-2550-200",B104="40-2550-300",B104="40-2550-400",B104="40-2550-600",B104="40-2550-800",B104="50-2550-200",B104="10-2560-100",B104="10-2560-200",B104="10-2560-300",B104="10-2560-400",B104="10-2560-600",B104="10-2560-800",B104="20-2560-100",B104="20-2560-200",B104="20-2560-300",B104="20-2560-400",B104="20-2560-600",B104="20-2560-800",B104="50-2560-200",B104="10-2570-100",B104="10-2570-200",B104="10-2570-300",B104="10-2570-400",B104="10-2570-600",B104="10-2570-800",B104="50-2570-200",B104="10-2610-100",B104="10-2610-200",B104="10-2610-300",B104="10-2610-400",B104="10-2610-600",B104="10-2610-800",B104="50-2610-200",B104="10-2620-100",B104="10-2620-200",B104="10-2620-300",B104="10-2620-400",B104="10-2620-600",B104="10-2620-800",B104="50-2620-200",B104="10-2630-100",B104="10-2630-200",B104="10-2630-300",B104="10-2630-400",B104="10-2630-600",B104="10-2630-800",B104="50-2630-200",B104="10-2640-100",B104="10-2640-200",B104="10-2640-300",B104="10-2640-400",B104="10-2640-600",B104="10-2640-800",B104="50-2640-200",B104="10-2660-100",B104="10-2660-200",B104="10-2660-300",B104="10-2660-400",B104="10-2660-600",B104="10-2660-800",B104="50-2660-200",B104="10-2900-100",B104="10-2900-200",B104="10-2900-300",B104="10-2900-400",B104="10-2900-600",B104="10-2900-800",B104="20-2900-100",B104="20-2900-200",B104="20-2900-300",B104="20-2900-400",B104="20-2900-600",B104="20-2900-800",B104="40-2900-100",B104="40-2900-200",B104="40-2900-300",B104="40-2900-400",B104="40-2900-600",B104="40-2900-800",B104="50-2900-200",B104="60-2900-100",B104="60-2900-200",B104="60-2900-300",B104="60-2900-400",B104="60-2900-600",B104="60-2900-800",B104="90-2900-100",B104="90-2900-200",B104="90-2900-300",B104="90-2900-400",B104="90-2900-600",B104="90-2900-800",B104="10-3000-100",B104="10-3000-200",B104="10-3000-300",B104="10-3000-400",B104="10-3000-600",B104="10-3000-800",B104="20-3000-100",B104="20-3000-200",B104="20-3000-300",B104="20-3000-400",B104="20-3000-600",B104="20-3000-800",B104="40-3000-100",B104="40-3000-200",B104="40-3000-300",B104="40-3000-400",B104="40-3000-600",B104="40-3000-800",B104="50-3000-200"),E104,0)</f>
        <v>0</v>
      </c>
      <c r="G104" s="1816">
        <f t="shared" ref="G104:G116" si="22">IF(F104=0,0,D104-F104)</f>
        <v>0</v>
      </c>
    </row>
    <row r="105" spans="1:7" x14ac:dyDescent="0.25">
      <c r="A105" s="1675"/>
      <c r="B105" s="1689"/>
      <c r="C105" s="1676"/>
      <c r="D105" s="1867"/>
      <c r="E105" s="1562">
        <f t="shared" si="20"/>
        <v>0</v>
      </c>
      <c r="F105" s="1815">
        <f t="shared" si="21"/>
        <v>0</v>
      </c>
      <c r="G105" s="1816">
        <f t="shared" si="22"/>
        <v>0</v>
      </c>
    </row>
    <row r="106" spans="1:7" x14ac:dyDescent="0.25">
      <c r="A106" s="1675"/>
      <c r="B106" s="1689"/>
      <c r="C106" s="1676"/>
      <c r="D106" s="1867"/>
      <c r="E106" s="1562">
        <f t="shared" si="20"/>
        <v>0</v>
      </c>
      <c r="F106" s="1815">
        <f t="shared" si="21"/>
        <v>0</v>
      </c>
      <c r="G106" s="1816">
        <f t="shared" si="22"/>
        <v>0</v>
      </c>
    </row>
    <row r="107" spans="1:7" x14ac:dyDescent="0.25">
      <c r="A107" s="1675"/>
      <c r="B107" s="1689"/>
      <c r="C107" s="1676"/>
      <c r="D107" s="1867"/>
      <c r="E107" s="1562">
        <f t="shared" si="20"/>
        <v>0</v>
      </c>
      <c r="F107" s="1815">
        <f t="shared" si="21"/>
        <v>0</v>
      </c>
      <c r="G107" s="1816">
        <f t="shared" si="22"/>
        <v>0</v>
      </c>
    </row>
    <row r="108" spans="1:7" x14ac:dyDescent="0.25">
      <c r="A108" s="1675"/>
      <c r="B108" s="1689"/>
      <c r="C108" s="1676"/>
      <c r="D108" s="1867"/>
      <c r="E108" s="1562">
        <f t="shared" si="20"/>
        <v>0</v>
      </c>
      <c r="F108" s="1815">
        <f t="shared" si="21"/>
        <v>0</v>
      </c>
      <c r="G108" s="1816">
        <f t="shared" si="22"/>
        <v>0</v>
      </c>
    </row>
    <row r="109" spans="1:7" x14ac:dyDescent="0.25">
      <c r="A109" s="1675"/>
      <c r="B109" s="1689"/>
      <c r="C109" s="1676"/>
      <c r="D109" s="1867"/>
      <c r="E109" s="1562">
        <f t="shared" si="20"/>
        <v>0</v>
      </c>
      <c r="F109" s="1815">
        <f t="shared" si="21"/>
        <v>0</v>
      </c>
      <c r="G109" s="1816">
        <f t="shared" si="22"/>
        <v>0</v>
      </c>
    </row>
    <row r="110" spans="1:7" x14ac:dyDescent="0.25">
      <c r="A110" s="1675"/>
      <c r="B110" s="1689"/>
      <c r="C110" s="1676"/>
      <c r="D110" s="1867"/>
      <c r="E110" s="1562">
        <f t="shared" si="20"/>
        <v>0</v>
      </c>
      <c r="F110" s="1815">
        <f t="shared" si="21"/>
        <v>0</v>
      </c>
      <c r="G110" s="1816">
        <f t="shared" si="22"/>
        <v>0</v>
      </c>
    </row>
    <row r="111" spans="1:7" x14ac:dyDescent="0.25">
      <c r="A111" s="1675"/>
      <c r="B111" s="1689"/>
      <c r="C111" s="1676"/>
      <c r="D111" s="1867"/>
      <c r="E111" s="1562">
        <f t="shared" si="20"/>
        <v>0</v>
      </c>
      <c r="F111" s="1815">
        <f t="shared" si="21"/>
        <v>0</v>
      </c>
      <c r="G111" s="1816">
        <f t="shared" si="22"/>
        <v>0</v>
      </c>
    </row>
    <row r="112" spans="1:7" x14ac:dyDescent="0.25">
      <c r="A112" s="1675"/>
      <c r="B112" s="1689"/>
      <c r="C112" s="1676"/>
      <c r="D112" s="1867"/>
      <c r="E112" s="1562">
        <f t="shared" si="20"/>
        <v>0</v>
      </c>
      <c r="F112" s="1815">
        <f t="shared" si="21"/>
        <v>0</v>
      </c>
      <c r="G112" s="1816">
        <f t="shared" si="22"/>
        <v>0</v>
      </c>
    </row>
    <row r="113" spans="1:7" x14ac:dyDescent="0.25">
      <c r="A113" s="1675"/>
      <c r="B113" s="1689"/>
      <c r="C113" s="1676"/>
      <c r="D113" s="1867"/>
      <c r="E113" s="1562">
        <f t="shared" si="20"/>
        <v>0</v>
      </c>
      <c r="F113" s="1815">
        <f t="shared" si="21"/>
        <v>0</v>
      </c>
      <c r="G113" s="1816">
        <f t="shared" si="22"/>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ref="E117:E125" si="23">IF(D117&lt;=25000,D117,IF(D117&gt;25000,25000,0))</f>
        <v>0</v>
      </c>
      <c r="F117" s="1815">
        <f t="shared" ref="F117:F125" si="24">IF(OR(B117="10-1000-100",B117="10-1000-200",B117="10-1000-300",B117="10-1000-400",B117="10-1000-600",B117="10-1000-800",B117="50-1000-200",B117="10-2100-100",B117="10-2100-200",B117="10-2100-300",B117="10-2100-400",B117="10-2100-600",B117="10-2100-800",B117="20-2100-200",B117="20-2190-100",B117="20-2190-200",B117="20-2190-300",B117="20-2190-400",B117="20-2190-600",B117="20-2190-800",B117="40-2190-100",B117="40-2190-200",B117="40-2190-300",B117="40-2190-400",B117="40-2190-600",B117="40-2190-800",B117="50-2190-200",B117="10-2200-100",B117="10-2200-200",B117="10-2200-300",B117="10-2200-400",B117="10-2200-600",B117="10-2200-800",B117="50-2200-200",B117="10-2300-100",B117="10-2300-200",B117="10-2300-300",B117="10-2300-400",B117="10-2300-600",B117="10-2300-800",B117="50-2300-200",B117="80-2300-100",B117="80-2300-200",B117="80-2300-300",B117="80-2300-400",B117="80-2300-600",B117="80-2300-800",B117="10-2400-100",B117="10-2400-200",B117="10-2400-300",B117="10-2400-400",B117="10-2400-600",B117="10-2400-800",B117="50-2400-200",B117="10-2510-100",B117="10-2510-200",B117="10-2510-300",B117="10-2510-400",B117="10-2510-600",B117="10-2510-800",B117="20-2510-100",B117="20-2510-200",B117="20-2510-300",B117="20-2510-400",B117="20-2510-600",B117="20-2510-800",B117="50-2510-200",B117="10-2520-100",B117="10-2520-200",B117="10-2520-300",B117="10-2520-400",B117="10-2520-600",B117="10-2520-800",B117="50-2520-200",B117="10-2540-100",B117="10-2540-200",B117="10-2540-300",B117="10-2540-400",B117="10-2540-600",B117="20-2540-800",B117="20-2540-100",B117="20-2540-200",B117="20-2540-300",B117="20-2540-400",B117="20-2540-600",B117="50-2540-200",B117="90-2540-100",B117="90-2540-200",B117="90-2540-300",B117="90-2540-400",B117="90-2540-600",B117="90-2540-800",B117="90-2540-800",B117="10-2550-100",B117="10-2550-200",B117="10-2550-300",B117="10-2550-400",B117="10-2550-600",B117="10-2550-800",B117="20-2550-100",B117="20-2550-200",B117="20-2550-300",B117="20-2550-400",B117="20-2550-600",B117="20-2550-800",B117="40-2550-100",B117="40-2550-200",B117="40-2550-300",B117="40-2550-400",B117="40-2550-600",B117="40-2550-800",B117="50-2550-200",B117="10-2560-100",B117="10-2560-200",B117="10-2560-300",B117="10-2560-400",B117="10-2560-600",B117="10-2560-800",B117="20-2560-100",B117="20-2560-200",B117="20-2560-300",B117="20-2560-400",B117="20-2560-600",B117="20-2560-800",B117="50-2560-200",B117="10-2570-100",B117="10-2570-200",B117="10-2570-300",B117="10-2570-400",B117="10-2570-600",B117="10-2570-800",B117="50-2570-200",B117="10-2610-100",B117="10-2610-200",B117="10-2610-300",B117="10-2610-400",B117="10-2610-600",B117="10-2610-800",B117="50-2610-200",B117="10-2620-100",B117="10-2620-200",B117="10-2620-300",B117="10-2620-400",B117="10-2620-600",B117="10-2620-800",B117="50-2620-200",B117="10-2630-100",B117="10-2630-200",B117="10-2630-300",B117="10-2630-400",B117="10-2630-600",B117="10-2630-800",B117="50-2630-200",B117="10-2640-100",B117="10-2640-200",B117="10-2640-300",B117="10-2640-400",B117="10-2640-600",B117="10-2640-800",B117="50-2640-200",B117="10-2660-100",B117="10-2660-200",B117="10-2660-300",B117="10-2660-400",B117="10-2660-600",B117="10-2660-800",B117="50-2660-200",B117="10-2900-100",B117="10-2900-200",B117="10-2900-300",B117="10-2900-400",B117="10-2900-600",B117="10-2900-800",B117="20-2900-100",B117="20-2900-200",B117="20-2900-300",B117="20-2900-400",B117="20-2900-600",B117="20-2900-800",B117="40-2900-100",B117="40-2900-200",B117="40-2900-300",B117="40-2900-400",B117="40-2900-600",B117="40-2900-800",B117="50-2900-200",B117="60-2900-100",B117="60-2900-200",B117="60-2900-300",B117="60-2900-400",B117="60-2900-600",B117="60-2900-800",B117="90-2900-100",B117="90-2900-200",B117="90-2900-300",B117="90-2900-400",B117="90-2900-600",B117="90-2900-800",B117="10-3000-100",B117="10-3000-200",B117="10-3000-300",B117="10-3000-400",B117="10-3000-600",B117="10-3000-800",B117="20-3000-100",B117="20-3000-200",B117="20-3000-300",B117="20-3000-400",B117="20-3000-600",B117="20-3000-800",B117="40-3000-100",B117="40-3000-200",B117="40-3000-300",B117="40-3000-400",B117="40-3000-600",B117="40-3000-800",B117="50-3000-200"),E117,0)</f>
        <v>0</v>
      </c>
      <c r="G117" s="1816">
        <f t="shared" ref="G117:G125" si="25">IF(F117=0,0,D117-F117)</f>
        <v>0</v>
      </c>
    </row>
    <row r="118" spans="1:7" x14ac:dyDescent="0.25">
      <c r="A118" s="1675"/>
      <c r="B118" s="1689"/>
      <c r="C118" s="1676"/>
      <c r="D118" s="1867"/>
      <c r="E118" s="1562">
        <f t="shared" si="23"/>
        <v>0</v>
      </c>
      <c r="F118" s="1815">
        <f t="shared" si="24"/>
        <v>0</v>
      </c>
      <c r="G118" s="1816">
        <f t="shared" si="25"/>
        <v>0</v>
      </c>
    </row>
    <row r="119" spans="1:7" x14ac:dyDescent="0.25">
      <c r="A119" s="1675"/>
      <c r="B119" s="1689"/>
      <c r="C119" s="1676"/>
      <c r="D119" s="1867"/>
      <c r="E119" s="1562">
        <f t="shared" si="23"/>
        <v>0</v>
      </c>
      <c r="F119" s="1815">
        <f t="shared" si="24"/>
        <v>0</v>
      </c>
      <c r="G119" s="1816">
        <f t="shared" si="25"/>
        <v>0</v>
      </c>
    </row>
    <row r="120" spans="1:7" x14ac:dyDescent="0.25">
      <c r="A120" s="1675"/>
      <c r="B120" s="1689"/>
      <c r="C120" s="1676"/>
      <c r="D120" s="1867"/>
      <c r="E120" s="1562">
        <f t="shared" si="23"/>
        <v>0</v>
      </c>
      <c r="F120" s="1815">
        <f t="shared" si="24"/>
        <v>0</v>
      </c>
      <c r="G120" s="1816">
        <f t="shared" si="25"/>
        <v>0</v>
      </c>
    </row>
    <row r="121" spans="1:7" x14ac:dyDescent="0.25">
      <c r="A121" s="1675"/>
      <c r="B121" s="1689"/>
      <c r="C121" s="1676"/>
      <c r="D121" s="1867"/>
      <c r="E121" s="1562">
        <f t="shared" si="23"/>
        <v>0</v>
      </c>
      <c r="F121" s="1815">
        <f t="shared" si="24"/>
        <v>0</v>
      </c>
      <c r="G121" s="1816">
        <f t="shared" si="25"/>
        <v>0</v>
      </c>
    </row>
    <row r="122" spans="1:7" x14ac:dyDescent="0.25">
      <c r="A122" s="1675"/>
      <c r="B122" s="1860"/>
      <c r="C122" s="1676"/>
      <c r="D122" s="1867"/>
      <c r="E122" s="1562">
        <f t="shared" si="23"/>
        <v>0</v>
      </c>
      <c r="F122" s="1815">
        <f t="shared" si="24"/>
        <v>0</v>
      </c>
      <c r="G122" s="1816">
        <f t="shared" si="25"/>
        <v>0</v>
      </c>
    </row>
    <row r="123" spans="1:7" x14ac:dyDescent="0.25">
      <c r="A123" s="1675"/>
      <c r="B123" s="1860"/>
      <c r="C123" s="1676"/>
      <c r="D123" s="1867"/>
      <c r="E123" s="1562">
        <f t="shared" si="23"/>
        <v>0</v>
      </c>
      <c r="F123" s="1815">
        <f t="shared" si="24"/>
        <v>0</v>
      </c>
      <c r="G123" s="1816">
        <f t="shared" si="25"/>
        <v>0</v>
      </c>
    </row>
    <row r="124" spans="1:7" x14ac:dyDescent="0.25">
      <c r="A124" s="1675"/>
      <c r="B124" s="1689"/>
      <c r="C124" s="1676"/>
      <c r="D124" s="1867"/>
      <c r="E124" s="1562">
        <f t="shared" si="23"/>
        <v>0</v>
      </c>
      <c r="F124" s="1815">
        <f t="shared" si="24"/>
        <v>0</v>
      </c>
      <c r="G124" s="1816">
        <f t="shared" si="25"/>
        <v>0</v>
      </c>
    </row>
    <row r="125" spans="1:7" x14ac:dyDescent="0.25">
      <c r="A125" s="1675"/>
      <c r="B125" s="1689"/>
      <c r="C125" s="1676"/>
      <c r="D125" s="1867"/>
      <c r="E125" s="1562">
        <f t="shared" si="23"/>
        <v>0</v>
      </c>
      <c r="F125" s="1815">
        <f t="shared" si="24"/>
        <v>0</v>
      </c>
      <c r="G125" s="1816">
        <f t="shared" si="25"/>
        <v>0</v>
      </c>
    </row>
    <row r="126" spans="1:7" x14ac:dyDescent="0.25">
      <c r="A126" s="1675"/>
      <c r="B126" s="1689"/>
      <c r="C126" s="1676"/>
      <c r="D126" s="1867"/>
      <c r="E126" s="1562">
        <f t="shared" ref="E126:E130" si="26">IF(D126&lt;=25000,D126,IF(D126&gt;25000,25000,0))</f>
        <v>0</v>
      </c>
      <c r="F126" s="1815">
        <f t="shared" ref="F126:F130" si="27">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0" si="28">IF(F126=0,0,D126-F126)</f>
        <v>0</v>
      </c>
    </row>
    <row r="127" spans="1:7" x14ac:dyDescent="0.25">
      <c r="A127" s="1675"/>
      <c r="B127" s="1689"/>
      <c r="C127" s="1676"/>
      <c r="D127" s="1867"/>
      <c r="E127" s="1562">
        <f t="shared" si="26"/>
        <v>0</v>
      </c>
      <c r="F127" s="1815">
        <f t="shared" si="27"/>
        <v>0</v>
      </c>
      <c r="G127" s="1816">
        <f t="shared" si="28"/>
        <v>0</v>
      </c>
    </row>
    <row r="128" spans="1:7" x14ac:dyDescent="0.25">
      <c r="A128" s="1675"/>
      <c r="B128" s="1689"/>
      <c r="C128" s="1676"/>
      <c r="D128" s="1867"/>
      <c r="E128" s="1562">
        <f t="shared" si="26"/>
        <v>0</v>
      </c>
      <c r="F128" s="1815">
        <f t="shared" si="27"/>
        <v>0</v>
      </c>
      <c r="G128" s="1816">
        <f t="shared" si="28"/>
        <v>0</v>
      </c>
    </row>
    <row r="129" spans="1:7" x14ac:dyDescent="0.25">
      <c r="A129" s="1675"/>
      <c r="B129" s="1689"/>
      <c r="C129" s="1676"/>
      <c r="D129" s="1867"/>
      <c r="E129" s="1562">
        <f t="shared" si="26"/>
        <v>0</v>
      </c>
      <c r="F129" s="1815">
        <f t="shared" si="27"/>
        <v>0</v>
      </c>
      <c r="G129" s="1816">
        <f t="shared" si="28"/>
        <v>0</v>
      </c>
    </row>
    <row r="130" spans="1:7" x14ac:dyDescent="0.25">
      <c r="A130" s="1675"/>
      <c r="B130" s="1689"/>
      <c r="C130" s="1676"/>
      <c r="D130" s="1867"/>
      <c r="E130" s="1562">
        <f t="shared" si="26"/>
        <v>0</v>
      </c>
      <c r="F130" s="1815">
        <f t="shared" si="27"/>
        <v>0</v>
      </c>
      <c r="G130" s="1816">
        <f t="shared" si="28"/>
        <v>0</v>
      </c>
    </row>
    <row r="131" spans="1:7" x14ac:dyDescent="0.25">
      <c r="A131" s="1675"/>
      <c r="B131" s="1688"/>
      <c r="C131" s="1676"/>
      <c r="D131" s="1867"/>
      <c r="E131" s="1562">
        <f t="shared" si="2"/>
        <v>0</v>
      </c>
      <c r="F131" s="1815">
        <f t="shared" si="3"/>
        <v>0</v>
      </c>
      <c r="G131" s="1816">
        <f t="shared" si="4"/>
        <v>0</v>
      </c>
    </row>
    <row r="132" spans="1:7" x14ac:dyDescent="0.25">
      <c r="A132" s="1819" t="s">
        <v>158</v>
      </c>
      <c r="B132" s="1820"/>
      <c r="C132" s="1821"/>
      <c r="D132" s="1817">
        <f>SUM(D17:D131)</f>
        <v>445942</v>
      </c>
      <c r="E132" s="1563">
        <f t="shared" si="1"/>
        <v>25000</v>
      </c>
      <c r="F132" s="1817">
        <f>SUM(F17:F131)</f>
        <v>208155</v>
      </c>
      <c r="G132" s="1818">
        <f>SUM(G17:G131)</f>
        <v>237787</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Footer>&amp;C70</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6"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13" t="s">
        <v>1778</v>
      </c>
      <c r="B5" s="2314"/>
      <c r="C5" s="2314"/>
      <c r="D5" s="2314"/>
      <c r="E5" s="2314"/>
      <c r="F5" s="2314"/>
      <c r="G5" s="2315"/>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v>388746</v>
      </c>
      <c r="F10" s="975"/>
      <c r="G10" s="976"/>
      <c r="H10" s="162"/>
      <c r="I10" s="162"/>
    </row>
    <row r="11" spans="1:9" s="669" customFormat="1" ht="22.5" customHeight="1" x14ac:dyDescent="0.2">
      <c r="A11" s="2318" t="s">
        <v>1943</v>
      </c>
      <c r="B11" s="2319"/>
      <c r="C11" s="2319"/>
      <c r="D11" s="2320"/>
      <c r="E11" s="978">
        <v>48637</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6038562</v>
      </c>
      <c r="F19" s="1822"/>
      <c r="G19" s="1824">
        <f>'Expenditures 15-22'!K33-SUM('Expenditures 15-22'!G33,'Expenditures 15-22'!I33)+'Expenditures 15-22'!D229</f>
        <v>6038562</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427487</v>
      </c>
      <c r="F21" s="1825"/>
      <c r="G21" s="1828">
        <f>'Expenditures 15-22'!K42-SUM('Expenditures 15-22'!G42,'Expenditures 15-22'!I42)+'Expenditures 15-22'!K120-SUM('Expenditures 15-22'!G120,'Expenditures 15-22'!I120)+'Expenditures 15-22'!K180-SUM('Expenditures 15-22'!G180,'Expenditures 15-22'!I180)+'Expenditures 15-22'!D238</f>
        <v>427487</v>
      </c>
      <c r="H21" s="988"/>
      <c r="I21" s="162"/>
    </row>
    <row r="22" spans="1:9" s="669" customFormat="1" ht="12" customHeight="1" x14ac:dyDescent="0.2">
      <c r="A22" s="995" t="s">
        <v>585</v>
      </c>
      <c r="B22" s="996"/>
      <c r="C22" s="994">
        <v>2200</v>
      </c>
      <c r="D22" s="1825"/>
      <c r="E22" s="1827">
        <f>'Expenditures 15-22'!K47-SUM('Expenditures 15-22'!G47,'Expenditures 15-22'!I47)+'Expenditures 15-22'!D243</f>
        <v>150303</v>
      </c>
      <c r="F22" s="1825"/>
      <c r="G22" s="1828">
        <f>'Expenditures 15-22'!K47-SUM('Expenditures 15-22'!G47,'Expenditures 15-22'!I47)+'Expenditures 15-22'!D243</f>
        <v>150303</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327541</v>
      </c>
      <c r="F23" s="1825"/>
      <c r="G23" s="1827">
        <f>'Expenditures 15-22'!K53-SUM('Expenditures 15-22'!G53,'Expenditures 15-22'!I53)+'Expenditures 15-22'!D257+'Expenditures 15-22'!K330-SUM('Expenditures 15-22'!G330,'Expenditures 15-22'!I330)</f>
        <v>327541</v>
      </c>
      <c r="H23" s="988"/>
      <c r="I23" s="162"/>
    </row>
    <row r="24" spans="1:9" s="669" customFormat="1" ht="12" customHeight="1" x14ac:dyDescent="0.2">
      <c r="A24" s="995" t="s">
        <v>587</v>
      </c>
      <c r="B24" s="996"/>
      <c r="C24" s="994">
        <v>2400</v>
      </c>
      <c r="D24" s="1825"/>
      <c r="E24" s="1827">
        <f>'Expenditures 15-22'!K57-SUM('Expenditures 15-22'!G57,'Expenditures 15-22'!I57)+'Expenditures 15-22'!D261</f>
        <v>401058</v>
      </c>
      <c r="F24" s="1825"/>
      <c r="G24" s="1828">
        <f>'Expenditures 15-22'!K57-SUM('Expenditures 15-22'!G57,'Expenditures 15-22'!I57)+'Expenditures 15-22'!D261</f>
        <v>401058</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72049</v>
      </c>
      <c r="E27" s="1827">
        <f>E8</f>
        <v>0</v>
      </c>
      <c r="F27" s="1827">
        <f>'Expenditures 15-22'!K60-SUM('Expenditures 15-22'!G60,'Expenditures 15-22'!I60)+'Expenditures 15-22'!D264-E8</f>
        <v>72049</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1618337</v>
      </c>
      <c r="F28" s="1829">
        <f>'Expenditures 15-22'!K61-SUM('Expenditures 15-22'!G61,'Expenditures 15-22'!I61)+'Expenditures 15-22'!K124-SUM('Expenditures 15-22'!G124,'Expenditures 15-22'!I124)+'Expenditures 15-22'!D266-E9</f>
        <v>1618337</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561403</v>
      </c>
      <c r="F29" s="1825"/>
      <c r="G29" s="1828">
        <f>'Expenditures 15-22'!K62-SUM('Expenditures 15-22'!G62,'Expenditures 15-22'!I62)+'Expenditures 15-22'!K125-SUM('Expenditures 15-22'!G125,'Expenditures 15-22'!I125)+'Expenditures 15-22'!K182-SUM('Expenditures 15-22'!G182,'Expenditures 15-22'!I182)+'Expenditures 15-22'!D267</f>
        <v>561403</v>
      </c>
      <c r="H29" s="986"/>
    </row>
    <row r="30" spans="1:9" ht="12" customHeight="1" x14ac:dyDescent="0.2">
      <c r="A30" s="995" t="s">
        <v>102</v>
      </c>
      <c r="B30" s="998"/>
      <c r="C30" s="994">
        <v>2560</v>
      </c>
      <c r="D30" s="1825"/>
      <c r="E30" s="1827">
        <f>'Expenditures 15-22'!K63-SUM('Expenditures 15-22'!G63,'Expenditures 15-22'!I63)+'Expenditures 15-22'!D268-E10</f>
        <v>398175</v>
      </c>
      <c r="F30" s="1825"/>
      <c r="G30" s="1827">
        <f>'Expenditures 15-22'!K63-SUM('Expenditures 15-22'!G63,'Expenditures 15-22'!I63)+'Expenditures 15-22'!D268-E10</f>
        <v>398175</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2265</v>
      </c>
      <c r="F38" s="1825"/>
      <c r="G38" s="1827">
        <f>'Expenditures 15-22'!K73-SUM('Expenditures 15-22'!G73,'Expenditures 15-22'!I73)+'Expenditures 15-22'!K128-SUM('Expenditures 15-22'!G128,'Expenditures 15-22'!I128)+'Expenditures 15-22'!K183-SUM('Expenditures 15-22'!G183,'Expenditures 15-22'!I183)+'Expenditures 15-22'!D278</f>
        <v>2265</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77433</v>
      </c>
      <c r="F39" s="1825"/>
      <c r="G39" s="1827">
        <f>'Expenditures 15-22'!K75-SUM('Expenditures 15-22'!G75,'Expenditures 15-22'!I75)+'Expenditures 15-22'!K130-SUM('Expenditures 15-22'!G130,'Expenditures 15-22'!I130)+'Expenditures 15-22'!K185-SUM('Expenditures 15-22'!G185,'Expenditures 15-22'!I185)+'Expenditures 15-22'!D280</f>
        <v>77433</v>
      </c>
    </row>
    <row r="40" spans="1:7" ht="12" customHeight="1" x14ac:dyDescent="0.2">
      <c r="A40" s="991" t="s">
        <v>1928</v>
      </c>
      <c r="B40" s="992"/>
      <c r="C40" s="994"/>
      <c r="D40" s="1825"/>
      <c r="E40" s="1829">
        <f>-'Contracts Paid in CY 29'!G132</f>
        <v>-237787</v>
      </c>
      <c r="F40" s="1825"/>
      <c r="G40" s="1829">
        <f>-'Contracts Paid in CY 29'!G132</f>
        <v>-237787</v>
      </c>
    </row>
    <row r="41" spans="1:7" ht="12" customHeight="1" x14ac:dyDescent="0.2">
      <c r="A41" s="999" t="s">
        <v>158</v>
      </c>
      <c r="B41" s="1000"/>
      <c r="C41" s="1001"/>
      <c r="D41" s="1829">
        <f>SUM(D19:D39)</f>
        <v>72049</v>
      </c>
      <c r="E41" s="1829">
        <f>SUM(E19:E40)</f>
        <v>9764777</v>
      </c>
      <c r="F41" s="1829">
        <f>SUM(F19:F39)</f>
        <v>1690386</v>
      </c>
      <c r="G41" s="1829">
        <f>SUM(G19:G40)</f>
        <v>8146440</v>
      </c>
    </row>
    <row r="42" spans="1:7" x14ac:dyDescent="0.2">
      <c r="A42" s="988"/>
      <c r="B42" s="162"/>
      <c r="C42" s="1002"/>
      <c r="D42" s="2316" t="s">
        <v>543</v>
      </c>
      <c r="E42" s="2317"/>
      <c r="F42" s="1003" t="s">
        <v>544</v>
      </c>
      <c r="G42" s="1004"/>
    </row>
    <row r="43" spans="1:7" ht="12" customHeight="1" x14ac:dyDescent="0.2">
      <c r="A43" s="988"/>
      <c r="B43" s="162"/>
      <c r="C43" s="1002"/>
      <c r="D43" s="1830" t="s">
        <v>493</v>
      </c>
      <c r="E43" s="1831">
        <f>D41</f>
        <v>72049</v>
      </c>
      <c r="F43" s="1830" t="s">
        <v>495</v>
      </c>
      <c r="G43" s="1831">
        <f>F41</f>
        <v>1690386</v>
      </c>
    </row>
    <row r="44" spans="1:7" ht="12" customHeight="1" x14ac:dyDescent="0.2">
      <c r="A44" s="988"/>
      <c r="B44" s="162"/>
      <c r="C44" s="1002"/>
      <c r="D44" s="1830" t="s">
        <v>494</v>
      </c>
      <c r="E44" s="1831">
        <f>E41</f>
        <v>9764777</v>
      </c>
      <c r="F44" s="1830" t="s">
        <v>494</v>
      </c>
      <c r="G44" s="1831">
        <f>G41</f>
        <v>8146440</v>
      </c>
    </row>
    <row r="45" spans="1:7" ht="12" customHeight="1" x14ac:dyDescent="0.2">
      <c r="A45" s="988"/>
      <c r="B45" s="162"/>
      <c r="C45" s="162"/>
      <c r="D45" s="1832" t="s">
        <v>1063</v>
      </c>
      <c r="E45" s="1833">
        <f>(E43/E44)</f>
        <v>7.3784583099030321E-3</v>
      </c>
      <c r="F45" s="1832" t="s">
        <v>1063</v>
      </c>
      <c r="G45" s="1833">
        <f>(G43/G44)</f>
        <v>0.20749996317409813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&amp;C&amp;"Arial,Bold"
ESTIMATED INDIRECT COST DATA</oddHeader>
    <oddFooter>&amp;C73</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24" t="s">
        <v>1446</v>
      </c>
      <c r="B1" s="2324"/>
      <c r="C1" s="2324"/>
      <c r="D1" s="2324"/>
      <c r="E1" s="2324"/>
      <c r="F1" s="2324"/>
    </row>
    <row r="2" spans="1:10" x14ac:dyDescent="0.2">
      <c r="A2" s="1910" t="s">
        <v>2046</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25" t="s">
        <v>1627</v>
      </c>
      <c r="B5" s="2326"/>
      <c r="C5" s="2327"/>
      <c r="D5" s="2327"/>
      <c r="E5" s="2327"/>
      <c r="F5" s="2327"/>
    </row>
    <row r="6" spans="1:10" ht="12" customHeight="1" x14ac:dyDescent="0.25">
      <c r="A6" s="1873"/>
      <c r="B6" s="1874"/>
      <c r="C6" s="2328" t="str">
        <f>COVER!A17</f>
        <v>Eldorado CUSD 4</v>
      </c>
      <c r="D6" s="2328"/>
      <c r="E6" s="2328"/>
      <c r="F6" s="1875"/>
    </row>
    <row r="7" spans="1:10" ht="11.25" customHeight="1" thickBot="1" x14ac:dyDescent="0.3">
      <c r="A7" s="1873"/>
      <c r="B7" s="1874"/>
      <c r="C7" s="2329">
        <f>COVER!A13</f>
        <v>20083004026</v>
      </c>
      <c r="D7" s="2329"/>
      <c r="E7" s="2329"/>
      <c r="F7" s="1875"/>
    </row>
    <row r="8" spans="1:10" ht="25.5" customHeight="1" thickBot="1" x14ac:dyDescent="0.25">
      <c r="A8" s="1916" t="s">
        <v>2023</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c r="D19" s="1888"/>
      <c r="E19" s="1891"/>
      <c r="F19" s="1890"/>
      <c r="H19" s="1901">
        <f t="shared" si="0"/>
        <v>0</v>
      </c>
      <c r="I19" s="1901">
        <f t="shared" si="1"/>
        <v>0</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c r="D24" s="1888"/>
      <c r="E24" s="1891"/>
      <c r="F24" s="1890"/>
      <c r="H24" s="1901">
        <f t="shared" si="0"/>
        <v>0</v>
      </c>
      <c r="I24" s="1901">
        <f t="shared" si="1"/>
        <v>0</v>
      </c>
      <c r="J24" s="1901">
        <f t="shared" si="2"/>
        <v>0</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c r="D26" s="1888"/>
      <c r="E26" s="1891"/>
      <c r="F26" s="1890"/>
      <c r="H26" s="1901">
        <f t="shared" si="0"/>
        <v>0</v>
      </c>
      <c r="I26" s="1901">
        <f t="shared" si="1"/>
        <v>0</v>
      </c>
      <c r="J26" s="1901">
        <f t="shared" si="2"/>
        <v>0</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c r="D30" s="1888"/>
      <c r="E30" s="1891"/>
      <c r="F30" s="1890"/>
      <c r="H30" s="1901">
        <f t="shared" si="0"/>
        <v>0</v>
      </c>
      <c r="I30" s="1901">
        <f t="shared" si="1"/>
        <v>0</v>
      </c>
      <c r="J30" s="1901">
        <f t="shared" si="2"/>
        <v>0</v>
      </c>
    </row>
    <row r="31" spans="1:12" ht="12" customHeight="1" x14ac:dyDescent="0.2">
      <c r="A31" s="1886" t="s">
        <v>1620</v>
      </c>
      <c r="B31" s="1887"/>
      <c r="C31" s="1888" t="s">
        <v>2095</v>
      </c>
      <c r="D31" s="1888" t="s">
        <v>2095</v>
      </c>
      <c r="E31" s="1891"/>
      <c r="F31" s="1890" t="s">
        <v>2128</v>
      </c>
      <c r="H31" s="1901">
        <f t="shared" si="0"/>
        <v>5</v>
      </c>
      <c r="I31" s="1901">
        <f t="shared" si="1"/>
        <v>5</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t="s">
        <v>2095</v>
      </c>
      <c r="D33" s="1888" t="s">
        <v>2082</v>
      </c>
      <c r="E33" s="1891"/>
      <c r="F33" s="1890" t="s">
        <v>2126</v>
      </c>
      <c r="H33" s="1901">
        <f t="shared" si="0"/>
        <v>5</v>
      </c>
      <c r="I33" s="1901">
        <f t="shared" si="1"/>
        <v>5</v>
      </c>
      <c r="J33" s="1901">
        <f t="shared" si="2"/>
        <v>0</v>
      </c>
    </row>
    <row r="34" spans="1:11" ht="12" customHeight="1" x14ac:dyDescent="0.25">
      <c r="A34" s="1893"/>
      <c r="B34" s="1893"/>
      <c r="C34" s="1893"/>
      <c r="D34" s="1893"/>
      <c r="E34" s="1893"/>
      <c r="F34" s="1893"/>
      <c r="H34" s="1901">
        <f>SUM(H11:H32)</f>
        <v>5</v>
      </c>
      <c r="I34" s="1901">
        <f>SUM(I11:I32)</f>
        <v>5</v>
      </c>
      <c r="J34" s="1901">
        <f>SUM(J11:J32)</f>
        <v>0</v>
      </c>
      <c r="K34" s="1901">
        <f>SUM(H34:J34)</f>
        <v>10</v>
      </c>
    </row>
    <row r="35" spans="1:11" ht="12" customHeight="1" x14ac:dyDescent="0.2">
      <c r="A35" s="1894" t="s">
        <v>1459</v>
      </c>
      <c r="B35" s="1895"/>
      <c r="C35" s="2330"/>
      <c r="D35" s="2330"/>
      <c r="E35" s="2330"/>
      <c r="F35" s="2331"/>
    </row>
    <row r="36" spans="1:11" ht="12" customHeight="1" x14ac:dyDescent="0.2">
      <c r="A36" s="2321" t="s">
        <v>2129</v>
      </c>
      <c r="B36" s="2322"/>
      <c r="C36" s="2322"/>
      <c r="D36" s="2322"/>
      <c r="E36" s="2322"/>
      <c r="F36" s="2323"/>
    </row>
    <row r="37" spans="1:11" ht="12" customHeight="1" x14ac:dyDescent="0.2">
      <c r="A37" s="2321" t="s">
        <v>2130</v>
      </c>
      <c r="B37" s="2322"/>
      <c r="C37" s="2322"/>
      <c r="D37" s="2322"/>
      <c r="E37" s="2322"/>
      <c r="F37" s="2323"/>
    </row>
    <row r="38" spans="1:11" ht="12" customHeight="1" x14ac:dyDescent="0.2">
      <c r="A38" s="2335" t="s">
        <v>2131</v>
      </c>
      <c r="B38" s="2336"/>
      <c r="C38" s="2336"/>
      <c r="D38" s="2336"/>
      <c r="E38" s="2336"/>
      <c r="F38" s="2337"/>
    </row>
    <row r="39" spans="1:11" ht="4.5" hidden="1" customHeight="1" x14ac:dyDescent="0.2">
      <c r="A39" s="1896"/>
      <c r="B39" s="1896"/>
      <c r="C39" s="1896"/>
      <c r="D39" s="1896"/>
      <c r="E39" s="1896"/>
      <c r="F39" s="1896"/>
    </row>
    <row r="40" spans="1:11" s="1893" customFormat="1" ht="12" customHeight="1" x14ac:dyDescent="0.25">
      <c r="A40" s="1897" t="s">
        <v>1458</v>
      </c>
      <c r="B40" s="1898"/>
      <c r="C40" s="2338"/>
      <c r="D40" s="2338"/>
      <c r="E40" s="2338"/>
      <c r="F40" s="2339"/>
      <c r="H40" s="1902"/>
      <c r="I40" s="1902"/>
      <c r="J40" s="1902"/>
      <c r="K40" s="1902"/>
    </row>
    <row r="41" spans="1:11" s="1893" customFormat="1" ht="12" customHeight="1" x14ac:dyDescent="0.25">
      <c r="A41" s="2340"/>
      <c r="B41" s="2341"/>
      <c r="C41" s="2341"/>
      <c r="D41" s="2341"/>
      <c r="E41" s="2341"/>
      <c r="F41" s="2342"/>
      <c r="H41" s="1902"/>
      <c r="I41" s="1902"/>
      <c r="J41" s="1902"/>
      <c r="K41" s="1902"/>
    </row>
    <row r="42" spans="1:11" s="1893" customFormat="1" ht="12" customHeight="1" x14ac:dyDescent="0.25">
      <c r="A42" s="2340" t="s">
        <v>2127</v>
      </c>
      <c r="B42" s="2341"/>
      <c r="C42" s="2341"/>
      <c r="D42" s="2341"/>
      <c r="E42" s="2341"/>
      <c r="F42" s="2342"/>
      <c r="H42" s="1902"/>
      <c r="I42" s="1902"/>
      <c r="J42" s="1902"/>
      <c r="K42" s="1902"/>
    </row>
    <row r="43" spans="1:11" s="1893" customFormat="1" ht="15" x14ac:dyDescent="0.25">
      <c r="A43" s="2332"/>
      <c r="B43" s="2333"/>
      <c r="C43" s="2333"/>
      <c r="D43" s="2333"/>
      <c r="E43" s="2333"/>
      <c r="F43" s="2334"/>
      <c r="H43" s="1902"/>
      <c r="I43" s="1902"/>
      <c r="J43" s="1902"/>
      <c r="K43" s="1902"/>
    </row>
    <row r="44" spans="1:11" s="1893" customFormat="1" ht="12" hidden="1" customHeight="1" x14ac:dyDescent="0.25">
      <c r="A44" s="2332"/>
      <c r="B44" s="2333"/>
      <c r="C44" s="2333"/>
      <c r="D44" s="2333"/>
      <c r="E44" s="2333"/>
      <c r="F44" s="2334"/>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fitToHeight="0" orientation="landscape" r:id="rId1"/>
  <headerFooter>
    <oddFooter>&amp;C&amp;8Page 71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7" t="s">
        <v>693</v>
      </c>
      <c r="B6" s="1664"/>
      <c r="C6" s="1664"/>
      <c r="D6" s="1664"/>
      <c r="E6" s="1665"/>
      <c r="F6" s="1016"/>
      <c r="G6" s="1010"/>
      <c r="H6" s="1017" t="s">
        <v>1086</v>
      </c>
      <c r="I6" s="2348" t="str">
        <f>COVER!A17</f>
        <v>Eldorado CUSD 4</v>
      </c>
      <c r="J6" s="2349"/>
      <c r="Q6" s="1686"/>
    </row>
    <row r="7" spans="1:17" x14ac:dyDescent="0.2">
      <c r="A7" s="2350" t="s">
        <v>924</v>
      </c>
      <c r="B7" s="2351"/>
      <c r="C7" s="2351"/>
      <c r="D7" s="2351"/>
      <c r="E7" s="2352"/>
      <c r="F7" s="1018"/>
      <c r="G7" s="1010"/>
      <c r="H7" s="1017" t="s">
        <v>390</v>
      </c>
      <c r="I7" s="2353">
        <f>COVER!A13</f>
        <v>20083004026</v>
      </c>
      <c r="J7" s="2353"/>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8" t="s">
        <v>1701</v>
      </c>
      <c r="F9" s="1024"/>
      <c r="G9" s="1024"/>
      <c r="H9" s="1919"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4" t="s">
        <v>502</v>
      </c>
      <c r="B11" s="2355"/>
      <c r="C11" s="2356"/>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139936</v>
      </c>
      <c r="F12" s="1040"/>
      <c r="G12" s="1834">
        <f t="shared" ref="G12:G18" si="0">SUM(E12:F12)</f>
        <v>139936</v>
      </c>
      <c r="H12" s="1041">
        <v>143994</v>
      </c>
      <c r="I12" s="1040"/>
      <c r="J12" s="1834">
        <f t="shared" ref="J12:J18" si="1">SUM(H12:I12)</f>
        <v>143994</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57" t="s">
        <v>7</v>
      </c>
      <c r="C18" s="2358"/>
      <c r="D18" s="2359"/>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139936</v>
      </c>
      <c r="F19" s="1836">
        <f t="shared" si="2"/>
        <v>0</v>
      </c>
      <c r="G19" s="1836">
        <f t="shared" si="2"/>
        <v>139936</v>
      </c>
      <c r="H19" s="1836">
        <f t="shared" si="2"/>
        <v>143994</v>
      </c>
      <c r="I19" s="1836">
        <f t="shared" si="2"/>
        <v>0</v>
      </c>
      <c r="J19" s="1836">
        <f t="shared" si="2"/>
        <v>143994</v>
      </c>
    </row>
    <row r="20" spans="1:10" ht="13.5" thickTop="1" x14ac:dyDescent="0.2">
      <c r="A20" s="1036">
        <v>9</v>
      </c>
      <c r="B20" s="2360" t="s">
        <v>1703</v>
      </c>
      <c r="C20" s="2360"/>
      <c r="D20" s="2361"/>
      <c r="E20" s="1047"/>
      <c r="F20" s="1047"/>
      <c r="G20" s="1047"/>
      <c r="H20" s="1047"/>
      <c r="I20" s="1047"/>
      <c r="J20" s="1837">
        <f>IF(AND(G19&gt;0,J19&gt;0),(((J19-G19)/G19)),"Enter Budget Data")</f>
        <v>2.8998970958152299E-2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6"/>
      <c r="D26" s="2366"/>
      <c r="E26" s="1051"/>
      <c r="F26" s="2365"/>
      <c r="G26" s="2365"/>
    </row>
    <row r="27" spans="1:10" x14ac:dyDescent="0.2">
      <c r="B27" s="1048"/>
      <c r="C27" s="1052" t="s">
        <v>1093</v>
      </c>
      <c r="D27" s="1053"/>
      <c r="E27" s="1054"/>
      <c r="F27" s="2362" t="s">
        <v>1589</v>
      </c>
      <c r="G27" s="2362"/>
    </row>
    <row r="28" spans="1:10" ht="28.5" customHeight="1" x14ac:dyDescent="0.2">
      <c r="B28" s="1048"/>
      <c r="C28" s="2364"/>
      <c r="D28" s="2364"/>
      <c r="E28" s="1055"/>
      <c r="F28" s="2364"/>
      <c r="G28" s="2364"/>
    </row>
    <row r="29" spans="1:10" x14ac:dyDescent="0.2">
      <c r="B29" s="1048"/>
      <c r="C29" s="1056" t="s">
        <v>1642</v>
      </c>
      <c r="E29" s="1057"/>
      <c r="F29" s="2363" t="s">
        <v>1590</v>
      </c>
      <c r="G29" s="2363"/>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5" t="s">
        <v>134</v>
      </c>
      <c r="D33" s="2346"/>
      <c r="E33" s="2346"/>
      <c r="F33" s="2346"/>
      <c r="G33" s="2346"/>
      <c r="H33" s="2346"/>
      <c r="I33" s="2346"/>
    </row>
    <row r="34" spans="1:10" ht="10.35" customHeight="1" x14ac:dyDescent="0.2">
      <c r="C34" s="2346"/>
      <c r="D34" s="2346"/>
      <c r="E34" s="2346"/>
      <c r="F34" s="2346"/>
      <c r="G34" s="2346"/>
      <c r="H34" s="2346"/>
      <c r="I34" s="2346"/>
    </row>
    <row r="35" spans="1:10" ht="7.5" customHeight="1" x14ac:dyDescent="0.2">
      <c r="C35" s="1063"/>
    </row>
    <row r="36" spans="1:10" ht="13.5" customHeight="1" x14ac:dyDescent="0.2">
      <c r="B36" s="1062"/>
      <c r="C36" s="2347" t="s">
        <v>1942</v>
      </c>
      <c r="D36" s="2346"/>
      <c r="E36" s="2346"/>
      <c r="F36" s="2346"/>
      <c r="G36" s="2346"/>
      <c r="H36" s="2346"/>
      <c r="I36" s="2346"/>
      <c r="J36" s="1064"/>
    </row>
    <row r="37" spans="1:10" ht="22.5" customHeight="1" x14ac:dyDescent="0.2">
      <c r="C37" s="2346"/>
      <c r="D37" s="2346"/>
      <c r="E37" s="2346"/>
      <c r="F37" s="2346"/>
      <c r="G37" s="2346"/>
      <c r="H37" s="2346"/>
      <c r="I37" s="2346"/>
      <c r="J37" s="1064"/>
    </row>
    <row r="38" spans="1:10" ht="7.5" customHeight="1" x14ac:dyDescent="0.2">
      <c r="C38" s="1063"/>
      <c r="D38" s="1065"/>
      <c r="E38" s="1066"/>
      <c r="F38" s="1067"/>
      <c r="G38" s="1066"/>
    </row>
    <row r="39" spans="1:10" ht="13.5" customHeight="1" x14ac:dyDescent="0.2">
      <c r="B39" s="1062"/>
      <c r="C39" s="2343" t="s">
        <v>937</v>
      </c>
      <c r="D39" s="2344"/>
      <c r="E39" s="2344"/>
      <c r="F39" s="2344"/>
      <c r="G39" s="2344"/>
      <c r="H39" s="2344"/>
      <c r="I39" s="2344"/>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 xml:space="preserve">&amp;C </oddHeader>
    <oddFooter>&amp;C74</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view="pageLayout" zoomScaleNormal="110" workbookViewId="0">
      <selection activeCell="B11" sqref="B11"/>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2100</v>
      </c>
    </row>
    <row r="6" spans="1:2" x14ac:dyDescent="0.2">
      <c r="A6" s="1069">
        <v>2</v>
      </c>
      <c r="B6" s="329" t="s">
        <v>2101</v>
      </c>
    </row>
    <row r="7" spans="1:2" x14ac:dyDescent="0.2">
      <c r="A7" s="1069">
        <v>3</v>
      </c>
      <c r="B7" s="329" t="s">
        <v>2102</v>
      </c>
    </row>
    <row r="8" spans="1:2" x14ac:dyDescent="0.2">
      <c r="A8" s="1069">
        <v>4</v>
      </c>
      <c r="B8" s="329" t="s">
        <v>2203</v>
      </c>
    </row>
    <row r="9" spans="1:2" x14ac:dyDescent="0.2">
      <c r="A9" s="1070"/>
      <c r="B9" s="329" t="s">
        <v>2204</v>
      </c>
    </row>
    <row r="10" spans="1:2" x14ac:dyDescent="0.2">
      <c r="A10" s="1070"/>
      <c r="B10" s="329" t="s">
        <v>2103</v>
      </c>
    </row>
    <row r="11" spans="1:2" x14ac:dyDescent="0.2">
      <c r="A11" s="1070"/>
      <c r="B11" s="329" t="s">
        <v>2208</v>
      </c>
    </row>
    <row r="12" spans="1:2" x14ac:dyDescent="0.2">
      <c r="A12" s="1070"/>
      <c r="B12" s="329" t="s">
        <v>2104</v>
      </c>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Eldorado CUSD 4</v>
      </c>
    </row>
    <row r="65" spans="2:2" x14ac:dyDescent="0.2">
      <c r="B65" s="1071">
        <f>COVER!A13</f>
        <v>20083004026</v>
      </c>
    </row>
  </sheetData>
  <phoneticPr fontId="15" type="noConversion"/>
  <pageMargins left="0.2" right="0.2" top="1.17" bottom="0.75" header="0.19" footer="0.16"/>
  <pageSetup scale="80" firstPageNumber="32" orientation="portrait" useFirstPageNumber="1" r:id="rId1"/>
  <headerFooter alignWithMargins="0">
    <oddHeader xml:space="preserve">&amp;C </oddHeader>
    <oddFooter>&amp;CThennotes to the financial statements are an integral part of this statement.
24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56"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1969</v>
      </c>
      <c r="C4" s="162" t="s">
        <v>1231</v>
      </c>
      <c r="D4" s="169" t="s">
        <v>10</v>
      </c>
      <c r="E4" s="170" t="s">
        <v>22</v>
      </c>
    </row>
    <row r="5" spans="1:5" x14ac:dyDescent="0.2">
      <c r="A5" s="168" t="s">
        <v>1971</v>
      </c>
      <c r="C5" s="162" t="s">
        <v>1231</v>
      </c>
      <c r="D5" s="169" t="s">
        <v>10</v>
      </c>
      <c r="E5" s="170" t="s">
        <v>22</v>
      </c>
    </row>
    <row r="6" spans="1:5" x14ac:dyDescent="0.2">
      <c r="A6" s="168" t="s">
        <v>1970</v>
      </c>
      <c r="C6" s="162" t="s">
        <v>1231</v>
      </c>
      <c r="D6" s="167" t="s">
        <v>11</v>
      </c>
      <c r="E6" s="170" t="s">
        <v>998</v>
      </c>
    </row>
    <row r="7" spans="1:5" x14ac:dyDescent="0.2">
      <c r="A7" s="168" t="s">
        <v>1972</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1973</v>
      </c>
      <c r="C11" s="162" t="s">
        <v>1231</v>
      </c>
      <c r="D11" s="169" t="s">
        <v>14</v>
      </c>
      <c r="E11" s="170" t="s">
        <v>1218</v>
      </c>
    </row>
    <row r="12" spans="1:5" x14ac:dyDescent="0.2">
      <c r="B12" s="169" t="s">
        <v>1974</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1975</v>
      </c>
      <c r="C15" s="162" t="s">
        <v>1231</v>
      </c>
      <c r="D15" s="169" t="s">
        <v>17</v>
      </c>
      <c r="E15" s="170" t="s">
        <v>657</v>
      </c>
    </row>
    <row r="16" spans="1:5" x14ac:dyDescent="0.2">
      <c r="A16" s="172"/>
      <c r="B16" s="162" t="s">
        <v>1976</v>
      </c>
      <c r="C16" s="162" t="s">
        <v>1231</v>
      </c>
      <c r="D16" s="169" t="s">
        <v>702</v>
      </c>
      <c r="E16" s="170" t="s">
        <v>1100</v>
      </c>
    </row>
    <row r="17" spans="1:5" x14ac:dyDescent="0.2">
      <c r="B17" s="167" t="s">
        <v>1045</v>
      </c>
      <c r="C17" s="162" t="s">
        <v>1231</v>
      </c>
    </row>
    <row r="18" spans="1:5" x14ac:dyDescent="0.2">
      <c r="B18" s="167" t="s">
        <v>1982</v>
      </c>
      <c r="D18" s="169" t="s">
        <v>18</v>
      </c>
      <c r="E18" s="170" t="s">
        <v>1101</v>
      </c>
    </row>
    <row r="19" spans="1:5" x14ac:dyDescent="0.2">
      <c r="A19" s="168" t="s">
        <v>1161</v>
      </c>
      <c r="C19" s="162" t="s">
        <v>1231</v>
      </c>
      <c r="D19" s="169"/>
      <c r="E19" s="171"/>
    </row>
    <row r="20" spans="1:5" x14ac:dyDescent="0.2">
      <c r="B20" s="167" t="s">
        <v>1977</v>
      </c>
      <c r="C20" s="162" t="s">
        <v>1231</v>
      </c>
      <c r="D20" s="169" t="s">
        <v>19</v>
      </c>
      <c r="E20" s="170" t="s">
        <v>53</v>
      </c>
    </row>
    <row r="21" spans="1:5" x14ac:dyDescent="0.2">
      <c r="B21" s="167" t="s">
        <v>1978</v>
      </c>
      <c r="C21" s="162" t="s">
        <v>1231</v>
      </c>
      <c r="D21" s="169" t="s">
        <v>20</v>
      </c>
      <c r="E21" s="170" t="s">
        <v>1708</v>
      </c>
    </row>
    <row r="22" spans="1:5" x14ac:dyDescent="0.2">
      <c r="A22" s="168"/>
      <c r="B22" s="162" t="s">
        <v>1966</v>
      </c>
      <c r="C22" s="162" t="s">
        <v>1231</v>
      </c>
      <c r="D22" s="167" t="s">
        <v>1968</v>
      </c>
      <c r="E22" s="1859" t="s">
        <v>1709</v>
      </c>
    </row>
    <row r="23" spans="1:5" x14ac:dyDescent="0.2">
      <c r="A23" s="168"/>
      <c r="B23" s="162" t="s">
        <v>1967</v>
      </c>
      <c r="D23" s="167" t="s">
        <v>658</v>
      </c>
      <c r="E23" s="1859" t="s">
        <v>1016</v>
      </c>
    </row>
    <row r="24" spans="1:5" x14ac:dyDescent="0.2">
      <c r="A24" s="168" t="s">
        <v>1707</v>
      </c>
      <c r="C24" s="162" t="s">
        <v>1231</v>
      </c>
      <c r="D24" s="167" t="s">
        <v>1460</v>
      </c>
      <c r="E24" s="170" t="s">
        <v>1017</v>
      </c>
    </row>
    <row r="25" spans="1:5" x14ac:dyDescent="0.2">
      <c r="A25" s="168" t="s">
        <v>1979</v>
      </c>
      <c r="C25" s="162" t="s">
        <v>1231</v>
      </c>
      <c r="D25" s="169" t="s">
        <v>21</v>
      </c>
      <c r="E25" s="170" t="s">
        <v>1102</v>
      </c>
    </row>
    <row r="26" spans="1:5" x14ac:dyDescent="0.2">
      <c r="A26" s="168" t="s">
        <v>1980</v>
      </c>
      <c r="C26" s="162" t="s">
        <v>1231</v>
      </c>
      <c r="D26" s="169" t="s">
        <v>584</v>
      </c>
      <c r="E26" s="170" t="s">
        <v>1103</v>
      </c>
    </row>
    <row r="27" spans="1:5" x14ac:dyDescent="0.2">
      <c r="A27" s="168" t="s">
        <v>1981</v>
      </c>
      <c r="C27" s="162" t="s">
        <v>1231</v>
      </c>
      <c r="D27" s="169" t="s">
        <v>578</v>
      </c>
      <c r="E27" s="170" t="s">
        <v>704</v>
      </c>
    </row>
    <row r="28" spans="1:5" x14ac:dyDescent="0.2">
      <c r="A28" s="168" t="s">
        <v>1983</v>
      </c>
      <c r="D28" s="169" t="s">
        <v>705</v>
      </c>
      <c r="E28" s="170" t="s">
        <v>1433</v>
      </c>
    </row>
    <row r="29" spans="1:5" x14ac:dyDescent="0.2">
      <c r="A29" s="168" t="s">
        <v>1984</v>
      </c>
      <c r="D29" s="169" t="s">
        <v>1461</v>
      </c>
      <c r="E29" s="170" t="s">
        <v>1442</v>
      </c>
    </row>
    <row r="30" spans="1:5" x14ac:dyDescent="0.2">
      <c r="A30" s="173" t="s">
        <v>1985</v>
      </c>
      <c r="C30" s="162" t="s">
        <v>1231</v>
      </c>
      <c r="D30" s="169" t="s">
        <v>42</v>
      </c>
      <c r="E30" s="170" t="s">
        <v>1039</v>
      </c>
    </row>
    <row r="31" spans="1:5" x14ac:dyDescent="0.2">
      <c r="A31" s="168" t="s">
        <v>1602</v>
      </c>
      <c r="C31" s="162" t="s">
        <v>1231</v>
      </c>
      <c r="D31" s="167"/>
      <c r="E31" s="171"/>
    </row>
    <row r="32" spans="1:5" x14ac:dyDescent="0.2">
      <c r="B32" s="167" t="s">
        <v>1986</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2" t="s">
        <v>1125</v>
      </c>
      <c r="B35" s="2082"/>
      <c r="C35" s="2082"/>
      <c r="D35" s="2082"/>
      <c r="E35" s="208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9" t="s">
        <v>715</v>
      </c>
      <c r="B40" s="2079"/>
      <c r="C40" s="2079"/>
      <c r="D40" s="2079"/>
      <c r="E40" s="2079"/>
    </row>
    <row r="41" spans="1:5" x14ac:dyDescent="0.2">
      <c r="A41" s="2080" t="s">
        <v>1706</v>
      </c>
      <c r="B41" s="2080"/>
      <c r="C41" s="2080"/>
      <c r="D41" s="2080"/>
      <c r="E41" s="2080"/>
    </row>
    <row r="42" spans="1:5" ht="12.75" customHeight="1" x14ac:dyDescent="0.2">
      <c r="A42" s="2081" t="s">
        <v>1080</v>
      </c>
      <c r="B42" s="2081"/>
      <c r="C42" s="2081"/>
      <c r="D42" s="2081"/>
      <c r="E42" s="2081"/>
    </row>
    <row r="43" spans="1:5" ht="6.75" customHeight="1" x14ac:dyDescent="0.2">
      <c r="A43" s="167"/>
      <c r="B43" s="176"/>
    </row>
    <row r="44" spans="1:5" x14ac:dyDescent="0.2">
      <c r="A44" s="185" t="s">
        <v>1040</v>
      </c>
      <c r="B44" s="186" t="s">
        <v>2016</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1872</v>
      </c>
    </row>
    <row r="52" spans="1:3" x14ac:dyDescent="0.2">
      <c r="A52" s="190"/>
      <c r="B52" s="188" t="s">
        <v>1892</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1873</v>
      </c>
    </row>
    <row r="57" spans="1:3" x14ac:dyDescent="0.2">
      <c r="A57" s="193"/>
      <c r="B57" s="190" t="s">
        <v>1875</v>
      </c>
    </row>
    <row r="58" spans="1:3" x14ac:dyDescent="0.2">
      <c r="A58" s="194"/>
      <c r="B58" s="190" t="s">
        <v>1876</v>
      </c>
    </row>
    <row r="59" spans="1:3" x14ac:dyDescent="0.2">
      <c r="A59" s="195"/>
      <c r="B59" s="1507" t="s">
        <v>1877</v>
      </c>
    </row>
    <row r="60" spans="1:3" x14ac:dyDescent="0.2">
      <c r="A60" s="196"/>
      <c r="B60" s="1507" t="s">
        <v>1878</v>
      </c>
    </row>
    <row r="61" spans="1:3" ht="6" customHeight="1" x14ac:dyDescent="0.2">
      <c r="A61" s="197"/>
      <c r="B61" s="189"/>
    </row>
    <row r="62" spans="1:3" x14ac:dyDescent="0.2">
      <c r="A62" s="169" t="s">
        <v>1714</v>
      </c>
      <c r="B62" s="198" t="s">
        <v>1874</v>
      </c>
    </row>
    <row r="63" spans="1:3" x14ac:dyDescent="0.2">
      <c r="A63" s="188"/>
      <c r="B63" s="169" t="s">
        <v>1889</v>
      </c>
    </row>
    <row r="64" spans="1:3" x14ac:dyDescent="0.2">
      <c r="A64" s="195"/>
      <c r="B64" s="1509" t="s">
        <v>1879</v>
      </c>
    </row>
    <row r="65" spans="1:9" x14ac:dyDescent="0.2">
      <c r="A65" s="188"/>
      <c r="B65" s="169" t="s">
        <v>1890</v>
      </c>
    </row>
    <row r="66" spans="1:9" x14ac:dyDescent="0.2">
      <c r="A66" s="190"/>
      <c r="B66" s="190" t="s">
        <v>1880</v>
      </c>
    </row>
    <row r="67" spans="1:9" ht="12" customHeight="1" x14ac:dyDescent="0.2">
      <c r="A67" s="188"/>
      <c r="B67" s="169" t="s">
        <v>1891</v>
      </c>
    </row>
    <row r="68" spans="1:9" x14ac:dyDescent="0.2">
      <c r="A68" s="189"/>
      <c r="B68" s="190" t="s">
        <v>1881</v>
      </c>
    </row>
    <row r="69" spans="1:9" x14ac:dyDescent="0.2">
      <c r="A69" s="190"/>
      <c r="B69" s="188" t="s">
        <v>1882</v>
      </c>
    </row>
    <row r="70" spans="1:9" ht="13.5" customHeight="1" x14ac:dyDescent="0.2">
      <c r="A70" s="190"/>
      <c r="B70" s="188" t="s">
        <v>1883</v>
      </c>
    </row>
    <row r="71" spans="1:9" ht="12" customHeight="1" x14ac:dyDescent="0.2">
      <c r="A71" s="192"/>
      <c r="B71" s="1508" t="s">
        <v>1717</v>
      </c>
    </row>
    <row r="72" spans="1:9" ht="9" customHeight="1" x14ac:dyDescent="0.2">
      <c r="A72" s="192"/>
      <c r="B72" s="199"/>
    </row>
    <row r="73" spans="1:9" x14ac:dyDescent="0.2">
      <c r="A73" s="189" t="s">
        <v>1718</v>
      </c>
      <c r="B73" s="169" t="s">
        <v>1885</v>
      </c>
    </row>
    <row r="74" spans="1:9" x14ac:dyDescent="0.2">
      <c r="A74" s="189"/>
      <c r="B74" s="169" t="s">
        <v>1884</v>
      </c>
    </row>
    <row r="75" spans="1:9" ht="8.25" customHeight="1" x14ac:dyDescent="0.2">
      <c r="A75" s="189"/>
      <c r="B75" s="189"/>
    </row>
    <row r="76" spans="1:9" ht="12.2" customHeight="1" x14ac:dyDescent="0.2">
      <c r="A76" s="189" t="s">
        <v>1719</v>
      </c>
      <c r="B76" s="198" t="s">
        <v>1886</v>
      </c>
    </row>
    <row r="77" spans="1:9" ht="12.2" customHeight="1" x14ac:dyDescent="0.2">
      <c r="A77" s="190"/>
      <c r="B77" s="169" t="s">
        <v>1720</v>
      </c>
      <c r="C77" s="179"/>
      <c r="D77" s="180"/>
      <c r="E77" s="181"/>
      <c r="F77" s="181"/>
      <c r="G77" s="181"/>
      <c r="H77" s="181"/>
      <c r="I77" s="181"/>
    </row>
    <row r="78" spans="1:9" ht="11.25" customHeight="1" x14ac:dyDescent="0.2">
      <c r="A78" s="190"/>
      <c r="B78" s="190" t="s">
        <v>1888</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1887</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headerFooter>
    <oddFooter>&amp;C90</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67" t="s">
        <v>1784</v>
      </c>
      <c r="B18" s="2367"/>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1201" r:id="rId4">
          <objectPr defaultSize="0" r:id="rId5">
            <anchor moveWithCells="1">
              <from>
                <xdr:col>1</xdr:col>
                <xdr:colOff>1000125</xdr:colOff>
                <xdr:row>2</xdr:row>
                <xdr:rowOff>95250</xdr:rowOff>
              </from>
              <to>
                <xdr:col>1</xdr:col>
                <xdr:colOff>1914525</xdr:colOff>
                <xdr:row>6</xdr:row>
                <xdr:rowOff>133350</xdr:rowOff>
              </to>
            </anchor>
          </objectPr>
        </oleObject>
      </mc:Choice>
      <mc:Fallback>
        <oleObject progId="Acrobat Document" dvAspect="DVASPECT_ICON" shapeId="51201" r:id="rId4"/>
      </mc:Fallback>
    </mc:AlternateContent>
    <mc:AlternateContent xmlns:mc="http://schemas.openxmlformats.org/markup-compatibility/2006">
      <mc:Choice Requires="x14">
        <oleObject progId="Acrobat Document" dvAspect="DVASPECT_ICON" shapeId="51202" r:id="rId6">
          <objectPr defaultSize="0" r:id="rId7">
            <anchor moveWithCells="1">
              <from>
                <xdr:col>1</xdr:col>
                <xdr:colOff>2114550</xdr:colOff>
                <xdr:row>2</xdr:row>
                <xdr:rowOff>76200</xdr:rowOff>
              </from>
              <to>
                <xdr:col>1</xdr:col>
                <xdr:colOff>3028950</xdr:colOff>
                <xdr:row>6</xdr:row>
                <xdr:rowOff>114300</xdr:rowOff>
              </to>
            </anchor>
          </objectPr>
        </oleObject>
      </mc:Choice>
      <mc:Fallback>
        <oleObject progId="Acrobat Document" dvAspect="DVASPECT_ICON" shapeId="51202" r:id="rId6"/>
      </mc:Fallback>
    </mc:AlternateContent>
    <mc:AlternateContent xmlns:mc="http://schemas.openxmlformats.org/markup-compatibility/2006">
      <mc:Choice Requires="x14">
        <oleObject progId="Document" dvAspect="DVASPECT_ICON" shapeId="51203" r:id="rId8">
          <objectPr defaultSize="0" r:id="rId9">
            <anchor moveWithCells="1">
              <from>
                <xdr:col>1</xdr:col>
                <xdr:colOff>3286125</xdr:colOff>
                <xdr:row>2</xdr:row>
                <xdr:rowOff>47625</xdr:rowOff>
              </from>
              <to>
                <xdr:col>2</xdr:col>
                <xdr:colOff>209550</xdr:colOff>
                <xdr:row>6</xdr:row>
                <xdr:rowOff>85725</xdr:rowOff>
              </to>
            </anchor>
          </objectPr>
        </oleObject>
      </mc:Choice>
      <mc:Fallback>
        <oleObject progId="Document" dvAspect="DVASPECT_ICON" shapeId="5120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8" t="s">
        <v>1790</v>
      </c>
      <c r="B1" s="2369"/>
      <c r="C1" s="2369"/>
      <c r="D1" s="2369"/>
      <c r="E1" s="2369"/>
      <c r="F1" s="2370"/>
    </row>
    <row r="2" spans="1:8" ht="45" customHeight="1" x14ac:dyDescent="0.2">
      <c r="A2" s="2378" t="s">
        <v>1791</v>
      </c>
      <c r="B2" s="2379"/>
      <c r="C2" s="2379"/>
      <c r="D2" s="2379"/>
      <c r="E2" s="2379"/>
      <c r="F2" s="2380"/>
      <c r="G2" s="1075"/>
      <c r="H2" s="1075"/>
    </row>
    <row r="3" spans="1:8" ht="57" customHeight="1" x14ac:dyDescent="0.2">
      <c r="A3" s="2381" t="s">
        <v>1786</v>
      </c>
      <c r="B3" s="2382"/>
      <c r="C3" s="2382"/>
      <c r="D3" s="2382"/>
      <c r="E3" s="2382"/>
      <c r="F3" s="2383"/>
      <c r="G3" s="1075"/>
      <c r="H3" s="1075"/>
    </row>
    <row r="4" spans="1:8" ht="14.25" customHeight="1" x14ac:dyDescent="0.2">
      <c r="A4" s="2387" t="s">
        <v>2054</v>
      </c>
      <c r="B4" s="2388"/>
      <c r="C4" s="2388"/>
      <c r="D4" s="2388"/>
      <c r="E4" s="2388"/>
      <c r="F4" s="2389"/>
      <c r="G4" s="1075"/>
      <c r="H4" s="1075"/>
    </row>
    <row r="5" spans="1:8" ht="14.25" customHeight="1" x14ac:dyDescent="0.2">
      <c r="A5" s="2390" t="s">
        <v>2055</v>
      </c>
      <c r="B5" s="2391"/>
      <c r="C5" s="2391"/>
      <c r="D5" s="2391"/>
      <c r="E5" s="2391"/>
      <c r="F5" s="2392"/>
      <c r="G5" s="1075"/>
      <c r="H5" s="1075"/>
    </row>
    <row r="6" spans="1:8" s="1076" customFormat="1" ht="41.25" customHeight="1" x14ac:dyDescent="0.2">
      <c r="A6" s="2384" t="s">
        <v>1792</v>
      </c>
      <c r="B6" s="2385"/>
      <c r="C6" s="2385"/>
      <c r="D6" s="2385"/>
      <c r="E6" s="2385"/>
      <c r="F6" s="2386"/>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10551528</v>
      </c>
      <c r="C8" s="1838">
        <f>'Acct Summary 7-8'!D8</f>
        <v>1087598</v>
      </c>
      <c r="D8" s="1838">
        <f>'Acct Summary 7-8'!F8</f>
        <v>512821</v>
      </c>
      <c r="E8" s="1838">
        <f>'Acct Summary 7-8'!I8</f>
        <v>29436</v>
      </c>
      <c r="F8" s="1838">
        <f>SUM(B8:E8)</f>
        <v>12181383</v>
      </c>
    </row>
    <row r="9" spans="1:8" s="1080" customFormat="1" ht="14.25" customHeight="1" thickBot="1" x14ac:dyDescent="0.25">
      <c r="A9" s="1079" t="s">
        <v>1436</v>
      </c>
      <c r="B9" s="1839">
        <f>'Acct Summary 7-8'!C17</f>
        <v>9165398</v>
      </c>
      <c r="C9" s="1839">
        <f>'Acct Summary 7-8'!D17</f>
        <v>930248</v>
      </c>
      <c r="D9" s="1839">
        <f>'Acct Summary 7-8'!F17</f>
        <v>562098</v>
      </c>
      <c r="E9" s="1838"/>
      <c r="F9" s="1838">
        <f>SUM(B9:E9)</f>
        <v>10657744</v>
      </c>
    </row>
    <row r="10" spans="1:8" s="1080" customFormat="1" ht="14.25" thickTop="1" thickBot="1" x14ac:dyDescent="0.25">
      <c r="A10" s="1081" t="s">
        <v>1437</v>
      </c>
      <c r="B10" s="1840">
        <f>(B8-B9)</f>
        <v>1386130</v>
      </c>
      <c r="C10" s="1840">
        <f>(C8-C9)</f>
        <v>157350</v>
      </c>
      <c r="D10" s="1840">
        <f>(D8-D9)</f>
        <v>-49277</v>
      </c>
      <c r="E10" s="1839">
        <f>(E8-E9)</f>
        <v>29436</v>
      </c>
      <c r="F10" s="1841">
        <f>SUM(F8-F9)</f>
        <v>1523639</v>
      </c>
    </row>
    <row r="11" spans="1:8" s="1080" customFormat="1" ht="14.25" thickTop="1" thickBot="1" x14ac:dyDescent="0.25">
      <c r="A11" s="1082" t="s">
        <v>1785</v>
      </c>
      <c r="B11" s="1842">
        <f>'Acct Summary 7-8'!C81</f>
        <v>2951541</v>
      </c>
      <c r="C11" s="1842">
        <f>'Acct Summary 7-8'!D81</f>
        <v>444462</v>
      </c>
      <c r="D11" s="1842">
        <f>'Acct Summary 7-8'!F81</f>
        <v>15461</v>
      </c>
      <c r="E11" s="1842">
        <f>'Acct Summary 7-8'!I81</f>
        <v>0</v>
      </c>
      <c r="F11" s="1843">
        <f>SUM(B11:E11)</f>
        <v>3411464</v>
      </c>
    </row>
    <row r="12" spans="1:8" ht="16.5" customHeight="1" thickTop="1" x14ac:dyDescent="0.2">
      <c r="A12" s="1083"/>
      <c r="B12" s="1084"/>
      <c r="C12" s="2372" t="str">
        <f>IF(AND(F10&lt;0,F11&gt;=0,ABS(F10*3)&gt;ABS(F11)),A16,IF(AND(F10&lt;0,F11&gt;0,ABS(F10*3)&lt;=ABS(F11)),A17,IF(AND(F10&lt;0,F11&lt;0),A16,IF(F11=0,A19,A18))))</f>
        <v>Balanced - no deficit reduction plan is required.</v>
      </c>
      <c r="D12" s="2373"/>
      <c r="E12" s="2373"/>
      <c r="F12" s="2374"/>
    </row>
    <row r="13" spans="1:8" ht="19.5" customHeight="1" x14ac:dyDescent="0.2">
      <c r="A13" s="1085"/>
      <c r="B13" s="1086"/>
      <c r="C13" s="2372"/>
      <c r="D13" s="2373"/>
      <c r="E13" s="2373"/>
      <c r="F13" s="2374"/>
      <c r="H13" s="1075"/>
    </row>
    <row r="14" spans="1:8" ht="19.5" customHeight="1" x14ac:dyDescent="0.2">
      <c r="A14" s="1085"/>
      <c r="B14" s="1086"/>
      <c r="C14" s="2372"/>
      <c r="D14" s="2373"/>
      <c r="E14" s="2373"/>
      <c r="F14" s="2374"/>
      <c r="H14" s="1075"/>
    </row>
    <row r="15" spans="1:8" ht="17.25" customHeight="1" x14ac:dyDescent="0.2">
      <c r="A15" s="1085"/>
      <c r="B15" s="1086"/>
      <c r="C15" s="2375"/>
      <c r="D15" s="2376"/>
      <c r="E15" s="2376"/>
      <c r="F15" s="2377"/>
      <c r="H15" s="1075"/>
    </row>
    <row r="16" spans="1:8" s="310" customFormat="1" ht="51.75" hidden="1" customHeight="1" x14ac:dyDescent="0.2">
      <c r="A16" s="2371" t="s">
        <v>1787</v>
      </c>
      <c r="B16" s="2371"/>
      <c r="C16" s="2371"/>
      <c r="D16" s="2371"/>
      <c r="E16" s="2371"/>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Footer>&amp;C72</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0"/>
      <c r="B2" s="1921"/>
      <c r="C2" s="1922"/>
      <c r="D2" s="1923"/>
    </row>
    <row r="3" spans="1:4" ht="36" customHeight="1" x14ac:dyDescent="0.2">
      <c r="A3" s="2393" t="s">
        <v>686</v>
      </c>
      <c r="B3" s="2394"/>
      <c r="C3" s="2394"/>
      <c r="D3" s="2395"/>
    </row>
    <row r="4" spans="1:4" x14ac:dyDescent="0.2">
      <c r="A4" s="1153" t="s">
        <v>1793</v>
      </c>
      <c r="B4" s="1154"/>
      <c r="C4" s="1155"/>
      <c r="D4" s="1156"/>
    </row>
    <row r="5" spans="1:4" ht="21" customHeight="1" x14ac:dyDescent="0.2">
      <c r="A5" s="1149"/>
      <c r="B5" s="1150">
        <v>1</v>
      </c>
      <c r="C5" s="1151" t="s">
        <v>1944</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04" t="s">
        <v>1584</v>
      </c>
      <c r="D7" s="2405"/>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96" t="s">
        <v>1065</v>
      </c>
      <c r="B15" s="2397"/>
      <c r="C15" s="2397"/>
      <c r="D15" s="2398"/>
    </row>
    <row r="16" spans="1:4" s="669" customFormat="1" ht="24" customHeight="1" x14ac:dyDescent="0.2">
      <c r="A16" s="2399" t="s">
        <v>684</v>
      </c>
      <c r="B16" s="2400"/>
      <c r="C16" s="2400"/>
      <c r="D16" s="2401"/>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08" t="s">
        <v>332</v>
      </c>
      <c r="D21" s="2409"/>
    </row>
    <row r="22" spans="1:10" ht="12.75" x14ac:dyDescent="0.2">
      <c r="A22" s="1140"/>
      <c r="B22" s="1141">
        <v>2</v>
      </c>
      <c r="C22" s="2406" t="s">
        <v>1605</v>
      </c>
      <c r="D22" s="2407"/>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10" t="s">
        <v>557</v>
      </c>
      <c r="D43" s="2411"/>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402" t="s">
        <v>817</v>
      </c>
      <c r="D56" s="2403"/>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ERROR!</v>
      </c>
    </row>
    <row r="69" spans="1:4" x14ac:dyDescent="0.2">
      <c r="A69" s="1101"/>
      <c r="B69" s="1111"/>
      <c r="C69" s="1103" t="s">
        <v>2050</v>
      </c>
      <c r="D69" s="1125" t="str">
        <f>IF('Expenditures 15-22'!H170&lt;&gt;'Short-Term Long-Term Debt 24'!H49,"ERROR!","OK")</f>
        <v>ERROR!</v>
      </c>
    </row>
    <row r="70" spans="1:4" x14ac:dyDescent="0.2">
      <c r="A70" s="1099"/>
      <c r="B70" s="1121">
        <f>B66+1</f>
        <v>9</v>
      </c>
      <c r="C70" s="2402" t="s">
        <v>1797</v>
      </c>
      <c r="D70" s="2403"/>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2017</v>
      </c>
      <c r="D79" s="1132" t="str">
        <f>IF(OR(COVER!$B$6="X",'PCTC-OEPP 27-28'!F78&gt;0),"OK","PLEASE ENTER 9 MO ADA.")</f>
        <v>OK</v>
      </c>
    </row>
    <row r="80" spans="1:4" x14ac:dyDescent="0.2">
      <c r="A80" s="1099"/>
      <c r="B80" s="1121">
        <v>13</v>
      </c>
      <c r="C80" s="1131" t="s">
        <v>2053</v>
      </c>
      <c r="D80" s="1132" t="str">
        <f>IF('Contracts Paid in CY 29'!D132&gt;0,"OK","PLEASE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20083004026</v>
      </c>
    </row>
    <row r="3" spans="1:2" x14ac:dyDescent="0.2">
      <c r="A3" t="s">
        <v>1013</v>
      </c>
      <c r="B3" s="138" t="str">
        <f>COVER!A15</f>
        <v>Saline</v>
      </c>
    </row>
    <row r="4" spans="1:2" x14ac:dyDescent="0.2">
      <c r="A4" t="s">
        <v>1064</v>
      </c>
      <c r="B4" s="138" t="str">
        <f>COVER!A17</f>
        <v>Eldorado CUSD 4</v>
      </c>
    </row>
    <row r="5" spans="1:2" x14ac:dyDescent="0.2">
      <c r="A5" t="s">
        <v>728</v>
      </c>
      <c r="B5" s="138" t="str">
        <f>COVER!A38</f>
        <v>Ryan Hobbs</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060-004547</v>
      </c>
    </row>
    <row r="16" spans="1:2" x14ac:dyDescent="0.2">
      <c r="A16" t="s">
        <v>442</v>
      </c>
      <c r="B16" s="138" t="str">
        <f>COVER!T13</f>
        <v>Greg M McCalley PC</v>
      </c>
    </row>
    <row r="17" spans="1:2" x14ac:dyDescent="0.2">
      <c r="A17" t="s">
        <v>939</v>
      </c>
      <c r="B17" s="138" t="str">
        <f>COVER!T15</f>
        <v>Greg McCalley</v>
      </c>
    </row>
    <row r="18" spans="1:2" x14ac:dyDescent="0.2">
      <c r="A18" t="s">
        <v>1212</v>
      </c>
      <c r="B18" s="138" t="str">
        <f>COVER!T17</f>
        <v>855 E Ferguson Ave</v>
      </c>
    </row>
    <row r="19" spans="1:2" x14ac:dyDescent="0.2">
      <c r="A19" t="s">
        <v>941</v>
      </c>
      <c r="B19" s="138" t="str">
        <f>COVER!T25</f>
        <v>greg@dmacpa.com</v>
      </c>
    </row>
    <row r="20" spans="1:2" x14ac:dyDescent="0.2">
      <c r="A20" t="s">
        <v>942</v>
      </c>
      <c r="B20" s="138" t="str">
        <f>COVER!T19</f>
        <v>Wood River</v>
      </c>
    </row>
    <row r="21" spans="1:2" x14ac:dyDescent="0.2">
      <c r="A21" t="s">
        <v>500</v>
      </c>
      <c r="B21" s="138" t="str">
        <f>COVER!X19</f>
        <v>IL</v>
      </c>
    </row>
    <row r="22" spans="1:2" x14ac:dyDescent="0.2">
      <c r="A22" t="s">
        <v>943</v>
      </c>
      <c r="B22" s="138">
        <f>COVER!Z19</f>
        <v>62095</v>
      </c>
    </row>
    <row r="23" spans="1:2" x14ac:dyDescent="0.2">
      <c r="A23" t="s">
        <v>1214</v>
      </c>
      <c r="B23" s="138" t="str">
        <f>COVER!T21</f>
        <v>618 254-8188</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1016600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2951541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1934941</v>
      </c>
      <c r="D92" s="2" t="str">
        <f t="shared" si="0"/>
        <v>Error?</v>
      </c>
    </row>
    <row r="93" spans="1:4" x14ac:dyDescent="0.2">
      <c r="A93" s="5">
        <v>32</v>
      </c>
      <c r="B93" s="138">
        <f>'Assets-Liab 5-6'!C41</f>
        <v>2951541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444462</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111871</v>
      </c>
      <c r="D123" s="2" t="str">
        <f t="shared" si="0"/>
        <v>Error?</v>
      </c>
    </row>
    <row r="124" spans="1:4" x14ac:dyDescent="0.2">
      <c r="A124" s="5">
        <v>63</v>
      </c>
      <c r="B124" s="138">
        <f>'Assets-Liab 5-6'!D41</f>
        <v>444462</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15461</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15461</v>
      </c>
      <c r="D170" s="2" t="str">
        <f t="shared" si="1"/>
        <v>Error?</v>
      </c>
    </row>
    <row r="171" spans="1:4" x14ac:dyDescent="0.2">
      <c r="A171" s="5">
        <v>110</v>
      </c>
      <c r="B171" s="138">
        <f>'Assets-Liab 5-6'!F41</f>
        <v>15461</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122503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122503</v>
      </c>
      <c r="D189" s="2" t="str">
        <f t="shared" si="1"/>
        <v>Error?</v>
      </c>
    </row>
    <row r="190" spans="1:4" x14ac:dyDescent="0.2">
      <c r="A190" s="5">
        <v>129</v>
      </c>
      <c r="B190" s="138">
        <f>'Assets-Liab 5-6'!G41</f>
        <v>122503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965330</v>
      </c>
      <c r="D273" s="2" t="str">
        <f t="shared" si="3"/>
        <v>Error?</v>
      </c>
    </row>
    <row r="274" spans="1:4" x14ac:dyDescent="0.2">
      <c r="A274" s="5">
        <v>213</v>
      </c>
      <c r="B274" s="138">
        <f>'Assets-Liab 5-6'!M17</f>
        <v>17982487</v>
      </c>
      <c r="D274" s="2" t="str">
        <f t="shared" si="3"/>
        <v>Error?</v>
      </c>
    </row>
    <row r="275" spans="1:4" x14ac:dyDescent="0.2">
      <c r="A275" s="5">
        <v>214</v>
      </c>
      <c r="B275" s="138">
        <f>'Assets-Liab 5-6'!M18</f>
        <v>722838</v>
      </c>
      <c r="D275" s="2" t="str">
        <f t="shared" si="3"/>
        <v>Error?</v>
      </c>
    </row>
    <row r="276" spans="1:4" x14ac:dyDescent="0.2">
      <c r="A276" s="5">
        <v>215</v>
      </c>
      <c r="B276" s="138">
        <f>'Assets-Liab 5-6'!M19</f>
        <v>2019663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22720053</v>
      </c>
      <c r="C279" s="2" t="s">
        <v>594</v>
      </c>
      <c r="D279" s="2" t="str">
        <f t="shared" si="3"/>
        <v>Error?</v>
      </c>
    </row>
    <row r="280" spans="1:4" x14ac:dyDescent="0.2">
      <c r="A280" s="5">
        <v>219</v>
      </c>
      <c r="B280" s="138">
        <f>'Assets-Liab 5-6'!M40</f>
        <v>22720053</v>
      </c>
      <c r="D280" s="2" t="str">
        <f t="shared" si="3"/>
        <v>Error?</v>
      </c>
    </row>
    <row r="281" spans="1:4" x14ac:dyDescent="0.2">
      <c r="A281" s="5">
        <v>220</v>
      </c>
      <c r="B281" s="138">
        <f>'Assets-Liab 5-6'!M41</f>
        <v>22720053</v>
      </c>
      <c r="C281" s="2" t="s">
        <v>594</v>
      </c>
      <c r="D281" s="2" t="str">
        <f t="shared" si="3"/>
        <v>Error?</v>
      </c>
    </row>
    <row r="282" spans="1:4" x14ac:dyDescent="0.2">
      <c r="A282" s="5">
        <v>221</v>
      </c>
      <c r="B282" s="138">
        <f>'Assets-Liab 5-6'!N21</f>
        <v>3544477</v>
      </c>
      <c r="D282" s="2" t="str">
        <f t="shared" si="3"/>
        <v>Error?</v>
      </c>
    </row>
    <row r="283" spans="1:4" x14ac:dyDescent="0.2">
      <c r="A283" s="5">
        <v>222</v>
      </c>
      <c r="B283" s="138">
        <f>'Assets-Liab 5-6'!N22</f>
        <v>0</v>
      </c>
      <c r="D283" s="2" t="str">
        <f t="shared" si="3"/>
        <v>Error?</v>
      </c>
    </row>
    <row r="284" spans="1:4" x14ac:dyDescent="0.2">
      <c r="A284" s="5">
        <v>223</v>
      </c>
      <c r="B284" s="138">
        <f>'Assets-Liab 5-6'!N23</f>
        <v>3544477</v>
      </c>
      <c r="C284" s="2" t="s">
        <v>594</v>
      </c>
      <c r="D284" s="2" t="str">
        <f t="shared" si="3"/>
        <v>Error?</v>
      </c>
    </row>
    <row r="285" spans="1:4" x14ac:dyDescent="0.2">
      <c r="A285" s="5">
        <v>224</v>
      </c>
      <c r="B285" s="138">
        <f>'Assets-Liab 5-6'!N36</f>
        <v>3544477</v>
      </c>
      <c r="D285" s="2" t="str">
        <f t="shared" si="3"/>
        <v>Error?</v>
      </c>
    </row>
    <row r="286" spans="1:4" x14ac:dyDescent="0.2">
      <c r="A286" s="10">
        <v>225</v>
      </c>
      <c r="D286" s="2" t="str">
        <f t="shared" si="3"/>
        <v>OK</v>
      </c>
    </row>
    <row r="287" spans="1:4" x14ac:dyDescent="0.2">
      <c r="A287" s="5">
        <v>226</v>
      </c>
      <c r="B287" s="138">
        <f>'Assets-Liab 5-6'!N37</f>
        <v>3544477</v>
      </c>
      <c r="C287" s="2" t="s">
        <v>594</v>
      </c>
      <c r="D287" s="2" t="str">
        <f t="shared" si="3"/>
        <v>Error?</v>
      </c>
    </row>
    <row r="288" spans="1:4" x14ac:dyDescent="0.2">
      <c r="A288" s="5">
        <v>227</v>
      </c>
      <c r="B288" s="138">
        <f>'Assets-Liab 5-6'!N41</f>
        <v>3544477</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2511486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228194</v>
      </c>
      <c r="D717" s="2" t="str">
        <f t="shared" si="10"/>
        <v>Error?</v>
      </c>
    </row>
    <row r="718" spans="1:4" x14ac:dyDescent="0.2">
      <c r="A718" s="5">
        <v>657</v>
      </c>
      <c r="B718" s="138">
        <f>'Expenditures 15-22'!C14</f>
        <v>252156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4309207</v>
      </c>
      <c r="C720" s="2" t="s">
        <v>594</v>
      </c>
      <c r="D720" s="2" t="str">
        <f t="shared" si="10"/>
        <v>Error?</v>
      </c>
    </row>
    <row r="721" spans="1:4" x14ac:dyDescent="0.2">
      <c r="A721" s="5">
        <v>660</v>
      </c>
      <c r="B721" s="138">
        <f>'Expenditures 15-22'!C36</f>
        <v>171028</v>
      </c>
      <c r="D721" s="2" t="str">
        <f t="shared" si="10"/>
        <v>Error?</v>
      </c>
    </row>
    <row r="722" spans="1:4" x14ac:dyDescent="0.2">
      <c r="A722" s="5">
        <v>661</v>
      </c>
      <c r="B722" s="138">
        <f>'Expenditures 15-22'!C37</f>
        <v>75161</v>
      </c>
      <c r="D722" s="2" t="str">
        <f t="shared" si="10"/>
        <v>Error?</v>
      </c>
    </row>
    <row r="723" spans="1:4" x14ac:dyDescent="0.2">
      <c r="A723" s="5">
        <v>662</v>
      </c>
      <c r="B723" s="138">
        <f>'Expenditures 15-22'!C38</f>
        <v>64285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310474</v>
      </c>
      <c r="C727" s="2" t="s">
        <v>594</v>
      </c>
      <c r="D727" s="2" t="str">
        <f t="shared" si="10"/>
        <v>Error?</v>
      </c>
    </row>
    <row r="728" spans="1:4" x14ac:dyDescent="0.2">
      <c r="A728" s="5">
        <v>667</v>
      </c>
      <c r="B728" s="138">
        <f>'Expenditures 15-22'!C44</f>
        <v>14475</v>
      </c>
      <c r="D728" s="2" t="str">
        <f t="shared" si="10"/>
        <v>Error?</v>
      </c>
    </row>
    <row r="729" spans="1:4" x14ac:dyDescent="0.2">
      <c r="A729" s="5">
        <v>668</v>
      </c>
      <c r="B729" s="138">
        <f>'Expenditures 15-22'!C45</f>
        <v>83274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97749</v>
      </c>
      <c r="C731" s="2" t="s">
        <v>594</v>
      </c>
      <c r="D731" s="2" t="str">
        <f t="shared" si="10"/>
        <v>Error?</v>
      </c>
    </row>
    <row r="732" spans="1:4" x14ac:dyDescent="0.2">
      <c r="A732" s="5">
        <v>671</v>
      </c>
      <c r="B732" s="138">
        <f>'Expenditures 15-22'!C49</f>
        <v>48560</v>
      </c>
      <c r="D732" s="2" t="str">
        <f t="shared" si="10"/>
        <v>Error?</v>
      </c>
    </row>
    <row r="733" spans="1:4" x14ac:dyDescent="0.2">
      <c r="A733" s="5">
        <v>672</v>
      </c>
      <c r="B733" s="138">
        <f>'Expenditures 15-22'!C50</f>
        <v>92778</v>
      </c>
      <c r="D733" s="2" t="str">
        <f t="shared" si="10"/>
        <v>Error?</v>
      </c>
    </row>
    <row r="734" spans="1:4" x14ac:dyDescent="0.2">
      <c r="A734" s="5">
        <v>673</v>
      </c>
      <c r="B734" s="138">
        <f>'Expenditures 15-22'!C53</f>
        <v>141338</v>
      </c>
      <c r="C734" s="2" t="s">
        <v>594</v>
      </c>
      <c r="D734" s="2" t="str">
        <f t="shared" si="10"/>
        <v>Error?</v>
      </c>
    </row>
    <row r="735" spans="1:4" x14ac:dyDescent="0.2">
      <c r="A735" s="5">
        <v>674</v>
      </c>
      <c r="B735" s="138">
        <f>'Expenditures 15-22'!C55</f>
        <v>304991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304991</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40564</v>
      </c>
      <c r="D739" s="2" t="str">
        <f t="shared" si="10"/>
        <v>Error?</v>
      </c>
    </row>
    <row r="740" spans="1:4" x14ac:dyDescent="0.2">
      <c r="A740" s="5">
        <v>679</v>
      </c>
      <c r="B740" s="138">
        <f>'Expenditures 15-22'!C61</f>
        <v>484558</v>
      </c>
      <c r="D740" s="2" t="str">
        <f t="shared" si="10"/>
        <v>Error?</v>
      </c>
    </row>
    <row r="741" spans="1:4" x14ac:dyDescent="0.2">
      <c r="A741" s="5">
        <v>680</v>
      </c>
      <c r="B741" s="138">
        <f>'Expenditures 15-22'!C62</f>
        <v>4230</v>
      </c>
      <c r="D741" s="2" t="str">
        <f t="shared" si="10"/>
        <v>Error?</v>
      </c>
    </row>
    <row r="742" spans="1:4" x14ac:dyDescent="0.2">
      <c r="A742" s="5">
        <v>681</v>
      </c>
      <c r="B742" s="138">
        <f>'Expenditures 15-22'!C63</f>
        <v>267524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796876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1651428</v>
      </c>
      <c r="C755" s="2" t="s">
        <v>594</v>
      </c>
      <c r="D755" s="2" t="str">
        <f t="shared" si="10"/>
        <v>Error?</v>
      </c>
    </row>
    <row r="756" spans="1:4" x14ac:dyDescent="0.2">
      <c r="A756" s="5">
        <v>695</v>
      </c>
      <c r="B756" s="138">
        <f>'Expenditures 15-22'!C75</f>
        <v>41446</v>
      </c>
      <c r="D756" s="2" t="str">
        <f t="shared" si="10"/>
        <v>Error?</v>
      </c>
    </row>
    <row r="757" spans="1:4" x14ac:dyDescent="0.2">
      <c r="A757" s="5">
        <v>696</v>
      </c>
      <c r="B757" s="138">
        <f>'Expenditures 15-22'!C114</f>
        <v>6002081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680195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53445</v>
      </c>
      <c r="D775" s="2" t="str">
        <f t="shared" si="11"/>
        <v>Error?</v>
      </c>
    </row>
    <row r="776" spans="1:4" x14ac:dyDescent="0.2">
      <c r="A776" s="5">
        <v>715</v>
      </c>
      <c r="B776" s="138">
        <f>'Expenditures 15-22'!D14</f>
        <v>41129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1166484</v>
      </c>
      <c r="C778" s="2" t="s">
        <v>594</v>
      </c>
      <c r="D778" s="2" t="str">
        <f t="shared" si="11"/>
        <v>Error?</v>
      </c>
    </row>
    <row r="779" spans="1:4" x14ac:dyDescent="0.2">
      <c r="A779" s="5">
        <v>718</v>
      </c>
      <c r="B779" s="138">
        <f>'Expenditures 15-22'!D36</f>
        <v>36019</v>
      </c>
      <c r="D779" s="2" t="str">
        <f t="shared" si="11"/>
        <v>Error?</v>
      </c>
    </row>
    <row r="780" spans="1:4" x14ac:dyDescent="0.2">
      <c r="A780" s="5">
        <v>719</v>
      </c>
      <c r="B780" s="138">
        <f>'Expenditures 15-22'!D37</f>
        <v>23127</v>
      </c>
      <c r="D780" s="2" t="str">
        <f t="shared" si="11"/>
        <v>Error?</v>
      </c>
    </row>
    <row r="781" spans="1:4" x14ac:dyDescent="0.2">
      <c r="A781" s="5">
        <v>720</v>
      </c>
      <c r="B781" s="138">
        <f>'Expenditures 15-22'!D38</f>
        <v>21505</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80651</v>
      </c>
      <c r="C785" s="2" t="s">
        <v>594</v>
      </c>
      <c r="D785" s="2" t="str">
        <f t="shared" si="11"/>
        <v>Error?</v>
      </c>
    </row>
    <row r="786" spans="1:4" x14ac:dyDescent="0.2">
      <c r="A786" s="5">
        <v>725</v>
      </c>
      <c r="B786" s="138">
        <f>'Expenditures 15-22'!D44</f>
        <v>4278</v>
      </c>
      <c r="D786" s="2" t="str">
        <f t="shared" si="11"/>
        <v>Error?</v>
      </c>
    </row>
    <row r="787" spans="1:4" x14ac:dyDescent="0.2">
      <c r="A787" s="5">
        <v>726</v>
      </c>
      <c r="B787" s="138">
        <f>'Expenditures 15-22'!D45</f>
        <v>34760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39038</v>
      </c>
      <c r="C789" s="2" t="s">
        <v>594</v>
      </c>
      <c r="D789" s="2" t="str">
        <f t="shared" si="11"/>
        <v>Error?</v>
      </c>
    </row>
    <row r="790" spans="1:4" x14ac:dyDescent="0.2">
      <c r="A790" s="5">
        <v>729</v>
      </c>
      <c r="B790" s="138">
        <f>'Expenditures 15-22'!D49</f>
        <v>1552</v>
      </c>
      <c r="D790" s="2" t="str">
        <f t="shared" si="11"/>
        <v>Error?</v>
      </c>
    </row>
    <row r="791" spans="1:4" x14ac:dyDescent="0.2">
      <c r="A791" s="5">
        <v>730</v>
      </c>
      <c r="B791" s="138">
        <f>'Expenditures 15-22'!D50</f>
        <v>18516</v>
      </c>
      <c r="D791" s="2" t="str">
        <f t="shared" si="11"/>
        <v>Error?</v>
      </c>
    </row>
    <row r="792" spans="1:4" x14ac:dyDescent="0.2">
      <c r="A792" s="5">
        <v>731</v>
      </c>
      <c r="B792" s="138">
        <f>'Expenditures 15-22'!D53</f>
        <v>20068</v>
      </c>
      <c r="C792" s="2" t="s">
        <v>594</v>
      </c>
      <c r="D792" s="2" t="str">
        <f t="shared" si="11"/>
        <v>Error?</v>
      </c>
    </row>
    <row r="793" spans="1:4" x14ac:dyDescent="0.2">
      <c r="A793" s="5">
        <v>732</v>
      </c>
      <c r="B793" s="138">
        <f>'Expenditures 15-22'!D55</f>
        <v>68819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68819</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7628</v>
      </c>
      <c r="D797" s="2" t="str">
        <f t="shared" si="11"/>
        <v>Error?</v>
      </c>
    </row>
    <row r="798" spans="1:4" x14ac:dyDescent="0.2">
      <c r="A798" s="5">
        <v>737</v>
      </c>
      <c r="B798" s="138">
        <f>'Expenditures 15-22'!D61</f>
        <v>74747</v>
      </c>
      <c r="D798" s="2" t="str">
        <f t="shared" si="11"/>
        <v>Error?</v>
      </c>
    </row>
    <row r="799" spans="1:4" x14ac:dyDescent="0.2">
      <c r="A799" s="5">
        <v>738</v>
      </c>
      <c r="B799" s="138">
        <f>'Expenditures 15-22'!D62</f>
        <v>810</v>
      </c>
      <c r="D799" s="2" t="str">
        <f t="shared" si="11"/>
        <v>Error?</v>
      </c>
    </row>
    <row r="800" spans="1:4" x14ac:dyDescent="0.2">
      <c r="A800" s="5">
        <v>739</v>
      </c>
      <c r="B800" s="138">
        <f>'Expenditures 15-22'!D63</f>
        <v>83337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166522</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375098</v>
      </c>
      <c r="C813" s="2" t="s">
        <v>594</v>
      </c>
      <c r="D813" s="2" t="str">
        <f t="shared" si="11"/>
        <v>Error?</v>
      </c>
    </row>
    <row r="814" spans="1:4" x14ac:dyDescent="0.2">
      <c r="A814" s="5">
        <v>753</v>
      </c>
      <c r="B814" s="138">
        <f>'Expenditures 15-22'!D75</f>
        <v>12896</v>
      </c>
      <c r="D814" s="2" t="str">
        <f t="shared" si="11"/>
        <v>Error?</v>
      </c>
    </row>
    <row r="815" spans="1:4" x14ac:dyDescent="0.2">
      <c r="A815" s="5">
        <v>754</v>
      </c>
      <c r="B815" s="138">
        <f>'Expenditures 15-22'!D114</f>
        <v>1554478</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25110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1017</v>
      </c>
      <c r="D833" s="2" t="str">
        <f t="shared" si="12"/>
        <v>Error?</v>
      </c>
    </row>
    <row r="834" spans="1:4" x14ac:dyDescent="0.2">
      <c r="A834" s="5">
        <v>773</v>
      </c>
      <c r="B834" s="138">
        <f>'Expenditures 15-22'!E14</f>
        <v>47511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116870</v>
      </c>
      <c r="C836" s="2" t="s">
        <v>594</v>
      </c>
      <c r="D836" s="2" t="str">
        <f t="shared" si="12"/>
        <v>Error?</v>
      </c>
    </row>
    <row r="837" spans="1:4" x14ac:dyDescent="0.2">
      <c r="A837" s="5">
        <v>776</v>
      </c>
      <c r="B837" s="138">
        <f>'Expenditures 15-22'!E36</f>
        <v>649</v>
      </c>
      <c r="D837" s="2" t="str">
        <f t="shared" si="12"/>
        <v>Error?</v>
      </c>
    </row>
    <row r="838" spans="1:4" x14ac:dyDescent="0.2">
      <c r="A838" s="5">
        <v>777</v>
      </c>
      <c r="B838" s="138">
        <f>'Expenditures 15-22'!E37</f>
        <v>0</v>
      </c>
      <c r="D838" s="2" t="str">
        <f t="shared" si="12"/>
        <v>Error?</v>
      </c>
    </row>
    <row r="839" spans="1:4" x14ac:dyDescent="0.2">
      <c r="A839" s="5">
        <v>778</v>
      </c>
      <c r="B839" s="138">
        <f>'Expenditures 15-22'!E38</f>
        <v>649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1298</v>
      </c>
      <c r="C843" s="2" t="s">
        <v>594</v>
      </c>
      <c r="D843" s="2" t="str">
        <f t="shared" si="12"/>
        <v>Error?</v>
      </c>
    </row>
    <row r="844" spans="1:4" x14ac:dyDescent="0.2">
      <c r="A844" s="5">
        <v>783</v>
      </c>
      <c r="B844" s="138">
        <f>'Expenditures 15-22'!E44</f>
        <v>7325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2694</v>
      </c>
      <c r="D846" s="2" t="str">
        <f t="shared" si="12"/>
        <v>Error?</v>
      </c>
    </row>
    <row r="847" spans="1:4" x14ac:dyDescent="0.2">
      <c r="A847" s="5">
        <v>786</v>
      </c>
      <c r="B847" s="138">
        <f>'Expenditures 15-22'!E47</f>
        <v>10019</v>
      </c>
      <c r="C847" s="2" t="s">
        <v>594</v>
      </c>
      <c r="D847" s="2" t="str">
        <f t="shared" si="12"/>
        <v>Error?</v>
      </c>
    </row>
    <row r="848" spans="1:4" x14ac:dyDescent="0.2">
      <c r="A848" s="5">
        <v>787</v>
      </c>
      <c r="B848" s="138">
        <f>'Expenditures 15-22'!E49</f>
        <v>43972</v>
      </c>
      <c r="D848" s="2" t="str">
        <f t="shared" si="12"/>
        <v>Error?</v>
      </c>
    </row>
    <row r="849" spans="1:4" x14ac:dyDescent="0.2">
      <c r="A849" s="5">
        <v>788</v>
      </c>
      <c r="B849" s="138">
        <f>'Expenditures 15-22'!E50</f>
        <v>2365</v>
      </c>
      <c r="D849" s="2" t="str">
        <f t="shared" si="12"/>
        <v>Error?</v>
      </c>
    </row>
    <row r="850" spans="1:4" x14ac:dyDescent="0.2">
      <c r="A850" s="5">
        <v>789</v>
      </c>
      <c r="B850" s="138">
        <f>'Expenditures 15-22'!E53</f>
        <v>46337</v>
      </c>
      <c r="C850" s="2" t="s">
        <v>594</v>
      </c>
      <c r="D850" s="2" t="str">
        <f t="shared" si="12"/>
        <v>Error?</v>
      </c>
    </row>
    <row r="851" spans="1:4" x14ac:dyDescent="0.2">
      <c r="A851" s="5">
        <v>790</v>
      </c>
      <c r="B851" s="138">
        <f>'Expenditures 15-22'!E55</f>
        <v>3232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3232</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14667</v>
      </c>
      <c r="D855" s="2" t="str">
        <f t="shared" si="12"/>
        <v>Error?</v>
      </c>
    </row>
    <row r="856" spans="1:4" x14ac:dyDescent="0.2">
      <c r="A856" s="5">
        <v>795</v>
      </c>
      <c r="B856" s="138">
        <f>'Expenditures 15-22'!E61</f>
        <v>92495</v>
      </c>
      <c r="D856" s="2" t="str">
        <f t="shared" si="12"/>
        <v>Error?</v>
      </c>
    </row>
    <row r="857" spans="1:4" x14ac:dyDescent="0.2">
      <c r="A857" s="5">
        <v>796</v>
      </c>
      <c r="B857" s="138">
        <f>'Expenditures 15-22'!E62</f>
        <v>16554</v>
      </c>
      <c r="D857" s="2" t="str">
        <f t="shared" si="12"/>
        <v>Error?</v>
      </c>
    </row>
    <row r="858" spans="1:4" x14ac:dyDescent="0.2">
      <c r="A858" s="5">
        <v>797</v>
      </c>
      <c r="B858" s="138">
        <f>'Expenditures 15-22'!E63</f>
        <v>10499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134215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195101</v>
      </c>
      <c r="C871" s="2" t="s">
        <v>594</v>
      </c>
      <c r="D871" s="2" t="str">
        <f t="shared" si="12"/>
        <v>Error?</v>
      </c>
    </row>
    <row r="872" spans="1:4" x14ac:dyDescent="0.2">
      <c r="A872" s="5">
        <v>811</v>
      </c>
      <c r="B872" s="138">
        <f>'Expenditures 15-22'!E75</f>
        <v>15000</v>
      </c>
      <c r="D872" s="2" t="str">
        <f t="shared" si="12"/>
        <v>Error?</v>
      </c>
    </row>
    <row r="873" spans="1:4" x14ac:dyDescent="0.2">
      <c r="A873" s="5">
        <v>812</v>
      </c>
      <c r="B873" s="138">
        <f>'Expenditures 15-22'!E114</f>
        <v>326971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170311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19072</v>
      </c>
      <c r="D891" s="2" t="str">
        <f t="shared" si="12"/>
        <v>Error?</v>
      </c>
    </row>
    <row r="892" spans="1:4" x14ac:dyDescent="0.2">
      <c r="A892" s="5">
        <v>831</v>
      </c>
      <c r="B892" s="138">
        <f>'Expenditures 15-22'!F14</f>
        <v>62656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325200</v>
      </c>
      <c r="C894" s="2" t="s">
        <v>594</v>
      </c>
      <c r="D894" s="2" t="str">
        <f t="shared" si="12"/>
        <v>Error?</v>
      </c>
    </row>
    <row r="895" spans="1:4" x14ac:dyDescent="0.2">
      <c r="A895" s="5">
        <v>834</v>
      </c>
      <c r="B895" s="138">
        <f>'Expenditures 15-22'!F36</f>
        <v>306</v>
      </c>
      <c r="D895" s="2" t="str">
        <f t="shared" ref="D895:D958" si="13">IF(ISBLANK(B895),"OK",IF(A895-B895=0,"OK","Error?"))</f>
        <v>Error?</v>
      </c>
    </row>
    <row r="896" spans="1:4" x14ac:dyDescent="0.2">
      <c r="A896" s="5">
        <v>835</v>
      </c>
      <c r="B896" s="138">
        <f>'Expenditures 15-22'!F37</f>
        <v>3280</v>
      </c>
      <c r="D896" s="2" t="str">
        <f t="shared" si="13"/>
        <v>Error?</v>
      </c>
    </row>
    <row r="897" spans="1:4" x14ac:dyDescent="0.2">
      <c r="A897" s="5">
        <v>836</v>
      </c>
      <c r="B897" s="138">
        <f>'Expenditures 15-22'!F38</f>
        <v>543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4129</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2795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2795</v>
      </c>
      <c r="C905" s="2" t="s">
        <v>594</v>
      </c>
      <c r="D905" s="2" t="str">
        <f t="shared" si="13"/>
        <v>Error?</v>
      </c>
    </row>
    <row r="906" spans="1:4" x14ac:dyDescent="0.2">
      <c r="A906" s="5">
        <v>845</v>
      </c>
      <c r="B906" s="138">
        <f>'Expenditures 15-22'!F49</f>
        <v>11766</v>
      </c>
      <c r="D906" s="2" t="str">
        <f t="shared" si="13"/>
        <v>Error?</v>
      </c>
    </row>
    <row r="907" spans="1:4" x14ac:dyDescent="0.2">
      <c r="A907" s="5">
        <v>846</v>
      </c>
      <c r="B907" s="138">
        <f>'Expenditures 15-22'!F50</f>
        <v>26277</v>
      </c>
      <c r="D907" s="2" t="str">
        <f t="shared" si="13"/>
        <v>Error?</v>
      </c>
    </row>
    <row r="908" spans="1:4" x14ac:dyDescent="0.2">
      <c r="A908" s="5">
        <v>847</v>
      </c>
      <c r="B908" s="138">
        <f>'Expenditures 15-22'!F53</f>
        <v>38043</v>
      </c>
      <c r="C908" s="2" t="s">
        <v>594</v>
      </c>
      <c r="D908" s="2" t="str">
        <f t="shared" si="13"/>
        <v>Error?</v>
      </c>
    </row>
    <row r="909" spans="1:4" x14ac:dyDescent="0.2">
      <c r="A909" s="5">
        <v>848</v>
      </c>
      <c r="B909" s="138">
        <f>'Expenditures 15-22'!F55</f>
        <v>4112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4112</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1965</v>
      </c>
      <c r="D913" s="2" t="str">
        <f t="shared" si="13"/>
        <v>Error?</v>
      </c>
    </row>
    <row r="914" spans="1:4" x14ac:dyDescent="0.2">
      <c r="A914" s="5">
        <v>853</v>
      </c>
      <c r="B914" s="138">
        <f>'Expenditures 15-22'!F61</f>
        <v>17257</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378248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397470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2265</v>
      </c>
      <c r="D928" s="2" t="str">
        <f t="shared" si="13"/>
        <v>Error?</v>
      </c>
    </row>
    <row r="929" spans="1:4" x14ac:dyDescent="0.2">
      <c r="A929" s="5">
        <v>868</v>
      </c>
      <c r="B929" s="138">
        <f>'Expenditures 15-22'!F74</f>
        <v>448814</v>
      </c>
      <c r="C929" s="2" t="s">
        <v>594</v>
      </c>
      <c r="D929" s="2" t="str">
        <f t="shared" si="13"/>
        <v>Error?</v>
      </c>
    </row>
    <row r="930" spans="1:4" x14ac:dyDescent="0.2">
      <c r="A930" s="5">
        <v>869</v>
      </c>
      <c r="B930" s="138">
        <f>'Expenditures 15-22'!F75</f>
        <v>8076</v>
      </c>
      <c r="D930" s="2" t="str">
        <f t="shared" si="13"/>
        <v>Error?</v>
      </c>
    </row>
    <row r="931" spans="1:4" x14ac:dyDescent="0.2">
      <c r="A931" s="5">
        <v>870</v>
      </c>
      <c r="B931" s="138">
        <f>'Expenditures 15-22'!F114</f>
        <v>782090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159</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68229</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21100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21100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21100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89329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157653</v>
      </c>
      <c r="C1047" s="2" t="s">
        <v>594</v>
      </c>
      <c r="D1047" s="2" t="str">
        <f t="shared" si="15"/>
        <v>Error?</v>
      </c>
    </row>
    <row r="1048" spans="1:4" x14ac:dyDescent="0.2">
      <c r="A1048" s="5">
        <v>987</v>
      </c>
      <c r="B1048" s="138">
        <f>'Expenditures 15-22'!H105</f>
        <v>252796</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252796</v>
      </c>
      <c r="C1053" s="2" t="s">
        <v>594</v>
      </c>
      <c r="D1053" s="2" t="str">
        <f t="shared" si="15"/>
        <v>Error?</v>
      </c>
    </row>
    <row r="1054" spans="1:4" x14ac:dyDescent="0.2">
      <c r="A1054" s="5">
        <v>993</v>
      </c>
      <c r="B1054" s="138">
        <f>'Expenditures 15-22'!H114</f>
        <v>410449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3387102</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301728</v>
      </c>
      <c r="C1105" s="2" t="s">
        <v>594</v>
      </c>
      <c r="D1105" s="2" t="str">
        <f t="shared" si="16"/>
        <v>Error?</v>
      </c>
    </row>
    <row r="1106" spans="1:4" x14ac:dyDescent="0.2">
      <c r="A1106" s="5">
        <v>1045</v>
      </c>
      <c r="B1106" s="138">
        <f>'Expenditures 15-22'!K14</f>
        <v>403611</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5985990</v>
      </c>
      <c r="C1108" s="2" t="s">
        <v>594</v>
      </c>
      <c r="D1108" s="2" t="str">
        <f t="shared" si="16"/>
        <v>Error?</v>
      </c>
    </row>
    <row r="1109" spans="1:4" x14ac:dyDescent="0.2">
      <c r="A1109" s="5">
        <v>1048</v>
      </c>
      <c r="B1109" s="138">
        <f>'Expenditures 15-22'!K36</f>
        <v>208002</v>
      </c>
      <c r="C1109" s="2" t="s">
        <v>594</v>
      </c>
      <c r="D1109" s="2" t="str">
        <f t="shared" si="16"/>
        <v>Error?</v>
      </c>
    </row>
    <row r="1110" spans="1:4" x14ac:dyDescent="0.2">
      <c r="A1110" s="5">
        <v>1049</v>
      </c>
      <c r="B1110" s="138">
        <f>'Expenditures 15-22'!K37</f>
        <v>101568</v>
      </c>
      <c r="C1110" s="2" t="s">
        <v>594</v>
      </c>
      <c r="D1110" s="2" t="str">
        <f t="shared" si="16"/>
        <v>Error?</v>
      </c>
    </row>
    <row r="1111" spans="1:4" x14ac:dyDescent="0.2">
      <c r="A1111" s="5">
        <v>1050</v>
      </c>
      <c r="B1111" s="138">
        <f>'Expenditures 15-22'!K38</f>
        <v>86982</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396552</v>
      </c>
      <c r="C1115" s="2" t="s">
        <v>594</v>
      </c>
      <c r="D1115" s="2" t="str">
        <f t="shared" si="16"/>
        <v>Error?</v>
      </c>
    </row>
    <row r="1116" spans="1:4" x14ac:dyDescent="0.2">
      <c r="A1116" s="5">
        <v>1055</v>
      </c>
      <c r="B1116" s="138">
        <f>'Expenditures 15-22'!K44</f>
        <v>26078</v>
      </c>
      <c r="C1116" s="2" t="s">
        <v>594</v>
      </c>
      <c r="D1116" s="2" t="str">
        <f t="shared" si="16"/>
        <v>Error?</v>
      </c>
    </row>
    <row r="1117" spans="1:4" x14ac:dyDescent="0.2">
      <c r="A1117" s="5">
        <v>1056</v>
      </c>
      <c r="B1117" s="138">
        <f>'Expenditures 15-22'!K45</f>
        <v>120829</v>
      </c>
      <c r="C1117" s="2" t="s">
        <v>594</v>
      </c>
      <c r="D1117" s="2" t="str">
        <f t="shared" si="16"/>
        <v>Error?</v>
      </c>
    </row>
    <row r="1118" spans="1:4" x14ac:dyDescent="0.2">
      <c r="A1118" s="5">
        <v>1057</v>
      </c>
      <c r="B1118" s="138">
        <f>'Expenditures 15-22'!K46</f>
        <v>2694</v>
      </c>
      <c r="C1118" s="2" t="s">
        <v>594</v>
      </c>
      <c r="D1118" s="2" t="str">
        <f t="shared" si="16"/>
        <v>Error?</v>
      </c>
    </row>
    <row r="1119" spans="1:4" x14ac:dyDescent="0.2">
      <c r="A1119" s="5">
        <v>1058</v>
      </c>
      <c r="B1119" s="138">
        <f>'Expenditures 15-22'!K47</f>
        <v>149601</v>
      </c>
      <c r="C1119" s="2" t="s">
        <v>594</v>
      </c>
      <c r="D1119" s="2" t="str">
        <f t="shared" si="16"/>
        <v>Error?</v>
      </c>
    </row>
    <row r="1120" spans="1:4" x14ac:dyDescent="0.2">
      <c r="A1120" s="5">
        <v>1059</v>
      </c>
      <c r="B1120" s="138">
        <f>'Expenditures 15-22'!K49</f>
        <v>105850</v>
      </c>
      <c r="C1120" s="2" t="s">
        <v>594</v>
      </c>
      <c r="D1120" s="2" t="str">
        <f t="shared" si="16"/>
        <v>Error?</v>
      </c>
    </row>
    <row r="1121" spans="1:4" x14ac:dyDescent="0.2">
      <c r="A1121" s="5">
        <v>1060</v>
      </c>
      <c r="B1121" s="138">
        <f>'Expenditures 15-22'!K50</f>
        <v>139936</v>
      </c>
      <c r="C1121" s="2" t="s">
        <v>594</v>
      </c>
      <c r="D1121" s="2" t="str">
        <f t="shared" si="16"/>
        <v>Error?</v>
      </c>
    </row>
    <row r="1122" spans="1:4" x14ac:dyDescent="0.2">
      <c r="A1122" s="5">
        <v>1061</v>
      </c>
      <c r="B1122" s="138">
        <f>'Expenditures 15-22'!K53</f>
        <v>245786</v>
      </c>
      <c r="C1122" s="2" t="s">
        <v>594</v>
      </c>
      <c r="D1122" s="2" t="str">
        <f t="shared" si="16"/>
        <v>Error?</v>
      </c>
    </row>
    <row r="1123" spans="1:4" x14ac:dyDescent="0.2">
      <c r="A1123" s="5">
        <v>1062</v>
      </c>
      <c r="B1123" s="138">
        <f>'Expenditures 15-22'!K55</f>
        <v>381154</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381154</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64824</v>
      </c>
      <c r="C1127" s="2" t="s">
        <v>594</v>
      </c>
      <c r="D1127" s="2" t="str">
        <f t="shared" si="16"/>
        <v>Error?</v>
      </c>
    </row>
    <row r="1128" spans="1:4" x14ac:dyDescent="0.2">
      <c r="A1128" s="5">
        <v>1067</v>
      </c>
      <c r="B1128" s="138">
        <f>'Expenditures 15-22'!K61</f>
        <v>669057</v>
      </c>
      <c r="C1128" s="2" t="s">
        <v>594</v>
      </c>
      <c r="D1128" s="2" t="str">
        <f t="shared" si="16"/>
        <v>Error?</v>
      </c>
    </row>
    <row r="1129" spans="1:4" x14ac:dyDescent="0.2">
      <c r="A1129" s="5">
        <v>1068</v>
      </c>
      <c r="B1129" s="138">
        <f>'Expenditures 15-22'!K62</f>
        <v>21594</v>
      </c>
      <c r="C1129" s="2" t="s">
        <v>594</v>
      </c>
      <c r="D1129" s="2" t="str">
        <f t="shared" si="16"/>
        <v>Error?</v>
      </c>
    </row>
    <row r="1130" spans="1:4" x14ac:dyDescent="0.2">
      <c r="A1130" s="5">
        <v>1069</v>
      </c>
      <c r="B1130" s="138">
        <f>'Expenditures 15-22'!K63</f>
        <v>760708</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1516183</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2265</v>
      </c>
      <c r="C1142" s="2" t="s">
        <v>594</v>
      </c>
      <c r="D1142" s="2" t="str">
        <f t="shared" si="16"/>
        <v>Error?</v>
      </c>
    </row>
    <row r="1143" spans="1:4" x14ac:dyDescent="0.2">
      <c r="A1143" s="5">
        <v>1082</v>
      </c>
      <c r="B1143" s="138">
        <f>'Expenditures 15-22'!K74</f>
        <v>2691541</v>
      </c>
      <c r="C1143" s="2" t="s">
        <v>594</v>
      </c>
      <c r="D1143" s="2" t="str">
        <f t="shared" si="16"/>
        <v>Error?</v>
      </c>
    </row>
    <row r="1144" spans="1:4" x14ac:dyDescent="0.2">
      <c r="A1144" s="5">
        <v>1083</v>
      </c>
      <c r="B1144" s="138">
        <f>'Expenditures 15-22'!K75</f>
        <v>77418</v>
      </c>
      <c r="C1144" s="2" t="s">
        <v>594</v>
      </c>
      <c r="D1144" s="2" t="str">
        <f t="shared" si="16"/>
        <v>Error?</v>
      </c>
    </row>
    <row r="1145" spans="1:4" x14ac:dyDescent="0.2">
      <c r="A1145" s="5">
        <v>1084</v>
      </c>
      <c r="B1145" s="138">
        <f>'Expenditures 15-22'!K102</f>
        <v>157653</v>
      </c>
      <c r="C1145" s="2" t="s">
        <v>594</v>
      </c>
      <c r="D1145" s="2" t="str">
        <f t="shared" si="16"/>
        <v>Error?</v>
      </c>
    </row>
    <row r="1146" spans="1:4" x14ac:dyDescent="0.2">
      <c r="A1146" s="5">
        <v>1085</v>
      </c>
      <c r="B1146" s="138">
        <f>'Expenditures 15-22'!K105</f>
        <v>252796</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252796</v>
      </c>
      <c r="C1151" s="2" t="s">
        <v>594</v>
      </c>
      <c r="D1151" s="2" t="str">
        <f t="shared" ref="D1151:D1214" si="17">IF(ISBLANK(B1151),"OK",IF(A1151-B1151=0,"OK","Error?"))</f>
        <v>Error?</v>
      </c>
    </row>
    <row r="1152" spans="1:4" x14ac:dyDescent="0.2">
      <c r="A1152" s="5">
        <v>1091</v>
      </c>
      <c r="B1152" s="138">
        <f>'Expenditures 15-22'!K114</f>
        <v>9165398</v>
      </c>
      <c r="C1152" s="2" t="s">
        <v>594</v>
      </c>
      <c r="D1152" s="2" t="str">
        <f t="shared" si="17"/>
        <v>Error?</v>
      </c>
    </row>
    <row r="1153" spans="1:4" x14ac:dyDescent="0.2">
      <c r="A1153" s="5">
        <v>1092</v>
      </c>
      <c r="B1153" s="138">
        <f>'Expenditures 15-22'!K115</f>
        <v>1386130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330771</v>
      </c>
      <c r="D1237" s="2" t="str">
        <f t="shared" si="18"/>
        <v>Error?</v>
      </c>
    </row>
    <row r="1238" spans="1:4" x14ac:dyDescent="0.2">
      <c r="A1238" s="10">
        <v>1177</v>
      </c>
      <c r="D1238" s="2" t="str">
        <f t="shared" si="18"/>
        <v>OK</v>
      </c>
    </row>
    <row r="1239" spans="1:4" x14ac:dyDescent="0.2">
      <c r="A1239" s="5">
        <v>1178</v>
      </c>
      <c r="B1239" s="138">
        <f>'Expenditures 15-22'!E127</f>
        <v>330771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330771</v>
      </c>
      <c r="C1241" s="2" t="s">
        <v>594</v>
      </c>
      <c r="D1241" s="2" t="str">
        <f t="shared" si="18"/>
        <v>Error?</v>
      </c>
    </row>
    <row r="1242" spans="1:4" x14ac:dyDescent="0.2">
      <c r="A1242" s="5">
        <v>1181</v>
      </c>
      <c r="B1242" s="138">
        <f>'Expenditures 15-22'!E151</f>
        <v>330771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541224</v>
      </c>
      <c r="D1245" s="2" t="str">
        <f t="shared" si="18"/>
        <v>Error?</v>
      </c>
    </row>
    <row r="1246" spans="1:4" x14ac:dyDescent="0.2">
      <c r="A1246" s="10">
        <v>1185</v>
      </c>
      <c r="D1246" s="2" t="str">
        <f t="shared" si="18"/>
        <v>OK</v>
      </c>
    </row>
    <row r="1247" spans="1:4" x14ac:dyDescent="0.2">
      <c r="A1247" s="5">
        <v>1186</v>
      </c>
      <c r="B1247" s="138">
        <f>'Expenditures 15-22'!F127</f>
        <v>541224</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541224</v>
      </c>
      <c r="C1249" s="2" t="s">
        <v>594</v>
      </c>
      <c r="D1249" s="2" t="str">
        <f t="shared" si="18"/>
        <v>Error?</v>
      </c>
    </row>
    <row r="1250" spans="1:4" x14ac:dyDescent="0.2">
      <c r="A1250" s="5">
        <v>1189</v>
      </c>
      <c r="B1250" s="138">
        <f>'Expenditures 15-22'!F151</f>
        <v>541224</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58253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58253</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58253</v>
      </c>
      <c r="C1258" s="2" t="s">
        <v>594</v>
      </c>
      <c r="D1258" s="2" t="str">
        <f t="shared" si="18"/>
        <v>Error?</v>
      </c>
    </row>
    <row r="1259" spans="1:4" x14ac:dyDescent="0.2">
      <c r="A1259" s="5">
        <v>1198</v>
      </c>
      <c r="B1259" s="138">
        <f>'Expenditures 15-22'!G151</f>
        <v>58253</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930248</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930248</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930248</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930248</v>
      </c>
      <c r="C1288" s="2" t="s">
        <v>594</v>
      </c>
      <c r="D1288" s="2" t="str">
        <f t="shared" si="19"/>
        <v>Error?</v>
      </c>
    </row>
    <row r="1289" spans="1:4" x14ac:dyDescent="0.2">
      <c r="A1289" s="5">
        <v>1228</v>
      </c>
      <c r="B1289" s="138">
        <f>'Expenditures 15-22'!K152</f>
        <v>157350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107026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192200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299226</v>
      </c>
      <c r="C1317" s="2" t="s">
        <v>594</v>
      </c>
      <c r="D1317" s="2" t="str">
        <f t="shared" si="19"/>
        <v>Error?</v>
      </c>
    </row>
    <row r="1318" spans="1:4" x14ac:dyDescent="0.2">
      <c r="A1318" s="5">
        <v>1257</v>
      </c>
      <c r="B1318" s="138">
        <f>'Expenditures 15-22'!H174</f>
        <v>299226</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107026</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192200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299226</v>
      </c>
      <c r="C1331" s="2" t="s">
        <v>594</v>
      </c>
      <c r="D1331" s="2" t="str">
        <f t="shared" si="19"/>
        <v>Error?</v>
      </c>
    </row>
    <row r="1332" spans="1:4" x14ac:dyDescent="0.2">
      <c r="A1332" s="5">
        <v>1271</v>
      </c>
      <c r="B1332" s="138">
        <f>'Expenditures 15-22'!K174</f>
        <v>299226</v>
      </c>
      <c r="C1332" s="2" t="s">
        <v>594</v>
      </c>
      <c r="D1332" s="2" t="str">
        <f t="shared" si="19"/>
        <v>Error?</v>
      </c>
    </row>
    <row r="1333" spans="1:4" x14ac:dyDescent="0.2">
      <c r="A1333" s="5">
        <v>1272</v>
      </c>
      <c r="B1333" s="138">
        <f>'Expenditures 15-22'!K175</f>
        <v>-37314</v>
      </c>
      <c r="C1333" s="2" t="s">
        <v>594</v>
      </c>
      <c r="D1333" s="2" t="str">
        <f t="shared" si="19"/>
        <v>Error?</v>
      </c>
    </row>
    <row r="1334" spans="1:4" x14ac:dyDescent="0.2">
      <c r="A1334" s="10">
        <v>1273</v>
      </c>
      <c r="D1334" s="2" t="str">
        <f t="shared" si="19"/>
        <v>OK</v>
      </c>
    </row>
    <row r="1335" spans="1:4" x14ac:dyDescent="0.2">
      <c r="A1335" s="5">
        <v>1274</v>
      </c>
      <c r="B1335" s="138">
        <f>'Expenditures 15-22'!C182</f>
        <v>308070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308070</v>
      </c>
      <c r="C1339" s="2" t="s">
        <v>594</v>
      </c>
      <c r="D1339" s="2" t="str">
        <f t="shared" si="19"/>
        <v>Error?</v>
      </c>
    </row>
    <row r="1340" spans="1:4" x14ac:dyDescent="0.2">
      <c r="A1340" s="5">
        <v>1279</v>
      </c>
      <c r="B1340" s="138">
        <f>'Expenditures 15-22'!C210</f>
        <v>308070</v>
      </c>
      <c r="C1340" s="2" t="s">
        <v>594</v>
      </c>
      <c r="D1340" s="2" t="str">
        <f t="shared" si="19"/>
        <v>Error?</v>
      </c>
    </row>
    <row r="1341" spans="1:4" x14ac:dyDescent="0.2">
      <c r="A1341" s="5">
        <v>1280</v>
      </c>
      <c r="B1341" s="138">
        <f>'Expenditures 15-22'!D182</f>
        <v>81727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81727</v>
      </c>
      <c r="C1345" s="2" t="s">
        <v>594</v>
      </c>
      <c r="D1345" s="2" t="str">
        <f t="shared" si="20"/>
        <v>Error?</v>
      </c>
    </row>
    <row r="1346" spans="1:4" x14ac:dyDescent="0.2">
      <c r="A1346" s="5">
        <v>1285</v>
      </c>
      <c r="B1346" s="138">
        <f>'Expenditures 15-22'!D210</f>
        <v>81727</v>
      </c>
      <c r="C1346" s="2" t="s">
        <v>594</v>
      </c>
      <c r="D1346" s="2" t="str">
        <f t="shared" si="20"/>
        <v>Error?</v>
      </c>
    </row>
    <row r="1347" spans="1:4" x14ac:dyDescent="0.2">
      <c r="A1347" s="5">
        <v>1286</v>
      </c>
      <c r="B1347" s="138">
        <f>'Expenditures 15-22'!E182</f>
        <v>15139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15139</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15139</v>
      </c>
      <c r="C1353" s="2" t="s">
        <v>594</v>
      </c>
      <c r="D1353" s="2" t="str">
        <f t="shared" si="20"/>
        <v>Error?</v>
      </c>
    </row>
    <row r="1354" spans="1:4" x14ac:dyDescent="0.2">
      <c r="A1354" s="5">
        <v>1293</v>
      </c>
      <c r="B1354" s="138">
        <f>'Expenditures 15-22'!F182</f>
        <v>76454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76454</v>
      </c>
      <c r="C1358" s="2" t="s">
        <v>594</v>
      </c>
      <c r="D1358" s="2" t="str">
        <f t="shared" si="20"/>
        <v>Error?</v>
      </c>
    </row>
    <row r="1359" spans="1:4" x14ac:dyDescent="0.2">
      <c r="A1359" s="5">
        <v>1298</v>
      </c>
      <c r="B1359" s="138">
        <f>'Expenditures 15-22'!F210</f>
        <v>76454</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80708</v>
      </c>
      <c r="C1375" s="2" t="s">
        <v>594</v>
      </c>
      <c r="D1375" s="2" t="str">
        <f t="shared" si="20"/>
        <v>Error?</v>
      </c>
    </row>
    <row r="1376" spans="1:4" x14ac:dyDescent="0.2">
      <c r="A1376" s="5">
        <v>1315</v>
      </c>
      <c r="B1376" s="138">
        <f>'Expenditures 15-22'!H210</f>
        <v>80708</v>
      </c>
      <c r="C1376" s="2" t="s">
        <v>594</v>
      </c>
      <c r="D1376" s="2" t="str">
        <f t="shared" si="20"/>
        <v>Error?</v>
      </c>
    </row>
    <row r="1377" spans="1:4" x14ac:dyDescent="0.2">
      <c r="A1377" s="5">
        <v>1316</v>
      </c>
      <c r="B1377" s="138">
        <f>'Expenditures 15-22'!K182</f>
        <v>481390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481390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80708</v>
      </c>
      <c r="C1387" s="2" t="s">
        <v>594</v>
      </c>
      <c r="D1387" s="2" t="str">
        <f t="shared" si="20"/>
        <v>Error?</v>
      </c>
    </row>
    <row r="1388" spans="1:4" x14ac:dyDescent="0.2">
      <c r="A1388" s="5">
        <v>1327</v>
      </c>
      <c r="B1388" s="138">
        <f>'Expenditures 15-22'!K210</f>
        <v>562098</v>
      </c>
      <c r="C1388" s="2" t="s">
        <v>594</v>
      </c>
      <c r="D1388" s="2" t="str">
        <f t="shared" si="20"/>
        <v>Error?</v>
      </c>
    </row>
    <row r="1389" spans="1:4" x14ac:dyDescent="0.2">
      <c r="A1389" s="5">
        <v>1328</v>
      </c>
      <c r="B1389" s="138">
        <f>'Expenditures 15-22'!K211</f>
        <v>-49277</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4905</v>
      </c>
      <c r="D1407" s="2" t="str">
        <f t="shared" ref="D1407:D1470" si="21">IF(ISBLANK(B1407),"OK",IF(A1407-B1407=0,"OK","Error?"))</f>
        <v>Error?</v>
      </c>
    </row>
    <row r="1408" spans="1:4" x14ac:dyDescent="0.2">
      <c r="A1408" s="5">
        <v>1347</v>
      </c>
      <c r="B1408" s="138">
        <f>'Expenditures 15-22'!D223</f>
        <v>11419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120801</v>
      </c>
      <c r="C1410" s="2" t="s">
        <v>594</v>
      </c>
      <c r="D1410" s="2" t="str">
        <f t="shared" si="21"/>
        <v>Error?</v>
      </c>
    </row>
    <row r="1411" spans="1:4" x14ac:dyDescent="0.2">
      <c r="A1411" s="5">
        <v>1350</v>
      </c>
      <c r="B1411" s="138">
        <f>'Expenditures 15-22'!D232</f>
        <v>21566</v>
      </c>
      <c r="D1411" s="2" t="str">
        <f t="shared" si="21"/>
        <v>Error?</v>
      </c>
    </row>
    <row r="1412" spans="1:4" x14ac:dyDescent="0.2">
      <c r="A1412" s="5">
        <v>1351</v>
      </c>
      <c r="B1412" s="138">
        <f>'Expenditures 15-22'!D233</f>
        <v>5286</v>
      </c>
      <c r="D1412" s="2" t="str">
        <f t="shared" si="21"/>
        <v>Error?</v>
      </c>
    </row>
    <row r="1413" spans="1:4" x14ac:dyDescent="0.2">
      <c r="A1413" s="5">
        <v>1352</v>
      </c>
      <c r="B1413" s="138">
        <f>'Expenditures 15-22'!D234</f>
        <v>4083</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30935</v>
      </c>
      <c r="C1417" s="2" t="s">
        <v>594</v>
      </c>
      <c r="D1417" s="2" t="str">
        <f t="shared" si="21"/>
        <v>Error?</v>
      </c>
    </row>
    <row r="1418" spans="1:4" x14ac:dyDescent="0.2">
      <c r="A1418" s="5">
        <v>1357</v>
      </c>
      <c r="B1418" s="138">
        <f>'Expenditures 15-22'!D240</f>
        <v>58</v>
      </c>
      <c r="D1418" s="2" t="str">
        <f t="shared" si="21"/>
        <v>Error?</v>
      </c>
    </row>
    <row r="1419" spans="1:4" x14ac:dyDescent="0.2">
      <c r="A1419" s="5">
        <v>1358</v>
      </c>
      <c r="B1419" s="138">
        <f>'Expenditures 15-22'!D241</f>
        <v>644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702</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7971</v>
      </c>
      <c r="D1423" s="2" t="str">
        <f t="shared" si="21"/>
        <v>Error?</v>
      </c>
    </row>
    <row r="1424" spans="1:4" x14ac:dyDescent="0.2">
      <c r="A1424" s="5">
        <v>1363</v>
      </c>
      <c r="B1424" s="138">
        <f>'Expenditures 15-22'!D257</f>
        <v>7971</v>
      </c>
      <c r="C1424" s="2" t="s">
        <v>594</v>
      </c>
      <c r="D1424" s="2" t="str">
        <f t="shared" si="21"/>
        <v>Error?</v>
      </c>
    </row>
    <row r="1425" spans="1:4" x14ac:dyDescent="0.2">
      <c r="A1425" s="5">
        <v>1364</v>
      </c>
      <c r="B1425" s="138">
        <f>'Expenditures 15-22'!D259</f>
        <v>19904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19904</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7225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77285</v>
      </c>
      <c r="D1431" s="2" t="str">
        <f t="shared" si="21"/>
        <v>Error?</v>
      </c>
    </row>
    <row r="1432" spans="1:4" x14ac:dyDescent="0.2">
      <c r="A1432" s="5">
        <v>1371</v>
      </c>
      <c r="B1432" s="138">
        <f>'Expenditures 15-22'!D267</f>
        <v>58419</v>
      </c>
      <c r="D1432" s="2" t="str">
        <f t="shared" si="21"/>
        <v>Error?</v>
      </c>
    </row>
    <row r="1433" spans="1:4" x14ac:dyDescent="0.2">
      <c r="A1433" s="5">
        <v>1372</v>
      </c>
      <c r="B1433" s="138">
        <f>'Expenditures 15-22'!D268</f>
        <v>47313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190242</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249754</v>
      </c>
      <c r="C1446" s="2" t="s">
        <v>594</v>
      </c>
      <c r="D1446" s="2" t="str">
        <f t="shared" si="21"/>
        <v>Error?</v>
      </c>
    </row>
    <row r="1447" spans="1:4" x14ac:dyDescent="0.2">
      <c r="A1447" s="5">
        <v>1386</v>
      </c>
      <c r="B1447" s="138">
        <f>'Expenditures 15-22'!D280</f>
        <v>15</v>
      </c>
      <c r="D1447" s="2" t="str">
        <f t="shared" si="21"/>
        <v>Error?</v>
      </c>
    </row>
    <row r="1448" spans="1:4" x14ac:dyDescent="0.2">
      <c r="A1448" s="5">
        <v>1387</v>
      </c>
      <c r="B1448" s="138">
        <f>'Expenditures 15-22'!D295</f>
        <v>370570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4905</v>
      </c>
      <c r="C1471" s="2" t="s">
        <v>594</v>
      </c>
      <c r="D1471" s="2" t="str">
        <f t="shared" ref="D1471:D1534" si="22">IF(ISBLANK(B1471),"OK",IF(A1471-B1471=0,"OK","Error?"))</f>
        <v>Error?</v>
      </c>
    </row>
    <row r="1472" spans="1:4" x14ac:dyDescent="0.2">
      <c r="A1472" s="5">
        <v>1411</v>
      </c>
      <c r="B1472" s="138">
        <f>'Expenditures 15-22'!K223</f>
        <v>11419</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120801</v>
      </c>
      <c r="C1474" s="2" t="s">
        <v>594</v>
      </c>
      <c r="D1474" s="2" t="str">
        <f t="shared" si="22"/>
        <v>Error?</v>
      </c>
    </row>
    <row r="1475" spans="1:4" x14ac:dyDescent="0.2">
      <c r="A1475" s="5">
        <v>1414</v>
      </c>
      <c r="B1475" s="138">
        <f>'Expenditures 15-22'!K232</f>
        <v>21566</v>
      </c>
      <c r="C1475" s="2" t="s">
        <v>594</v>
      </c>
      <c r="D1475" s="2" t="str">
        <f t="shared" si="22"/>
        <v>Error?</v>
      </c>
    </row>
    <row r="1476" spans="1:4" x14ac:dyDescent="0.2">
      <c r="A1476" s="5">
        <v>1415</v>
      </c>
      <c r="B1476" s="138">
        <f>'Expenditures 15-22'!K233</f>
        <v>5286</v>
      </c>
      <c r="C1476" s="2" t="s">
        <v>594</v>
      </c>
      <c r="D1476" s="2" t="str">
        <f t="shared" si="22"/>
        <v>Error?</v>
      </c>
    </row>
    <row r="1477" spans="1:4" x14ac:dyDescent="0.2">
      <c r="A1477" s="5">
        <v>1416</v>
      </c>
      <c r="B1477" s="138">
        <f>'Expenditures 15-22'!K234</f>
        <v>4083</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30935</v>
      </c>
      <c r="C1481" s="2" t="s">
        <v>594</v>
      </c>
      <c r="D1481" s="2" t="str">
        <f t="shared" si="22"/>
        <v>Error?</v>
      </c>
    </row>
    <row r="1482" spans="1:4" x14ac:dyDescent="0.2">
      <c r="A1482" s="5">
        <v>1421</v>
      </c>
      <c r="B1482" s="138">
        <f>'Expenditures 15-22'!K240</f>
        <v>58</v>
      </c>
      <c r="C1482" s="2" t="s">
        <v>594</v>
      </c>
      <c r="D1482" s="2" t="str">
        <f t="shared" si="22"/>
        <v>Error?</v>
      </c>
    </row>
    <row r="1483" spans="1:4" x14ac:dyDescent="0.2">
      <c r="A1483" s="5">
        <v>1422</v>
      </c>
      <c r="B1483" s="138">
        <f>'Expenditures 15-22'!K241</f>
        <v>644</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702</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7971</v>
      </c>
      <c r="C1487" s="2" t="s">
        <v>594</v>
      </c>
      <c r="D1487" s="2" t="str">
        <f t="shared" si="22"/>
        <v>Error?</v>
      </c>
    </row>
    <row r="1488" spans="1:4" x14ac:dyDescent="0.2">
      <c r="A1488" s="5">
        <v>1427</v>
      </c>
      <c r="B1488" s="138">
        <f>'Expenditures 15-22'!K257</f>
        <v>7971</v>
      </c>
      <c r="C1488" s="2" t="s">
        <v>594</v>
      </c>
      <c r="D1488" s="2" t="str">
        <f t="shared" si="22"/>
        <v>Error?</v>
      </c>
    </row>
    <row r="1489" spans="1:4" x14ac:dyDescent="0.2">
      <c r="A1489" s="5">
        <v>1428</v>
      </c>
      <c r="B1489" s="138">
        <f>'Expenditures 15-22'!K259</f>
        <v>19904</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19904</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7225</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77285</v>
      </c>
      <c r="C1495" s="2" t="s">
        <v>594</v>
      </c>
      <c r="D1495" s="2" t="str">
        <f t="shared" si="22"/>
        <v>Error?</v>
      </c>
    </row>
    <row r="1496" spans="1:4" x14ac:dyDescent="0.2">
      <c r="A1496" s="5">
        <v>1435</v>
      </c>
      <c r="B1496" s="138">
        <f>'Expenditures 15-22'!K267</f>
        <v>58419</v>
      </c>
      <c r="C1496" s="2" t="s">
        <v>594</v>
      </c>
      <c r="D1496" s="2" t="str">
        <f t="shared" si="22"/>
        <v>Error?</v>
      </c>
    </row>
    <row r="1497" spans="1:4" x14ac:dyDescent="0.2">
      <c r="A1497" s="5">
        <v>1436</v>
      </c>
      <c r="B1497" s="138">
        <f>'Expenditures 15-22'!K268</f>
        <v>47313</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190242</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249754</v>
      </c>
      <c r="C1510" s="2" t="s">
        <v>594</v>
      </c>
      <c r="D1510" s="2" t="str">
        <f t="shared" si="22"/>
        <v>Error?</v>
      </c>
    </row>
    <row r="1511" spans="1:4" x14ac:dyDescent="0.2">
      <c r="A1511" s="5">
        <v>1450</v>
      </c>
      <c r="B1511" s="138">
        <f>'Expenditures 15-22'!K280</f>
        <v>15</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370570</v>
      </c>
      <c r="C1517" s="2" t="s">
        <v>594</v>
      </c>
      <c r="D1517" s="2" t="str">
        <f t="shared" si="22"/>
        <v>Error?</v>
      </c>
    </row>
    <row r="1518" spans="1:4" x14ac:dyDescent="0.2">
      <c r="A1518" s="5">
        <v>1457</v>
      </c>
      <c r="B1518" s="138">
        <f>'Expenditures 15-22'!K296</f>
        <v>7181</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1450496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2951541</v>
      </c>
      <c r="C1630" s="2" t="s">
        <v>594</v>
      </c>
      <c r="D1630" s="2" t="str">
        <f t="shared" si="24"/>
        <v>Error?</v>
      </c>
    </row>
    <row r="1631" spans="1:4" x14ac:dyDescent="0.2">
      <c r="A1631" s="5">
        <v>1570</v>
      </c>
      <c r="B1631" s="138">
        <f>'Acct Summary 7-8'!D79</f>
        <v>479012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444462</v>
      </c>
      <c r="C1644" s="2" t="s">
        <v>594</v>
      </c>
      <c r="D1644" s="2" t="str">
        <f t="shared" si="24"/>
        <v>Error?</v>
      </c>
    </row>
    <row r="1645" spans="1:4" x14ac:dyDescent="0.2">
      <c r="A1645" s="5">
        <v>1584</v>
      </c>
      <c r="B1645" s="138">
        <f>'Acct Summary 7-8'!E79</f>
        <v>2127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15461</v>
      </c>
      <c r="C1672" s="2" t="s">
        <v>594</v>
      </c>
      <c r="D1672" s="2" t="str">
        <f t="shared" si="25"/>
        <v>Error?</v>
      </c>
    </row>
    <row r="1673" spans="1:4" x14ac:dyDescent="0.2">
      <c r="A1673" s="5">
        <v>1612</v>
      </c>
      <c r="B1673" s="138">
        <f>'Acct Summary 7-8'!G79</f>
        <v>115322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122503</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1369861</v>
      </c>
      <c r="C1744" s="2" t="s">
        <v>594</v>
      </c>
      <c r="D1744" s="2" t="str">
        <f t="shared" si="26"/>
        <v>Error?</v>
      </c>
    </row>
    <row r="1745" spans="1:5" x14ac:dyDescent="0.2">
      <c r="A1745" s="5">
        <v>1684</v>
      </c>
      <c r="B1745" s="138">
        <f>'Tax Sched 23'!B5</f>
        <v>293808</v>
      </c>
      <c r="C1745" s="2" t="s">
        <v>594</v>
      </c>
      <c r="D1745" s="2" t="str">
        <f t="shared" si="26"/>
        <v>Error?</v>
      </c>
    </row>
    <row r="1746" spans="1:5" x14ac:dyDescent="0.2">
      <c r="A1746" s="5">
        <v>1685</v>
      </c>
      <c r="B1746" s="138">
        <f>'Tax Sched 23'!B6</f>
        <v>261888</v>
      </c>
      <c r="C1746" s="2" t="s">
        <v>594</v>
      </c>
      <c r="D1746" s="2" t="str">
        <f t="shared" si="26"/>
        <v>Error?</v>
      </c>
    </row>
    <row r="1747" spans="1:5" x14ac:dyDescent="0.2">
      <c r="A1747" s="5">
        <v>1686</v>
      </c>
      <c r="B1747" s="138">
        <f>'Tax Sched 23'!B7</f>
        <v>117524</v>
      </c>
      <c r="C1747" s="2" t="s">
        <v>594</v>
      </c>
      <c r="D1747" s="2" t="str">
        <f t="shared" si="26"/>
        <v>Error?</v>
      </c>
    </row>
    <row r="1748" spans="1:5" x14ac:dyDescent="0.2">
      <c r="A1748" s="5">
        <v>1687</v>
      </c>
      <c r="B1748" s="138">
        <f>'Tax Sched 23'!B8</f>
        <v>221318</v>
      </c>
      <c r="C1748" s="2" t="s">
        <v>594</v>
      </c>
      <c r="D1748" s="2" t="str">
        <f t="shared" si="26"/>
        <v>Error?</v>
      </c>
    </row>
    <row r="1749" spans="1:5" x14ac:dyDescent="0.2">
      <c r="A1749" s="5">
        <v>1688</v>
      </c>
      <c r="B1749" s="138">
        <f>'Tax Sched 23'!B10</f>
        <v>29380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60364</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23505</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2533576</v>
      </c>
      <c r="C1759" s="2" t="s">
        <v>594</v>
      </c>
      <c r="D1759" s="2" t="str">
        <f t="shared" si="26"/>
        <v>Error?</v>
      </c>
    </row>
    <row r="1760" spans="1:5" x14ac:dyDescent="0.2">
      <c r="A1760" s="5">
        <v>1699</v>
      </c>
      <c r="B1760" s="138">
        <f>'Tax Sched 23'!D4</f>
        <v>1369861</v>
      </c>
      <c r="C1760" s="2" t="s">
        <v>594</v>
      </c>
      <c r="D1760" s="2" t="str">
        <f t="shared" si="26"/>
        <v>Error?</v>
      </c>
    </row>
    <row r="1761" spans="1:5" x14ac:dyDescent="0.2">
      <c r="A1761" s="5">
        <v>1700</v>
      </c>
      <c r="B1761" s="138">
        <f>'Tax Sched 23'!D5</f>
        <v>293808</v>
      </c>
      <c r="C1761" s="2" t="s">
        <v>594</v>
      </c>
      <c r="D1761" s="2" t="str">
        <f t="shared" si="26"/>
        <v>Error?</v>
      </c>
    </row>
    <row r="1762" spans="1:5" s="8" customFormat="1" x14ac:dyDescent="0.2">
      <c r="A1762" s="5">
        <v>1701</v>
      </c>
      <c r="B1762" s="138">
        <f>'Tax Sched 23'!D6</f>
        <v>261888</v>
      </c>
      <c r="C1762" s="2" t="s">
        <v>594</v>
      </c>
      <c r="D1762" s="2" t="str">
        <f t="shared" si="26"/>
        <v>Error?</v>
      </c>
      <c r="E1762" s="9"/>
    </row>
    <row r="1763" spans="1:5" x14ac:dyDescent="0.2">
      <c r="A1763" s="5">
        <v>1702</v>
      </c>
      <c r="B1763" s="138">
        <f>'Tax Sched 23'!D7</f>
        <v>117524</v>
      </c>
      <c r="C1763" s="2" t="s">
        <v>594</v>
      </c>
      <c r="D1763" s="2" t="str">
        <f t="shared" si="26"/>
        <v>Error?</v>
      </c>
    </row>
    <row r="1764" spans="1:5" x14ac:dyDescent="0.2">
      <c r="A1764" s="5">
        <v>1703</v>
      </c>
      <c r="B1764" s="138">
        <f>'Tax Sched 23'!D8</f>
        <v>221318</v>
      </c>
      <c r="C1764" s="2" t="s">
        <v>594</v>
      </c>
      <c r="D1764" s="2" t="str">
        <f t="shared" si="26"/>
        <v>Error?</v>
      </c>
    </row>
    <row r="1765" spans="1:5" x14ac:dyDescent="0.2">
      <c r="A1765" s="5">
        <v>1704</v>
      </c>
      <c r="B1765" s="138">
        <f>'Tax Sched 23'!D10</f>
        <v>29380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60364</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23505</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2533576</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1436146</v>
      </c>
      <c r="C1792" s="2" t="s">
        <v>594</v>
      </c>
      <c r="D1792" s="2" t="str">
        <f t="shared" si="27"/>
        <v>Error?</v>
      </c>
    </row>
    <row r="1793" spans="1:4" x14ac:dyDescent="0.2">
      <c r="A1793" s="5">
        <v>1732</v>
      </c>
      <c r="B1793" s="138">
        <f>'Tax Sched 23'!F5</f>
        <v>292615</v>
      </c>
      <c r="C1793" s="2" t="s">
        <v>594</v>
      </c>
      <c r="D1793" s="2" t="str">
        <f t="shared" si="27"/>
        <v>Error?</v>
      </c>
    </row>
    <row r="1794" spans="1:4" x14ac:dyDescent="0.2">
      <c r="A1794" s="5">
        <v>1733</v>
      </c>
      <c r="B1794" s="138">
        <f>'Tax Sched 23'!F6</f>
        <v>239996</v>
      </c>
      <c r="C1794" s="2" t="s">
        <v>594</v>
      </c>
      <c r="D1794" s="2" t="str">
        <f t="shared" si="27"/>
        <v>Error?</v>
      </c>
    </row>
    <row r="1795" spans="1:4" x14ac:dyDescent="0.2">
      <c r="A1795" s="5">
        <v>1734</v>
      </c>
      <c r="B1795" s="138">
        <f>'Tax Sched 23'!F7</f>
        <v>107711</v>
      </c>
      <c r="C1795" s="2" t="s">
        <v>594</v>
      </c>
      <c r="D1795" s="2" t="str">
        <f t="shared" si="27"/>
        <v>Error?</v>
      </c>
    </row>
    <row r="1796" spans="1:4" x14ac:dyDescent="0.2">
      <c r="A1796" s="5">
        <v>1735</v>
      </c>
      <c r="B1796" s="138">
        <f>'Tax Sched 23'!F8</f>
        <v>220000</v>
      </c>
      <c r="C1796" s="2" t="s">
        <v>594</v>
      </c>
      <c r="D1796" s="2" t="str">
        <f t="shared" si="27"/>
        <v>Error?</v>
      </c>
    </row>
    <row r="1797" spans="1:4" x14ac:dyDescent="0.2">
      <c r="A1797" s="5">
        <v>1736</v>
      </c>
      <c r="B1797" s="138">
        <f>'Tax Sched 23'!F10</f>
        <v>32912</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89000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23936</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2597316</v>
      </c>
      <c r="C1807" s="2" t="s">
        <v>594</v>
      </c>
      <c r="D1807" s="2" t="str">
        <f t="shared" si="27"/>
        <v>Error?</v>
      </c>
    </row>
    <row r="1808" spans="1:4" x14ac:dyDescent="0.2">
      <c r="A1808" s="5">
        <v>1747</v>
      </c>
      <c r="B1808" s="138">
        <f>'Tax Sched 23'!E4</f>
        <v>1436146</v>
      </c>
      <c r="D1808" s="2" t="str">
        <f t="shared" si="27"/>
        <v>Error?</v>
      </c>
    </row>
    <row r="1809" spans="1:4" x14ac:dyDescent="0.2">
      <c r="A1809" s="5">
        <v>1748</v>
      </c>
      <c r="B1809" s="138">
        <f>'Tax Sched 23'!E5</f>
        <v>292615</v>
      </c>
      <c r="D1809" s="2" t="str">
        <f t="shared" si="27"/>
        <v>Error?</v>
      </c>
    </row>
    <row r="1810" spans="1:4" x14ac:dyDescent="0.2">
      <c r="A1810" s="5">
        <v>1749</v>
      </c>
      <c r="B1810" s="138">
        <f>'Tax Sched 23'!E6</f>
        <v>239996</v>
      </c>
      <c r="D1810" s="2" t="str">
        <f t="shared" si="27"/>
        <v>Error?</v>
      </c>
    </row>
    <row r="1811" spans="1:4" x14ac:dyDescent="0.2">
      <c r="A1811" s="5">
        <v>1750</v>
      </c>
      <c r="B1811" s="138">
        <f>'Tax Sched 23'!E7</f>
        <v>107711</v>
      </c>
      <c r="D1811" s="2" t="str">
        <f t="shared" si="27"/>
        <v>Error?</v>
      </c>
    </row>
    <row r="1812" spans="1:4" x14ac:dyDescent="0.2">
      <c r="A1812" s="5">
        <v>1751</v>
      </c>
      <c r="B1812" s="138">
        <f>'Tax Sched 23'!E8</f>
        <v>220000</v>
      </c>
      <c r="D1812" s="2" t="str">
        <f t="shared" si="27"/>
        <v>Error?</v>
      </c>
    </row>
    <row r="1813" spans="1:4" x14ac:dyDescent="0.2">
      <c r="A1813" s="5">
        <v>1752</v>
      </c>
      <c r="B1813" s="138">
        <f>'Tax Sched 23'!E10</f>
        <v>32912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89000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23936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2597316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250000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250000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250000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250000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3563920</v>
      </c>
      <c r="C1939" s="2" t="s">
        <v>594</v>
      </c>
      <c r="D1939" s="2" t="str">
        <f t="shared" si="29"/>
        <v>Error?</v>
      </c>
    </row>
    <row r="1940" spans="1:5" x14ac:dyDescent="0.2">
      <c r="A1940" s="5">
        <v>1879</v>
      </c>
      <c r="B1940" s="138">
        <f>'Short-Term Long-Term Debt 24'!F49</f>
        <v>248067</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23605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23605</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23605</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965330</v>
      </c>
      <c r="D2008" s="2" t="str">
        <f t="shared" si="30"/>
        <v>Error?</v>
      </c>
    </row>
    <row r="2009" spans="1:4" x14ac:dyDescent="0.2">
      <c r="A2009" s="5">
        <v>1948</v>
      </c>
      <c r="B2009" s="138">
        <f>'Cap Outlay Deprec 26'!C8</f>
        <v>17955141</v>
      </c>
      <c r="D2009" s="2" t="str">
        <f t="shared" si="30"/>
        <v>Error?</v>
      </c>
    </row>
    <row r="2010" spans="1:4" x14ac:dyDescent="0.2">
      <c r="A2010" s="5">
        <v>1949</v>
      </c>
      <c r="B2010" s="138">
        <f>'Cap Outlay Deprec 26'!C10</f>
        <v>722838</v>
      </c>
      <c r="D2010" s="2" t="str">
        <f t="shared" si="30"/>
        <v>Error?</v>
      </c>
    </row>
    <row r="2011" spans="1:4" x14ac:dyDescent="0.2">
      <c r="A2011" s="5">
        <v>1950</v>
      </c>
      <c r="B2011" s="138">
        <f>'Cap Outlay Deprec 26'!C12</f>
        <v>2003438</v>
      </c>
      <c r="D2011" s="2" t="str">
        <f t="shared" si="30"/>
        <v>Error?</v>
      </c>
    </row>
    <row r="2012" spans="1:4" x14ac:dyDescent="0.2">
      <c r="A2012" s="5">
        <v>1951</v>
      </c>
      <c r="B2012" s="138">
        <f>'Cap Outlay Deprec 26'!C13</f>
        <v>1042187</v>
      </c>
      <c r="D2012" s="2" t="str">
        <f t="shared" si="30"/>
        <v>Error?</v>
      </c>
    </row>
    <row r="2013" spans="1:4" x14ac:dyDescent="0.2">
      <c r="A2013" s="5">
        <v>1952</v>
      </c>
      <c r="B2013" s="138">
        <f>'Cap Outlay Deprec 26'!C16</f>
        <v>22688934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27346</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16225</v>
      </c>
      <c r="D2017" s="2" t="str">
        <f t="shared" si="30"/>
        <v>Error?</v>
      </c>
    </row>
    <row r="2018" spans="1:4" x14ac:dyDescent="0.2">
      <c r="A2018" s="5">
        <v>1957</v>
      </c>
      <c r="B2018" s="138">
        <f>'Cap Outlay Deprec 26'!D13</f>
        <v>248878</v>
      </c>
      <c r="D2018" s="2" t="str">
        <f t="shared" si="30"/>
        <v>Error?</v>
      </c>
    </row>
    <row r="2019" spans="1:4" x14ac:dyDescent="0.2">
      <c r="A2019" s="5">
        <v>1958</v>
      </c>
      <c r="B2019" s="138">
        <f>'Cap Outlay Deprec 26'!D16</f>
        <v>292449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261330</v>
      </c>
      <c r="D2024" s="2" t="str">
        <f t="shared" si="30"/>
        <v>Error?</v>
      </c>
    </row>
    <row r="2025" spans="1:4" x14ac:dyDescent="0.2">
      <c r="A2025" s="5">
        <v>1964</v>
      </c>
      <c r="B2025" s="138">
        <f>'Cap Outlay Deprec 26'!E16</f>
        <v>261330</v>
      </c>
      <c r="C2025" s="2" t="s">
        <v>594</v>
      </c>
      <c r="D2025" s="2" t="str">
        <f t="shared" si="30"/>
        <v>Error?</v>
      </c>
    </row>
    <row r="2026" spans="1:4" x14ac:dyDescent="0.2">
      <c r="A2026" s="5">
        <v>1965</v>
      </c>
      <c r="B2026" s="138">
        <f>'Cap Outlay Deprec 26'!F5</f>
        <v>965330</v>
      </c>
      <c r="C2026" s="2" t="s">
        <v>594</v>
      </c>
      <c r="D2026" s="2" t="str">
        <f t="shared" si="30"/>
        <v>Error?</v>
      </c>
    </row>
    <row r="2027" spans="1:4" x14ac:dyDescent="0.2">
      <c r="A2027" s="5">
        <v>1966</v>
      </c>
      <c r="B2027" s="138">
        <f>'Cap Outlay Deprec 26'!F8</f>
        <v>17982487</v>
      </c>
      <c r="C2027" s="2" t="s">
        <v>594</v>
      </c>
      <c r="D2027" s="2" t="str">
        <f t="shared" si="30"/>
        <v>Error?</v>
      </c>
    </row>
    <row r="2028" spans="1:4" x14ac:dyDescent="0.2">
      <c r="A2028" s="5">
        <v>1967</v>
      </c>
      <c r="B2028" s="138">
        <f>'Cap Outlay Deprec 26'!F10</f>
        <v>722838</v>
      </c>
      <c r="C2028" s="2" t="s">
        <v>594</v>
      </c>
      <c r="D2028" s="2" t="str">
        <f t="shared" si="30"/>
        <v>Error?</v>
      </c>
    </row>
    <row r="2029" spans="1:4" x14ac:dyDescent="0.2">
      <c r="A2029" s="5">
        <v>1968</v>
      </c>
      <c r="B2029" s="138">
        <f>'Cap Outlay Deprec 26'!F12</f>
        <v>2019663</v>
      </c>
      <c r="C2029" s="2" t="s">
        <v>594</v>
      </c>
      <c r="D2029" s="2" t="str">
        <f t="shared" si="30"/>
        <v>Error?</v>
      </c>
    </row>
    <row r="2030" spans="1:4" x14ac:dyDescent="0.2">
      <c r="A2030" s="5">
        <v>1969</v>
      </c>
      <c r="B2030" s="138">
        <f>'Cap Outlay Deprec 26'!F13</f>
        <v>1029735</v>
      </c>
      <c r="C2030" s="2" t="s">
        <v>594</v>
      </c>
      <c r="D2030" s="2" t="str">
        <f t="shared" si="30"/>
        <v>Error?</v>
      </c>
    </row>
    <row r="2031" spans="1:4" x14ac:dyDescent="0.2">
      <c r="A2031" s="5">
        <v>1970</v>
      </c>
      <c r="B2031" s="138">
        <f>'Cap Outlay Deprec 26'!F16</f>
        <v>22720053</v>
      </c>
      <c r="C2031" s="2" t="s">
        <v>594</v>
      </c>
      <c r="D2031" s="2" t="str">
        <f t="shared" si="30"/>
        <v>Error?</v>
      </c>
    </row>
    <row r="2032" spans="1:4" x14ac:dyDescent="0.2">
      <c r="A2032" s="10">
        <v>1971</v>
      </c>
      <c r="D2032" s="2" t="str">
        <f t="shared" si="30"/>
        <v>OK</v>
      </c>
    </row>
    <row r="2033" spans="1:4" x14ac:dyDescent="0.2">
      <c r="A2033" s="5">
        <v>1972</v>
      </c>
      <c r="B2033" s="138">
        <f>'Cap Outlay Deprec 26'!H8</f>
        <v>7555704</v>
      </c>
      <c r="D2033" s="2" t="str">
        <f t="shared" si="30"/>
        <v>Error?</v>
      </c>
    </row>
    <row r="2034" spans="1:4" x14ac:dyDescent="0.2">
      <c r="A2034" s="5">
        <v>1973</v>
      </c>
      <c r="B2034" s="138">
        <f>'Cap Outlay Deprec 26'!H10</f>
        <v>683856</v>
      </c>
      <c r="D2034" s="2" t="str">
        <f t="shared" si="30"/>
        <v>Error?</v>
      </c>
    </row>
    <row r="2035" spans="1:4" x14ac:dyDescent="0.2">
      <c r="A2035" s="5">
        <v>1974</v>
      </c>
      <c r="B2035" s="138">
        <f>'Cap Outlay Deprec 26'!H12</f>
        <v>1896846</v>
      </c>
      <c r="D2035" s="2" t="str">
        <f t="shared" si="30"/>
        <v>Error?</v>
      </c>
    </row>
    <row r="2036" spans="1:4" x14ac:dyDescent="0.2">
      <c r="A2036" s="5">
        <v>1975</v>
      </c>
      <c r="B2036" s="138">
        <f>'Cap Outlay Deprec 26'!H13</f>
        <v>898107</v>
      </c>
      <c r="D2036" s="2" t="str">
        <f t="shared" si="30"/>
        <v>Error?</v>
      </c>
    </row>
    <row r="2037" spans="1:4" x14ac:dyDescent="0.2">
      <c r="A2037" s="5">
        <v>1976</v>
      </c>
      <c r="B2037" s="138">
        <f>'Cap Outlay Deprec 26'!H16</f>
        <v>11034513</v>
      </c>
      <c r="C2037" s="2" t="s">
        <v>594</v>
      </c>
      <c r="D2037" s="2" t="str">
        <f t="shared" si="30"/>
        <v>Error?</v>
      </c>
    </row>
    <row r="2038" spans="1:4" x14ac:dyDescent="0.2">
      <c r="A2038" s="10">
        <v>1977</v>
      </c>
      <c r="D2038" s="2" t="str">
        <f t="shared" si="30"/>
        <v>OK</v>
      </c>
    </row>
    <row r="2039" spans="1:4" x14ac:dyDescent="0.2">
      <c r="A2039" s="5">
        <v>1978</v>
      </c>
      <c r="B2039" s="138">
        <f>'Cap Outlay Deprec 26'!I8</f>
        <v>305569</v>
      </c>
      <c r="D2039" s="2" t="str">
        <f t="shared" si="30"/>
        <v>Error?</v>
      </c>
    </row>
    <row r="2040" spans="1:4" x14ac:dyDescent="0.2">
      <c r="A2040" s="5">
        <v>1979</v>
      </c>
      <c r="B2040" s="138">
        <f>'Cap Outlay Deprec 26'!I10</f>
        <v>15463</v>
      </c>
      <c r="D2040" s="2" t="str">
        <f t="shared" si="30"/>
        <v>Error?</v>
      </c>
    </row>
    <row r="2041" spans="1:4" x14ac:dyDescent="0.2">
      <c r="A2041" s="5">
        <v>1980</v>
      </c>
      <c r="B2041" s="138">
        <f>'Cap Outlay Deprec 26'!I12</f>
        <v>29915</v>
      </c>
      <c r="D2041" s="2" t="str">
        <f t="shared" si="30"/>
        <v>Error?</v>
      </c>
    </row>
    <row r="2042" spans="1:4" x14ac:dyDescent="0.2">
      <c r="A2042" s="5">
        <v>1981</v>
      </c>
      <c r="B2042" s="138">
        <f>'Cap Outlay Deprec 26'!I13</f>
        <v>95823</v>
      </c>
      <c r="D2042" s="2" t="str">
        <f t="shared" si="30"/>
        <v>Error?</v>
      </c>
    </row>
    <row r="2043" spans="1:4" x14ac:dyDescent="0.2">
      <c r="A2043" s="5">
        <v>1982</v>
      </c>
      <c r="B2043" s="138">
        <f>'Cap Outlay Deprec 26'!I16</f>
        <v>446770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261330</v>
      </c>
      <c r="D2048" s="2" t="str">
        <f t="shared" si="31"/>
        <v>Error?</v>
      </c>
    </row>
    <row r="2049" spans="1:4" x14ac:dyDescent="0.2">
      <c r="A2049" s="5">
        <v>1988</v>
      </c>
      <c r="B2049" s="138">
        <f>'Cap Outlay Deprec 26'!J16</f>
        <v>261330</v>
      </c>
      <c r="C2049" s="2" t="s">
        <v>594</v>
      </c>
      <c r="D2049" s="2" t="str">
        <f t="shared" si="31"/>
        <v>Error?</v>
      </c>
    </row>
    <row r="2050" spans="1:4" x14ac:dyDescent="0.2">
      <c r="A2050" s="10">
        <v>1989</v>
      </c>
      <c r="D2050" s="2" t="str">
        <f t="shared" si="31"/>
        <v>OK</v>
      </c>
    </row>
    <row r="2051" spans="1:4" x14ac:dyDescent="0.2">
      <c r="A2051" s="5">
        <v>1990</v>
      </c>
      <c r="B2051" s="138">
        <f>'Cap Outlay Deprec 26'!K8</f>
        <v>7861273</v>
      </c>
      <c r="C2051" s="2" t="s">
        <v>594</v>
      </c>
      <c r="D2051" s="2" t="str">
        <f t="shared" si="31"/>
        <v>Error?</v>
      </c>
    </row>
    <row r="2052" spans="1:4" x14ac:dyDescent="0.2">
      <c r="A2052" s="5">
        <v>1991</v>
      </c>
      <c r="B2052" s="138">
        <f>'Cap Outlay Deprec 26'!K10</f>
        <v>699319</v>
      </c>
      <c r="C2052" s="2" t="s">
        <v>594</v>
      </c>
      <c r="D2052" s="2" t="str">
        <f t="shared" si="31"/>
        <v>Error?</v>
      </c>
    </row>
    <row r="2053" spans="1:4" x14ac:dyDescent="0.2">
      <c r="A2053" s="5">
        <v>1992</v>
      </c>
      <c r="B2053" s="138">
        <f>'Cap Outlay Deprec 26'!K12</f>
        <v>1926761</v>
      </c>
      <c r="C2053" s="2" t="s">
        <v>594</v>
      </c>
      <c r="D2053" s="2" t="str">
        <f t="shared" si="31"/>
        <v>Error?</v>
      </c>
    </row>
    <row r="2054" spans="1:4" x14ac:dyDescent="0.2">
      <c r="A2054" s="5">
        <v>1993</v>
      </c>
      <c r="B2054" s="138">
        <f>'Cap Outlay Deprec 26'!K13</f>
        <v>732600</v>
      </c>
      <c r="C2054" s="2" t="s">
        <v>594</v>
      </c>
      <c r="D2054" s="2" t="str">
        <f t="shared" si="31"/>
        <v>Error?</v>
      </c>
    </row>
    <row r="2055" spans="1:4" x14ac:dyDescent="0.2">
      <c r="A2055" s="5">
        <v>1994</v>
      </c>
      <c r="B2055" s="138">
        <f>'Cap Outlay Deprec 26'!K16</f>
        <v>11219953</v>
      </c>
      <c r="C2055" s="2" t="s">
        <v>594</v>
      </c>
      <c r="D2055" s="2" t="str">
        <f t="shared" si="31"/>
        <v>Error?</v>
      </c>
    </row>
    <row r="2056" spans="1:4" x14ac:dyDescent="0.2">
      <c r="A2056" s="5">
        <v>1995</v>
      </c>
      <c r="B2056" s="138">
        <f>'Cap Outlay Deprec 26'!L5</f>
        <v>965330</v>
      </c>
      <c r="C2056" s="2" t="s">
        <v>594</v>
      </c>
      <c r="D2056" s="2" t="str">
        <f t="shared" si="31"/>
        <v>Error?</v>
      </c>
    </row>
    <row r="2057" spans="1:4" x14ac:dyDescent="0.2">
      <c r="A2057" s="5">
        <v>1996</v>
      </c>
      <c r="B2057" s="138">
        <f>'Cap Outlay Deprec 26'!L8</f>
        <v>10121214</v>
      </c>
      <c r="C2057" s="2" t="s">
        <v>594</v>
      </c>
      <c r="D2057" s="2" t="str">
        <f t="shared" si="31"/>
        <v>Error?</v>
      </c>
    </row>
    <row r="2058" spans="1:4" x14ac:dyDescent="0.2">
      <c r="A2058" s="5">
        <v>1997</v>
      </c>
      <c r="B2058" s="138">
        <f>'Cap Outlay Deprec 26'!L10</f>
        <v>23519</v>
      </c>
      <c r="C2058" s="2" t="s">
        <v>594</v>
      </c>
      <c r="D2058" s="2" t="str">
        <f t="shared" si="31"/>
        <v>Error?</v>
      </c>
    </row>
    <row r="2059" spans="1:4" x14ac:dyDescent="0.2">
      <c r="A2059" s="5">
        <v>1998</v>
      </c>
      <c r="B2059" s="138">
        <f>'Cap Outlay Deprec 26'!L12</f>
        <v>92902</v>
      </c>
      <c r="C2059" s="2" t="s">
        <v>594</v>
      </c>
      <c r="D2059" s="2" t="str">
        <f t="shared" si="31"/>
        <v>Error?</v>
      </c>
    </row>
    <row r="2060" spans="1:4" x14ac:dyDescent="0.2">
      <c r="A2060" s="5">
        <v>1999</v>
      </c>
      <c r="B2060" s="138">
        <f>'Cap Outlay Deprec 26'!L13</f>
        <v>297135</v>
      </c>
      <c r="C2060" s="2" t="s">
        <v>594</v>
      </c>
      <c r="D2060" s="2" t="str">
        <f t="shared" si="31"/>
        <v>Error?</v>
      </c>
    </row>
    <row r="2061" spans="1:4" x14ac:dyDescent="0.2">
      <c r="A2061" s="5">
        <v>2000</v>
      </c>
      <c r="B2061" s="138">
        <f>'Cap Outlay Deprec 26'!L16</f>
        <v>11500100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157653</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157653</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29436</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1016600</v>
      </c>
      <c r="D2435" s="2" t="str">
        <f t="shared" si="37"/>
        <v>Error?</v>
      </c>
    </row>
    <row r="2436" spans="1:4" x14ac:dyDescent="0.2">
      <c r="A2436" s="10">
        <v>2375</v>
      </c>
      <c r="D2436" s="2" t="str">
        <f t="shared" si="37"/>
        <v>OK</v>
      </c>
    </row>
    <row r="2437" spans="1:4" x14ac:dyDescent="0.2">
      <c r="A2437" s="5">
        <v>2376</v>
      </c>
      <c r="B2437" s="138">
        <f>'Assets-Liab 5-6'!D38</f>
        <v>332591</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2082143</v>
      </c>
      <c r="C2551" s="2" t="s">
        <v>594</v>
      </c>
      <c r="D2551" s="2" t="str">
        <f t="shared" si="38"/>
        <v>Error?</v>
      </c>
    </row>
    <row r="2552" spans="1:4" x14ac:dyDescent="0.2">
      <c r="A2552" s="10">
        <v>2491</v>
      </c>
      <c r="D2552" s="2" t="str">
        <f t="shared" si="38"/>
        <v>OK</v>
      </c>
    </row>
    <row r="2553" spans="1:4" x14ac:dyDescent="0.2">
      <c r="A2553" s="5">
        <v>2492</v>
      </c>
      <c r="B2553" s="138">
        <f>'Acct Summary 7-8'!C6</f>
        <v>7335657</v>
      </c>
      <c r="C2553" s="2" t="s">
        <v>594</v>
      </c>
      <c r="D2553" s="2" t="str">
        <f t="shared" si="38"/>
        <v>Error?</v>
      </c>
    </row>
    <row r="2554" spans="1:4" x14ac:dyDescent="0.2">
      <c r="A2554" s="5">
        <v>2493</v>
      </c>
      <c r="B2554" s="138">
        <f>'Acct Summary 7-8'!C7</f>
        <v>1094929</v>
      </c>
      <c r="C2554" s="2" t="s">
        <v>594</v>
      </c>
      <c r="D2554" s="2" t="str">
        <f t="shared" si="38"/>
        <v>Error?</v>
      </c>
    </row>
    <row r="2555" spans="1:4" x14ac:dyDescent="0.2">
      <c r="A2555" s="5">
        <v>2494</v>
      </c>
      <c r="B2555" s="138">
        <f>'Acct Summary 7-8'!C8</f>
        <v>10551528</v>
      </c>
      <c r="C2555" s="2" t="s">
        <v>594</v>
      </c>
      <c r="D2555" s="2" t="str">
        <f t="shared" si="38"/>
        <v>Error?</v>
      </c>
    </row>
    <row r="2556" spans="1:4" x14ac:dyDescent="0.2">
      <c r="A2556" s="5">
        <v>2495</v>
      </c>
      <c r="B2556" s="138">
        <f>'Acct Summary 7-8'!C12</f>
        <v>5985990</v>
      </c>
      <c r="C2556" s="2" t="s">
        <v>594</v>
      </c>
      <c r="D2556" s="2" t="str">
        <f t="shared" si="38"/>
        <v>Error?</v>
      </c>
    </row>
    <row r="2557" spans="1:4" x14ac:dyDescent="0.2">
      <c r="A2557" s="5">
        <v>2496</v>
      </c>
      <c r="B2557" s="138">
        <f>'Acct Summary 7-8'!C13</f>
        <v>2691541</v>
      </c>
      <c r="C2557" s="2" t="s">
        <v>594</v>
      </c>
      <c r="D2557" s="2" t="str">
        <f t="shared" si="38"/>
        <v>Error?</v>
      </c>
    </row>
    <row r="2558" spans="1:4" x14ac:dyDescent="0.2">
      <c r="A2558" s="5">
        <v>2497</v>
      </c>
      <c r="B2558" s="138">
        <f>'Acct Summary 7-8'!C14</f>
        <v>77418</v>
      </c>
      <c r="C2558" s="2" t="s">
        <v>594</v>
      </c>
      <c r="D2558" s="2" t="str">
        <f t="shared" si="38"/>
        <v>Error?</v>
      </c>
    </row>
    <row r="2559" spans="1:4" x14ac:dyDescent="0.2">
      <c r="A2559" s="5">
        <v>2498</v>
      </c>
      <c r="B2559" s="138">
        <f>'Acct Summary 7-8'!C15</f>
        <v>157653</v>
      </c>
      <c r="C2559" s="2" t="s">
        <v>594</v>
      </c>
      <c r="D2559" s="2" t="str">
        <f t="shared" ref="D2559:D2622" si="39">IF(ISBLANK(B2559),"OK",IF(A2559-B2559=0,"OK","Error?"))</f>
        <v>Error?</v>
      </c>
    </row>
    <row r="2560" spans="1:4" x14ac:dyDescent="0.2">
      <c r="A2560" s="5">
        <v>2499</v>
      </c>
      <c r="B2560" s="138">
        <f>'Acct Summary 7-8'!C16</f>
        <v>252796</v>
      </c>
      <c r="C2560" s="2" t="s">
        <v>594</v>
      </c>
      <c r="D2560" s="2" t="str">
        <f t="shared" si="39"/>
        <v>Error?</v>
      </c>
    </row>
    <row r="2561" spans="1:4" x14ac:dyDescent="0.2">
      <c r="A2561" s="5">
        <v>2500</v>
      </c>
      <c r="B2561" s="138">
        <f>'Acct Summary 7-8'!C17</f>
        <v>9165398</v>
      </c>
      <c r="C2561" s="2" t="s">
        <v>594</v>
      </c>
      <c r="D2561" s="2" t="str">
        <f t="shared" si="39"/>
        <v>Error?</v>
      </c>
    </row>
    <row r="2562" spans="1:4" x14ac:dyDescent="0.2">
      <c r="A2562" s="5">
        <v>2501</v>
      </c>
      <c r="B2562" s="138">
        <f>'Acct Summary 7-8'!C20</f>
        <v>1386130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1087598</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1087598</v>
      </c>
      <c r="C2568" s="2" t="s">
        <v>594</v>
      </c>
      <c r="D2568" s="2" t="str">
        <f t="shared" si="39"/>
        <v>Error?</v>
      </c>
    </row>
    <row r="2569" spans="1:4" x14ac:dyDescent="0.2">
      <c r="A2569" s="5">
        <v>2508</v>
      </c>
      <c r="B2569" s="138">
        <f>'Acct Summary 7-8'!D13</f>
        <v>930248</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930248</v>
      </c>
      <c r="C2573" s="2" t="s">
        <v>594</v>
      </c>
      <c r="D2573" s="2" t="str">
        <f t="shared" si="39"/>
        <v>Error?</v>
      </c>
    </row>
    <row r="2574" spans="1:4" x14ac:dyDescent="0.2">
      <c r="A2574" s="5">
        <v>2513</v>
      </c>
      <c r="B2574" s="138">
        <f>'Acct Summary 7-8'!D20</f>
        <v>157350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117548</v>
      </c>
      <c r="C2591" s="2" t="s">
        <v>594</v>
      </c>
      <c r="D2591" s="2" t="str">
        <f t="shared" si="39"/>
        <v>Error?</v>
      </c>
    </row>
    <row r="2592" spans="1:4" x14ac:dyDescent="0.2">
      <c r="A2592" s="10">
        <v>2531</v>
      </c>
      <c r="D2592" s="2" t="str">
        <f t="shared" si="39"/>
        <v>OK</v>
      </c>
    </row>
    <row r="2593" spans="1:4" x14ac:dyDescent="0.2">
      <c r="A2593" s="5">
        <v>2532</v>
      </c>
      <c r="B2593" s="138">
        <f>'Acct Summary 7-8'!F6</f>
        <v>395273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512821</v>
      </c>
      <c r="C2595" s="2" t="s">
        <v>594</v>
      </c>
      <c r="D2595" s="2" t="str">
        <f t="shared" si="39"/>
        <v>Error?</v>
      </c>
    </row>
    <row r="2596" spans="1:4" x14ac:dyDescent="0.2">
      <c r="A2596" s="5">
        <v>2535</v>
      </c>
      <c r="B2596" s="138">
        <f>'Acct Summary 7-8'!F13</f>
        <v>481390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80708</v>
      </c>
      <c r="C2599" s="2" t="s">
        <v>594</v>
      </c>
      <c r="D2599" s="2" t="str">
        <f t="shared" si="39"/>
        <v>Error?</v>
      </c>
    </row>
    <row r="2600" spans="1:4" x14ac:dyDescent="0.2">
      <c r="A2600" s="5">
        <v>2539</v>
      </c>
      <c r="B2600" s="138">
        <f>'Acct Summary 7-8'!F17</f>
        <v>562098</v>
      </c>
      <c r="C2600" s="2" t="s">
        <v>594</v>
      </c>
      <c r="D2600" s="2" t="str">
        <f t="shared" si="39"/>
        <v>Error?</v>
      </c>
    </row>
    <row r="2601" spans="1:4" x14ac:dyDescent="0.2">
      <c r="A2601" s="5">
        <v>2540</v>
      </c>
      <c r="B2601" s="138">
        <f>'Acct Summary 7-8'!F20</f>
        <v>-49277</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377751</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377751</v>
      </c>
      <c r="C2606" s="2" t="s">
        <v>594</v>
      </c>
      <c r="D2606" s="2" t="str">
        <f t="shared" si="39"/>
        <v>Error?</v>
      </c>
    </row>
    <row r="2607" spans="1:4" x14ac:dyDescent="0.2">
      <c r="A2607" s="5">
        <v>2546</v>
      </c>
      <c r="B2607" s="138">
        <f>'Acct Summary 7-8'!G12</f>
        <v>120801</v>
      </c>
      <c r="C2607" s="2" t="s">
        <v>594</v>
      </c>
      <c r="D2607" s="2" t="str">
        <f t="shared" si="39"/>
        <v>Error?</v>
      </c>
    </row>
    <row r="2608" spans="1:4" x14ac:dyDescent="0.2">
      <c r="A2608" s="5">
        <v>2547</v>
      </c>
      <c r="B2608" s="138">
        <f>'Acct Summary 7-8'!G13</f>
        <v>249754</v>
      </c>
      <c r="C2608" s="2" t="s">
        <v>594</v>
      </c>
      <c r="D2608" s="2" t="str">
        <f t="shared" si="39"/>
        <v>Error?</v>
      </c>
    </row>
    <row r="2609" spans="1:4" x14ac:dyDescent="0.2">
      <c r="A2609" s="5">
        <v>2548</v>
      </c>
      <c r="B2609" s="138">
        <f>'Acct Summary 7-8'!G14</f>
        <v>15</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370570</v>
      </c>
      <c r="C2612" s="2" t="s">
        <v>594</v>
      </c>
      <c r="D2612" s="2" t="str">
        <f t="shared" si="39"/>
        <v>Error?</v>
      </c>
    </row>
    <row r="2613" spans="1:4" x14ac:dyDescent="0.2">
      <c r="A2613" s="5">
        <v>2552</v>
      </c>
      <c r="B2613" s="138">
        <f>'Acct Summary 7-8'!G20</f>
        <v>7181</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261912</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261912</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299226</v>
      </c>
      <c r="C2634" s="2" t="s">
        <v>594</v>
      </c>
      <c r="D2634" s="2" t="str">
        <f t="shared" si="40"/>
        <v>Error?</v>
      </c>
    </row>
    <row r="2635" spans="1:4" x14ac:dyDescent="0.2">
      <c r="A2635" s="5">
        <v>2574</v>
      </c>
      <c r="B2635" s="138">
        <f>'Acct Summary 7-8'!E17</f>
        <v>299226</v>
      </c>
      <c r="C2635" s="2" t="s">
        <v>594</v>
      </c>
      <c r="D2635" s="2" t="str">
        <f t="shared" si="40"/>
        <v>Error?</v>
      </c>
    </row>
    <row r="2636" spans="1:4" x14ac:dyDescent="0.2">
      <c r="A2636" s="5">
        <v>2575</v>
      </c>
      <c r="B2636" s="138">
        <f>'Acct Summary 7-8'!E20</f>
        <v>-37314</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35187</v>
      </c>
      <c r="D2760" s="2" t="str">
        <f t="shared" si="42"/>
        <v>Error?</v>
      </c>
    </row>
    <row r="2761" spans="1:4" x14ac:dyDescent="0.2">
      <c r="A2761" s="10">
        <v>2700</v>
      </c>
      <c r="D2761" s="2" t="str">
        <f t="shared" si="42"/>
        <v>OK</v>
      </c>
    </row>
    <row r="2762" spans="1:4" x14ac:dyDescent="0.2">
      <c r="A2762" s="5">
        <v>2701</v>
      </c>
      <c r="B2762" s="138">
        <f>'Acct Summary 7-8'!F26</f>
        <v>29436</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35187</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1029735</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223989</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223989</v>
      </c>
      <c r="D2914" s="2" t="str">
        <f t="shared" si="44"/>
        <v>Error?</v>
      </c>
    </row>
    <row r="2915" spans="1:4" x14ac:dyDescent="0.2">
      <c r="A2915" s="10">
        <v>2854</v>
      </c>
      <c r="D2915" s="2" t="str">
        <f t="shared" si="44"/>
        <v>OK</v>
      </c>
    </row>
    <row r="2916" spans="1:4" x14ac:dyDescent="0.2">
      <c r="A2916" s="5">
        <v>2855</v>
      </c>
      <c r="B2916" s="138">
        <f>'Assets-Liab 5-6'!L34</f>
        <v>223989</v>
      </c>
      <c r="C2916" s="2" t="s">
        <v>594</v>
      </c>
      <c r="D2916" s="2" t="str">
        <f t="shared" si="44"/>
        <v>Error?</v>
      </c>
    </row>
    <row r="2917" spans="1:4" x14ac:dyDescent="0.2">
      <c r="A2917" s="5">
        <v>2856</v>
      </c>
      <c r="B2917" s="138">
        <f>'Assets-Liab 5-6'!L41</f>
        <v>223989</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157653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157653</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289146</v>
      </c>
      <c r="D3055" s="2" t="str">
        <f t="shared" si="46"/>
        <v>Error?</v>
      </c>
    </row>
    <row r="3056" spans="1:4" x14ac:dyDescent="0.2">
      <c r="A3056" s="5">
        <v>2995</v>
      </c>
      <c r="B3056" s="138">
        <f>'Expenditures 15-22'!D10</f>
        <v>124784</v>
      </c>
      <c r="D3056" s="2" t="str">
        <f t="shared" si="46"/>
        <v>Error?</v>
      </c>
    </row>
    <row r="3057" spans="1:4" x14ac:dyDescent="0.2">
      <c r="A3057" s="5">
        <v>2996</v>
      </c>
      <c r="B3057" s="138">
        <f>'Expenditures 15-22'!E10</f>
        <v>42241</v>
      </c>
      <c r="D3057" s="2" t="str">
        <f t="shared" si="46"/>
        <v>Error?</v>
      </c>
    </row>
    <row r="3058" spans="1:4" x14ac:dyDescent="0.2">
      <c r="A3058" s="5">
        <v>2997</v>
      </c>
      <c r="B3058" s="138">
        <f>'Expenditures 15-22'!F10</f>
        <v>57164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513335</v>
      </c>
      <c r="C3062" s="2" t="s">
        <v>594</v>
      </c>
      <c r="D3062" s="2" t="str">
        <f t="shared" si="46"/>
        <v>Error?</v>
      </c>
    </row>
    <row r="3063" spans="1:4" x14ac:dyDescent="0.2">
      <c r="A3063" s="10">
        <v>3002</v>
      </c>
      <c r="D3063" s="2" t="str">
        <f t="shared" si="46"/>
        <v>OK</v>
      </c>
    </row>
    <row r="3064" spans="1:4" x14ac:dyDescent="0.2">
      <c r="A3064" s="5">
        <v>3003</v>
      </c>
      <c r="B3064" s="138">
        <f>'Expenditures 15-22'!D219</f>
        <v>345</v>
      </c>
      <c r="D3064" s="2" t="str">
        <f t="shared" si="46"/>
        <v>Error?</v>
      </c>
    </row>
    <row r="3065" spans="1:4" x14ac:dyDescent="0.2">
      <c r="A3065" s="5">
        <v>3004</v>
      </c>
      <c r="B3065" s="138">
        <f>'Expenditures 15-22'!K219</f>
        <v>345</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29436</v>
      </c>
      <c r="C3225" s="2" t="s">
        <v>594</v>
      </c>
      <c r="D3225" s="2" t="str">
        <f t="shared" si="49"/>
        <v>Error?</v>
      </c>
    </row>
    <row r="3226" spans="1:4" x14ac:dyDescent="0.2">
      <c r="A3226" s="5">
        <v>3165</v>
      </c>
      <c r="B3226" s="138">
        <f>'Acct Summary 7-8'!I8</f>
        <v>29436</v>
      </c>
      <c r="C3226" s="2" t="s">
        <v>594</v>
      </c>
      <c r="D3226" s="2" t="str">
        <f t="shared" si="49"/>
        <v>Error?</v>
      </c>
    </row>
    <row r="3227" spans="1:4" x14ac:dyDescent="0.2">
      <c r="A3227" s="5">
        <v>3166</v>
      </c>
      <c r="B3227" s="138">
        <f>'Acct Summary 7-8'!I20</f>
        <v>29436</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155478</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40563</v>
      </c>
      <c r="C3231" s="2" t="s">
        <v>594</v>
      </c>
      <c r="D3231" s="2" t="str">
        <f t="shared" si="49"/>
        <v>Error?</v>
      </c>
    </row>
    <row r="3232" spans="1:4" x14ac:dyDescent="0.2">
      <c r="A3232" s="5">
        <v>3171</v>
      </c>
      <c r="B3232" s="138">
        <f>'Acct Summary 7-8'!C77</f>
        <v>114915</v>
      </c>
      <c r="C3232" s="2" t="s">
        <v>594</v>
      </c>
      <c r="D3232" s="2" t="str">
        <f t="shared" si="49"/>
        <v>Error?</v>
      </c>
    </row>
    <row r="3233" spans="1:4" x14ac:dyDescent="0.2">
      <c r="A3233" s="5">
        <v>3172</v>
      </c>
      <c r="B3233" s="138">
        <f>'Acct Summary 7-8'!C78</f>
        <v>1501045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10197</v>
      </c>
      <c r="C3235" s="2" t="s">
        <v>594</v>
      </c>
      <c r="D3235" s="2" t="str">
        <f t="shared" si="49"/>
        <v>Error?</v>
      </c>
    </row>
    <row r="3236" spans="1:4" x14ac:dyDescent="0.2">
      <c r="A3236" s="5">
        <v>3175</v>
      </c>
      <c r="B3236" s="138">
        <f>'Acct Summary 7-8'!D75</f>
        <v>13410</v>
      </c>
      <c r="D3236" s="2" t="str">
        <f t="shared" si="49"/>
        <v>Error?</v>
      </c>
    </row>
    <row r="3237" spans="1:4" x14ac:dyDescent="0.2">
      <c r="A3237" s="5">
        <v>3176</v>
      </c>
      <c r="B3237" s="138">
        <f>'Acct Summary 7-8'!D76</f>
        <v>202097</v>
      </c>
      <c r="C3237" s="2" t="s">
        <v>594</v>
      </c>
      <c r="D3237" s="2" t="str">
        <f t="shared" si="49"/>
        <v>Error?</v>
      </c>
    </row>
    <row r="3238" spans="1:4" x14ac:dyDescent="0.2">
      <c r="A3238" s="5">
        <v>3177</v>
      </c>
      <c r="B3238" s="138">
        <f>'Acct Summary 7-8'!D77</f>
        <v>-191900</v>
      </c>
      <c r="C3238" s="2" t="s">
        <v>594</v>
      </c>
      <c r="D3238" s="2" t="str">
        <f t="shared" si="49"/>
        <v>Error?</v>
      </c>
    </row>
    <row r="3239" spans="1:4" x14ac:dyDescent="0.2">
      <c r="A3239" s="5">
        <v>3178</v>
      </c>
      <c r="B3239" s="138">
        <f>'Acct Summary 7-8'!D78</f>
        <v>-34550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64738</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64738</v>
      </c>
      <c r="C3255" s="2" t="s">
        <v>594</v>
      </c>
      <c r="D3255" s="2" t="str">
        <f t="shared" si="49"/>
        <v>Error?</v>
      </c>
    </row>
    <row r="3256" spans="1:4" x14ac:dyDescent="0.2">
      <c r="A3256" s="5">
        <v>3195</v>
      </c>
      <c r="B3256" s="138">
        <f>'Acct Summary 7-8'!F78</f>
        <v>15461</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7181</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35187</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35187</v>
      </c>
      <c r="C3277" s="2" t="s">
        <v>594</v>
      </c>
      <c r="D3277" s="2" t="str">
        <f t="shared" si="50"/>
        <v>Error?</v>
      </c>
    </row>
    <row r="3278" spans="1:4" x14ac:dyDescent="0.2">
      <c r="A3278" s="5">
        <v>3217</v>
      </c>
      <c r="B3278" s="138">
        <f>'Acct Summary 7-8'!E78</f>
        <v>-2127</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29436</v>
      </c>
      <c r="C3318" s="2" t="s">
        <v>594</v>
      </c>
      <c r="D3318" s="2" t="str">
        <f t="shared" si="50"/>
        <v>Error?</v>
      </c>
    </row>
    <row r="3319" spans="1:4" x14ac:dyDescent="0.2">
      <c r="A3319" s="5">
        <v>3258</v>
      </c>
      <c r="B3319" s="138">
        <f>'Acct Summary 7-8'!I77</f>
        <v>-29436</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771365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190058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2798</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961423</v>
      </c>
      <c r="C3380" s="2" t="s">
        <v>594</v>
      </c>
      <c r="D3380" s="2" t="str">
        <f t="shared" si="51"/>
        <v>Error?</v>
      </c>
    </row>
    <row r="3381" spans="1:4" x14ac:dyDescent="0.2">
      <c r="A3381" s="5">
        <v>3320</v>
      </c>
      <c r="B3381" s="138">
        <f>'Expenditures 15-22'!K19</f>
        <v>2798</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54769</v>
      </c>
      <c r="D3387" s="2" t="str">
        <f t="shared" si="51"/>
        <v>Error?</v>
      </c>
    </row>
    <row r="3388" spans="1:4" x14ac:dyDescent="0.2">
      <c r="A3388" s="5">
        <v>3327</v>
      </c>
      <c r="B3388" s="138">
        <f>'Expenditures 15-22'!D217</f>
        <v>48185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54769</v>
      </c>
      <c r="C3390" s="2" t="s">
        <v>594</v>
      </c>
      <c r="D3390" s="2" t="str">
        <f t="shared" si="51"/>
        <v>Error?</v>
      </c>
    </row>
    <row r="3391" spans="1:4" x14ac:dyDescent="0.2">
      <c r="A3391" s="5">
        <v>3330</v>
      </c>
      <c r="B3391" s="138">
        <f>'Expenditures 15-22'!K217</f>
        <v>48185</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38799</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1934941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444462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15461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122503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223989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155928</v>
      </c>
      <c r="C3446" s="2" t="s">
        <v>594</v>
      </c>
      <c r="D3446" s="2" t="str">
        <f t="shared" si="52"/>
        <v>Error?</v>
      </c>
    </row>
    <row r="3447" spans="1:4" x14ac:dyDescent="0.2">
      <c r="A3447" s="5">
        <v>3386</v>
      </c>
      <c r="B3447" s="138">
        <f>'Tax Sched 23'!D16</f>
        <v>155928</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155000</v>
      </c>
      <c r="C3449" s="2" t="s">
        <v>594</v>
      </c>
      <c r="D3449" s="2" t="str">
        <f t="shared" si="52"/>
        <v>Error?</v>
      </c>
    </row>
    <row r="3450" spans="1:4" x14ac:dyDescent="0.2">
      <c r="A3450" s="5">
        <v>3389</v>
      </c>
      <c r="B3450" s="138">
        <f>'Tax Sched 23'!E16</f>
        <v>155000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6914</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7</v>
      </c>
      <c r="D3567" s="2" t="str">
        <f t="shared" si="54"/>
        <v>Error?</v>
      </c>
    </row>
    <row r="3568" spans="1:4" x14ac:dyDescent="0.2">
      <c r="A3568" s="5">
        <v>3507</v>
      </c>
      <c r="B3568" s="138">
        <f>'Assets-Liab 5-6'!K41</f>
        <v>7</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388746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3200631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13752159</v>
      </c>
      <c r="C4122" s="2" t="s">
        <v>594</v>
      </c>
      <c r="D4122" s="2" t="str">
        <f t="shared" si="63"/>
        <v>Error?</v>
      </c>
    </row>
    <row r="4123" spans="1:4" x14ac:dyDescent="0.2">
      <c r="A4123" s="5">
        <v>4062</v>
      </c>
      <c r="B4123" s="138">
        <f>'Acct Summary 7-8'!D10</f>
        <v>1087598</v>
      </c>
      <c r="C4123" s="2" t="s">
        <v>594</v>
      </c>
      <c r="D4123" s="2" t="str">
        <f t="shared" si="63"/>
        <v>Error?</v>
      </c>
    </row>
    <row r="4124" spans="1:4" x14ac:dyDescent="0.2">
      <c r="A4124" s="5">
        <v>4063</v>
      </c>
      <c r="B4124" s="138">
        <f>'Acct Summary 7-8'!E10</f>
        <v>261912</v>
      </c>
      <c r="C4124" s="2" t="s">
        <v>594</v>
      </c>
      <c r="D4124" s="2" t="str">
        <f t="shared" si="63"/>
        <v>Error?</v>
      </c>
    </row>
    <row r="4125" spans="1:4" x14ac:dyDescent="0.2">
      <c r="A4125" s="5">
        <v>4064</v>
      </c>
      <c r="B4125" s="138">
        <f>'Acct Summary 7-8'!F10</f>
        <v>512821</v>
      </c>
      <c r="C4125" s="2" t="s">
        <v>594</v>
      </c>
      <c r="D4125" s="2" t="str">
        <f t="shared" si="63"/>
        <v>Error?</v>
      </c>
    </row>
    <row r="4126" spans="1:4" x14ac:dyDescent="0.2">
      <c r="A4126" s="5">
        <v>4065</v>
      </c>
      <c r="B4126" s="138">
        <f>'Acct Summary 7-8'!G10</f>
        <v>377751</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29436</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3200631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12366029</v>
      </c>
      <c r="C4136" s="2" t="s">
        <v>594</v>
      </c>
      <c r="D4136" s="2" t="str">
        <f t="shared" si="63"/>
        <v>Error?</v>
      </c>
    </row>
    <row r="4137" spans="1:4" x14ac:dyDescent="0.2">
      <c r="A4137" s="5">
        <v>4076</v>
      </c>
      <c r="B4137" s="138">
        <f>'Acct Summary 7-8'!D19</f>
        <v>930248</v>
      </c>
      <c r="C4137" s="2" t="s">
        <v>594</v>
      </c>
      <c r="D4137" s="2" t="str">
        <f t="shared" si="63"/>
        <v>Error?</v>
      </c>
    </row>
    <row r="4138" spans="1:4" x14ac:dyDescent="0.2">
      <c r="A4138" s="5">
        <v>4077</v>
      </c>
      <c r="B4138" s="138">
        <f>'Acct Summary 7-8'!E19</f>
        <v>299226</v>
      </c>
      <c r="C4138" s="2" t="s">
        <v>594</v>
      </c>
      <c r="D4138" s="2" t="str">
        <f t="shared" si="63"/>
        <v>Error?</v>
      </c>
    </row>
    <row r="4139" spans="1:4" x14ac:dyDescent="0.2">
      <c r="A4139" s="5">
        <v>4078</v>
      </c>
      <c r="B4139" s="138">
        <f>'Acct Summary 7-8'!F19</f>
        <v>562098</v>
      </c>
      <c r="C4139" s="2" t="s">
        <v>594</v>
      </c>
      <c r="D4139" s="2" t="str">
        <f t="shared" si="63"/>
        <v>Error?</v>
      </c>
    </row>
    <row r="4140" spans="1:4" x14ac:dyDescent="0.2">
      <c r="A4140" s="5">
        <v>4079</v>
      </c>
      <c r="B4140" s="138">
        <f>'Acct Summary 7-8'!G19</f>
        <v>370570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3544477</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267510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77761</v>
      </c>
      <c r="D4210" s="2" t="str">
        <f t="shared" si="64"/>
        <v>Error?</v>
      </c>
    </row>
    <row r="4211" spans="1:4" x14ac:dyDescent="0.2">
      <c r="A4211" s="5">
        <v>4150</v>
      </c>
      <c r="B4211" s="138">
        <f>'Expenditures 15-22'!K206</f>
        <v>77761</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2284.2999999999997</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2984</v>
      </c>
      <c r="C4268" s="2" t="s">
        <v>594</v>
      </c>
      <c r="D4268" s="2" t="str">
        <f t="shared" si="65"/>
        <v>Error?</v>
      </c>
    </row>
    <row r="4269" spans="1:5" x14ac:dyDescent="0.2">
      <c r="A4269" s="12">
        <v>4208</v>
      </c>
      <c r="B4269" s="138">
        <f>'FP Info 3'!J16</f>
        <v>3411464</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21100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11041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42138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36393</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36393</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14400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58609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2984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32499</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57765321</v>
      </c>
      <c r="D4995" s="2" t="str">
        <f t="shared" si="77"/>
        <v>Error?</v>
      </c>
    </row>
    <row r="4996" spans="1:4" x14ac:dyDescent="0.2">
      <c r="A4996" s="12">
        <v>4935</v>
      </c>
      <c r="B4996" s="138">
        <f>'FP Info 3'!H31</f>
        <v>7971614.2980000004</v>
      </c>
      <c r="D4996" s="2" t="str">
        <f t="shared" si="77"/>
        <v>Error?</v>
      </c>
    </row>
    <row r="4997" spans="1:4" x14ac:dyDescent="0.2">
      <c r="A4997" s="12">
        <v>4936</v>
      </c>
      <c r="B4997" s="138">
        <f>'FP Info 3'!H37</f>
        <v>3544477</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155478</v>
      </c>
      <c r="C5012" s="2" t="s">
        <v>594</v>
      </c>
      <c r="D5012" s="2" t="str">
        <f t="shared" si="77"/>
        <v>Error?</v>
      </c>
    </row>
    <row r="5013" spans="1:4" x14ac:dyDescent="0.2">
      <c r="A5013" s="5">
        <v>4952</v>
      </c>
      <c r="B5013" s="138">
        <f>'Acct Summary 7-8'!D27</f>
        <v>10197</v>
      </c>
      <c r="D5013" s="2" t="str">
        <f t="shared" si="77"/>
        <v>Error?</v>
      </c>
    </row>
    <row r="5014" spans="1:4" x14ac:dyDescent="0.2">
      <c r="A5014" s="5">
        <v>4953</v>
      </c>
      <c r="B5014" s="138">
        <f>'Acct Summary 7-8'!F27</f>
        <v>28388</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40563</v>
      </c>
      <c r="D5022" s="2" t="str">
        <f t="shared" si="77"/>
        <v>Error?</v>
      </c>
    </row>
    <row r="5023" spans="1:4" x14ac:dyDescent="0.2">
      <c r="A5023" s="5">
        <v>4962</v>
      </c>
      <c r="B5023" s="138">
        <f>'Acct Summary 7-8'!D49</f>
        <v>153500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1369861</v>
      </c>
      <c r="D5061" s="2" t="str">
        <f t="shared" si="78"/>
        <v>Error?</v>
      </c>
    </row>
    <row r="5062" spans="1:4" x14ac:dyDescent="0.2">
      <c r="A5062" s="10">
        <v>5001</v>
      </c>
      <c r="D5062" s="2" t="str">
        <f t="shared" si="78"/>
        <v>OK</v>
      </c>
    </row>
    <row r="5063" spans="1:4" x14ac:dyDescent="0.2">
      <c r="A5063" s="5">
        <v>5002</v>
      </c>
      <c r="B5063" s="138">
        <f>'Revenues 9-14'!C7</f>
        <v>23505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1393366</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250000</v>
      </c>
      <c r="D5070" s="2" t="str">
        <f t="shared" si="78"/>
        <v>Error?</v>
      </c>
    </row>
    <row r="5071" spans="1:4" x14ac:dyDescent="0.2">
      <c r="A5071" s="5">
        <v>5010</v>
      </c>
      <c r="B5071" s="138">
        <f>'Revenues 9-14'!C18</f>
        <v>250000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37898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37898</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4177</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52789</v>
      </c>
      <c r="C5096" s="2" t="s">
        <v>594</v>
      </c>
      <c r="D5096" s="2" t="str">
        <f t="shared" si="78"/>
        <v>Error?</v>
      </c>
    </row>
    <row r="5097" spans="1:4" x14ac:dyDescent="0.2">
      <c r="A5097" s="5">
        <v>5036</v>
      </c>
      <c r="B5097" s="138">
        <f>'Revenues 9-14'!C77</f>
        <v>54759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2775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57534</v>
      </c>
      <c r="C5102" s="2" t="s">
        <v>594</v>
      </c>
      <c r="D5102" s="2" t="str">
        <f t="shared" si="78"/>
        <v>Error?</v>
      </c>
    </row>
    <row r="5103" spans="1:4" x14ac:dyDescent="0.2">
      <c r="A5103" s="5">
        <v>5042</v>
      </c>
      <c r="B5103" s="138">
        <f>'Revenues 9-14'!C84</f>
        <v>14252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14252</v>
      </c>
      <c r="C5112" s="2" t="s">
        <v>594</v>
      </c>
      <c r="D5112" s="2" t="str">
        <f t="shared" si="78"/>
        <v>Error?</v>
      </c>
    </row>
    <row r="5113" spans="1:4" x14ac:dyDescent="0.2">
      <c r="A5113" s="5">
        <v>5052</v>
      </c>
      <c r="B5113" s="138">
        <f>'Revenues 9-14'!C95</f>
        <v>920</v>
      </c>
      <c r="D5113" s="2" t="str">
        <f t="shared" si="78"/>
        <v>Error?</v>
      </c>
    </row>
    <row r="5114" spans="1:4" x14ac:dyDescent="0.2">
      <c r="A5114" s="5">
        <v>5053</v>
      </c>
      <c r="B5114" s="138">
        <f>'Revenues 9-14'!C96</f>
        <v>27353</v>
      </c>
      <c r="D5114" s="2" t="str">
        <f t="shared" si="78"/>
        <v>Error?</v>
      </c>
    </row>
    <row r="5115" spans="1:4" x14ac:dyDescent="0.2">
      <c r="A5115" s="5">
        <v>5054</v>
      </c>
      <c r="B5115" s="138">
        <f>'Revenues 9-14'!C98</f>
        <v>0</v>
      </c>
      <c r="D5115" s="2" t="str">
        <f t="shared" si="78"/>
        <v>Error?</v>
      </c>
    </row>
    <row r="5116" spans="1:4" x14ac:dyDescent="0.2">
      <c r="A5116" s="5">
        <v>5055</v>
      </c>
      <c r="B5116" s="138">
        <f>'Revenues 9-14'!C99</f>
        <v>45605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199476</v>
      </c>
      <c r="D5119" s="2" t="str">
        <f t="shared" ref="D5119:D5182" si="79">IF(ISBLANK(B5119),"OK",IF(A5119-B5119=0,"OK","Error?"))</f>
        <v>Error?</v>
      </c>
    </row>
    <row r="5120" spans="1:4" x14ac:dyDescent="0.2">
      <c r="A5120" s="5">
        <v>5059</v>
      </c>
      <c r="B5120" s="138">
        <f>'Revenues 9-14'!C108</f>
        <v>276304</v>
      </c>
      <c r="C5120" s="2" t="s">
        <v>594</v>
      </c>
      <c r="D5120" s="2" t="str">
        <f t="shared" si="79"/>
        <v>Error?</v>
      </c>
    </row>
    <row r="5121" spans="1:4" x14ac:dyDescent="0.2">
      <c r="A5121" s="5">
        <v>5060</v>
      </c>
      <c r="B5121" s="138">
        <f>'Revenues 9-14'!C109</f>
        <v>2082143</v>
      </c>
      <c r="C5121" s="2" t="s">
        <v>594</v>
      </c>
      <c r="D5121" s="2" t="str">
        <f t="shared" si="79"/>
        <v>Error?</v>
      </c>
    </row>
    <row r="5122" spans="1:4" x14ac:dyDescent="0.2">
      <c r="A5122" s="5">
        <v>5061</v>
      </c>
      <c r="B5122" s="138">
        <f>'Revenues 9-14'!C111</f>
        <v>38799</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38799</v>
      </c>
      <c r="C5125" s="2" t="s">
        <v>594</v>
      </c>
      <c r="D5125" s="2" t="str">
        <f t="shared" si="79"/>
        <v>Error?</v>
      </c>
    </row>
    <row r="5126" spans="1:4" x14ac:dyDescent="0.2">
      <c r="A5126" s="5">
        <v>5065</v>
      </c>
      <c r="B5126" s="138">
        <f>'Revenues 9-14'!C117</f>
        <v>6497542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6497542</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80121</v>
      </c>
      <c r="D5134" s="2" t="str">
        <f t="shared" si="79"/>
        <v>Error?</v>
      </c>
    </row>
    <row r="5135" spans="1:4" x14ac:dyDescent="0.2">
      <c r="A5135" s="5">
        <v>5074</v>
      </c>
      <c r="B5135" s="138">
        <f>'Revenues 9-14'!C126</f>
        <v>80916</v>
      </c>
      <c r="D5135" s="2" t="str">
        <f t="shared" si="79"/>
        <v>Error?</v>
      </c>
    </row>
    <row r="5136" spans="1:4" x14ac:dyDescent="0.2">
      <c r="A5136" s="10">
        <v>5075</v>
      </c>
      <c r="D5136" s="2" t="str">
        <f t="shared" si="79"/>
        <v>OK</v>
      </c>
    </row>
    <row r="5137" spans="1:4" x14ac:dyDescent="0.2">
      <c r="A5137" s="5">
        <v>5076</v>
      </c>
      <c r="B5137" s="138">
        <f>'Revenues 9-14'!C127</f>
        <v>5203</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166240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23995</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34448</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5891</v>
      </c>
      <c r="D5167" s="2" t="str">
        <f t="shared" si="79"/>
        <v>Error?</v>
      </c>
    </row>
    <row r="5168" spans="1:4" x14ac:dyDescent="0.2">
      <c r="A5168" s="5">
        <v>5107</v>
      </c>
      <c r="B5168" s="138">
        <f>'Revenues 9-14'!C147</f>
        <v>14768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79270</v>
      </c>
      <c r="D5194" s="2" t="str">
        <f t="shared" si="80"/>
        <v>Error?</v>
      </c>
    </row>
    <row r="5195" spans="1:4" x14ac:dyDescent="0.2">
      <c r="A5195" s="10">
        <v>5134</v>
      </c>
      <c r="D5195" s="2" t="str">
        <f t="shared" si="80"/>
        <v>OK</v>
      </c>
    </row>
    <row r="5196" spans="1:4" x14ac:dyDescent="0.2">
      <c r="A5196" s="5">
        <v>5135</v>
      </c>
      <c r="B5196" s="138">
        <f>'Revenues 9-14'!C158</f>
        <v>503425</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1574</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838115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7335657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279651</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56580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357331</v>
      </c>
      <c r="C5246" s="2" t="s">
        <v>594</v>
      </c>
      <c r="D5246" s="2" t="str">
        <f t="shared" si="80"/>
        <v>Error?</v>
      </c>
    </row>
    <row r="5247" spans="1:4" x14ac:dyDescent="0.2">
      <c r="A5247" s="5">
        <v>5186</v>
      </c>
      <c r="B5247" s="138">
        <f>'Revenues 9-14'!C203</f>
        <v>568843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14400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568843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2234</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2234</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3940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3940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1094929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1094929</v>
      </c>
      <c r="C5326" s="2" t="s">
        <v>594</v>
      </c>
      <c r="D5326" s="2" t="str">
        <f t="shared" si="82"/>
        <v>Error?</v>
      </c>
    </row>
    <row r="5327" spans="1:4" x14ac:dyDescent="0.2">
      <c r="A5327" s="5">
        <v>5266</v>
      </c>
      <c r="B5327" s="138">
        <f>'Revenues 9-14'!C275</f>
        <v>10551528</v>
      </c>
      <c r="C5327" s="2" t="s">
        <v>594</v>
      </c>
      <c r="D5327" s="2" t="str">
        <f t="shared" si="82"/>
        <v>Error?</v>
      </c>
    </row>
    <row r="5328" spans="1:4" x14ac:dyDescent="0.2">
      <c r="A5328" s="5">
        <v>5267</v>
      </c>
      <c r="B5328" s="138">
        <f>'Revenues 9-14'!D5</f>
        <v>293808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293808</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213771</v>
      </c>
      <c r="D5337" s="2" t="str">
        <f t="shared" si="82"/>
        <v>Error?</v>
      </c>
    </row>
    <row r="5338" spans="1:4" x14ac:dyDescent="0.2">
      <c r="A5338" s="5">
        <v>5277</v>
      </c>
      <c r="B5338" s="138">
        <f>'Revenues 9-14'!D17</f>
        <v>567575</v>
      </c>
      <c r="D5338" s="2" t="str">
        <f t="shared" si="82"/>
        <v>Error?</v>
      </c>
    </row>
    <row r="5339" spans="1:4" x14ac:dyDescent="0.2">
      <c r="A5339" s="5">
        <v>5278</v>
      </c>
      <c r="B5339" s="138">
        <f>'Revenues 9-14'!D18</f>
        <v>781346</v>
      </c>
      <c r="C5339" s="2" t="s">
        <v>594</v>
      </c>
      <c r="D5339" s="2" t="str">
        <f t="shared" si="82"/>
        <v>Error?</v>
      </c>
    </row>
    <row r="5340" spans="1:4" x14ac:dyDescent="0.2">
      <c r="A5340" s="5">
        <v>5279</v>
      </c>
      <c r="B5340" s="138">
        <f>'Revenues 9-14'!D65</f>
        <v>1374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1374</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11070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11070</v>
      </c>
      <c r="C5355" s="2" t="s">
        <v>594</v>
      </c>
      <c r="D5355" s="2" t="str">
        <f t="shared" si="82"/>
        <v>Error?</v>
      </c>
    </row>
    <row r="5356" spans="1:4" x14ac:dyDescent="0.2">
      <c r="A5356" s="5">
        <v>5295</v>
      </c>
      <c r="B5356" s="138">
        <f>'Revenues 9-14'!D109</f>
        <v>1087598</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1087598</v>
      </c>
      <c r="C5508" s="2" t="s">
        <v>594</v>
      </c>
      <c r="D5508" s="2" t="str">
        <f t="shared" si="85"/>
        <v>Error?</v>
      </c>
    </row>
    <row r="5509" spans="1:4" x14ac:dyDescent="0.2">
      <c r="A5509" s="5">
        <v>5448</v>
      </c>
      <c r="B5509" s="138">
        <f>'Revenues 9-14'!E5</f>
        <v>261888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261888</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24</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261912</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261912</v>
      </c>
      <c r="C5552" s="2" t="s">
        <v>594</v>
      </c>
      <c r="D5552" s="2" t="str">
        <f t="shared" si="85"/>
        <v>Error?</v>
      </c>
    </row>
    <row r="5553" spans="1:4" x14ac:dyDescent="0.2">
      <c r="A5553" s="5">
        <v>5492</v>
      </c>
      <c r="B5553" s="138">
        <f>'Revenues 9-14'!F5</f>
        <v>117524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117524</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24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24</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117548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234467</v>
      </c>
      <c r="D5615" s="2" t="str">
        <f t="shared" si="86"/>
        <v>Error?</v>
      </c>
    </row>
    <row r="5616" spans="1:4" x14ac:dyDescent="0.2">
      <c r="A5616" s="10">
        <v>5555</v>
      </c>
      <c r="D5616" s="2" t="str">
        <f t="shared" si="86"/>
        <v>OK</v>
      </c>
    </row>
    <row r="5617" spans="1:4" x14ac:dyDescent="0.2">
      <c r="A5617" s="5">
        <v>5556</v>
      </c>
      <c r="B5617" s="138">
        <f>'Revenues 9-14'!F152</f>
        <v>160806</v>
      </c>
      <c r="D5617" s="2" t="str">
        <f t="shared" si="86"/>
        <v>Error?</v>
      </c>
    </row>
    <row r="5618" spans="1:4" x14ac:dyDescent="0.2">
      <c r="A5618" s="5">
        <v>5557</v>
      </c>
      <c r="B5618" s="138">
        <f>'Revenues 9-14'!F154</f>
        <v>395273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395273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395273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512821</v>
      </c>
      <c r="C5720" s="2" t="s">
        <v>594</v>
      </c>
      <c r="D5720" s="2" t="str">
        <f t="shared" si="88"/>
        <v>Error?</v>
      </c>
    </row>
    <row r="5721" spans="1:4" x14ac:dyDescent="0.2">
      <c r="A5721" s="5">
        <v>5660</v>
      </c>
      <c r="B5721" s="138">
        <f>'Revenues 9-14'!G5</f>
        <v>221318</v>
      </c>
      <c r="D5721" s="2" t="str">
        <f t="shared" si="88"/>
        <v>Error?</v>
      </c>
    </row>
    <row r="5722" spans="1:4" x14ac:dyDescent="0.2">
      <c r="A5722" s="5">
        <v>5661</v>
      </c>
      <c r="B5722" s="138">
        <f>'Revenues 9-14'!G7</f>
        <v>0</v>
      </c>
      <c r="D5722" s="2" t="str">
        <f t="shared" si="88"/>
        <v>Error?</v>
      </c>
    </row>
    <row r="5723" spans="1:4" x14ac:dyDescent="0.2">
      <c r="A5723" s="5">
        <v>5662</v>
      </c>
      <c r="B5723" s="138">
        <f>'Revenues 9-14'!G8</f>
        <v>155928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377246</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505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505</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377751</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29380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29380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56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56</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29436</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377751</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29436</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48612</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48637</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1040.71</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60376</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60376</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60376</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73784</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73784</v>
      </c>
      <c r="D6229" s="2" t="str">
        <f t="shared" si="96"/>
        <v>Error?</v>
      </c>
      <c r="E6229" s="2" t="s">
        <v>199</v>
      </c>
    </row>
    <row r="6230" spans="1:5" x14ac:dyDescent="0.2">
      <c r="A6230">
        <v>6169</v>
      </c>
      <c r="B6230" s="138">
        <f>'Acct Summary 7-8'!J20</f>
        <v>-13408</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13408</v>
      </c>
      <c r="D6237" s="2" t="str">
        <f t="shared" si="96"/>
        <v>Error?</v>
      </c>
      <c r="E6237" s="2" t="s">
        <v>199</v>
      </c>
    </row>
    <row r="6238" spans="1:5" x14ac:dyDescent="0.2">
      <c r="A6238">
        <v>6177</v>
      </c>
      <c r="B6238" s="138">
        <f>'Acct Summary 7-8'!J44</f>
        <v>13408</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13408</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1501045</v>
      </c>
      <c r="D6267" s="2" t="str">
        <f t="shared" si="96"/>
        <v>Error?</v>
      </c>
      <c r="E6267" s="2" t="s">
        <v>199</v>
      </c>
    </row>
    <row r="6268" spans="1:5" x14ac:dyDescent="0.2">
      <c r="A6268">
        <v>6207</v>
      </c>
      <c r="B6268" s="138">
        <f>'Acct Summary 7-8'!D82</f>
        <v>-34550</v>
      </c>
      <c r="D6268" s="2" t="str">
        <f t="shared" si="96"/>
        <v>Error?</v>
      </c>
      <c r="E6268" s="2" t="s">
        <v>199</v>
      </c>
    </row>
    <row r="6269" spans="1:5" x14ac:dyDescent="0.2">
      <c r="A6269">
        <v>6208</v>
      </c>
      <c r="B6269" s="138">
        <f>'Acct Summary 7-8'!E82</f>
        <v>-2127</v>
      </c>
      <c r="D6269" s="2" t="str">
        <f t="shared" si="96"/>
        <v>Error?</v>
      </c>
      <c r="E6269" s="2" t="s">
        <v>199</v>
      </c>
    </row>
    <row r="6270" spans="1:5" x14ac:dyDescent="0.2">
      <c r="A6270">
        <v>6209</v>
      </c>
      <c r="B6270" s="138">
        <f>'Acct Summary 7-8'!F82</f>
        <v>15461</v>
      </c>
      <c r="D6270" s="2" t="str">
        <f t="shared" si="96"/>
        <v>Error?</v>
      </c>
      <c r="E6270" s="2" t="s">
        <v>199</v>
      </c>
    </row>
    <row r="6271" spans="1:5" x14ac:dyDescent="0.2">
      <c r="A6271">
        <v>6210</v>
      </c>
      <c r="B6271" s="138">
        <f>'Acct Summary 7-8'!G82</f>
        <v>7181</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0.5085631539592369</v>
      </c>
      <c r="D6276" s="2" t="str">
        <f t="shared" si="97"/>
        <v>Error?</v>
      </c>
      <c r="E6276" s="2" t="s">
        <v>199</v>
      </c>
    </row>
    <row r="6277" spans="1:5" x14ac:dyDescent="0.2">
      <c r="A6277">
        <v>6216</v>
      </c>
      <c r="B6277" s="138">
        <f>'Acct Summary 7-8'!D83</f>
        <v>-7.7734429490035145E-2</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1</v>
      </c>
      <c r="D6279" s="2" t="str">
        <f t="shared" si="97"/>
        <v>Error?</v>
      </c>
      <c r="E6279" s="2" t="s">
        <v>199</v>
      </c>
    </row>
    <row r="6280" spans="1:5" x14ac:dyDescent="0.2">
      <c r="A6280">
        <v>6219</v>
      </c>
      <c r="B6280" s="138">
        <f>'Acct Summary 7-8'!G83</f>
        <v>5.8618972596589471E-2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f>'Acct Summary 7-8'!K83</f>
        <v>0</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60364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60364</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12</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12</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2950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60376</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10453</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212215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354251</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61742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252796</v>
      </c>
      <c r="D7018" s="2" t="str">
        <f t="shared" si="108"/>
        <v>Error?</v>
      </c>
    </row>
    <row r="7019" spans="1:4" x14ac:dyDescent="0.2">
      <c r="A7019">
        <v>6958</v>
      </c>
      <c r="B7019" s="138">
        <f>'Expenditures 15-22'!K112</f>
        <v>252796</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73784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60376</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2947</v>
      </c>
      <c r="D7067" s="2" t="str">
        <f t="shared" si="109"/>
        <v>Error?</v>
      </c>
    </row>
    <row r="7068" spans="1:4" x14ac:dyDescent="0.2">
      <c r="A7068">
        <v>7007</v>
      </c>
      <c r="B7068" s="138">
        <f>'Expenditures 15-22'!K205</f>
        <v>2947</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638</v>
      </c>
      <c r="D7073" s="2" t="str">
        <f t="shared" si="109"/>
        <v>Error?</v>
      </c>
    </row>
    <row r="7074" spans="1:4" x14ac:dyDescent="0.2">
      <c r="A7074">
        <v>7013</v>
      </c>
      <c r="B7074" s="138">
        <f>'Expenditures 15-22'!K216</f>
        <v>638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540</v>
      </c>
      <c r="D7079" s="2" t="str">
        <f t="shared" si="109"/>
        <v>Error?</v>
      </c>
    </row>
    <row r="7080" spans="1:4" x14ac:dyDescent="0.2">
      <c r="A7080">
        <v>7019</v>
      </c>
      <c r="B7080" s="138">
        <f>'Expenditures 15-22'!K226</f>
        <v>540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47232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47232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26552</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26552</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73784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73784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73784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73784</v>
      </c>
      <c r="D7224" s="2" t="str">
        <f t="shared" si="111"/>
        <v>Error?</v>
      </c>
    </row>
    <row r="7225" spans="1:4" x14ac:dyDescent="0.2">
      <c r="A7225">
        <v>7164</v>
      </c>
      <c r="B7225" s="138">
        <f>'Expenditures 15-22'!K343</f>
        <v>-13408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64558</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9408</v>
      </c>
      <c r="D7248" s="2" t="str">
        <f t="shared" si="112"/>
        <v>Error?</v>
      </c>
    </row>
    <row r="7249" spans="1:4" x14ac:dyDescent="0.2">
      <c r="A7249">
        <f t="shared" si="113"/>
        <v>7188</v>
      </c>
      <c r="B7249" s="138">
        <f>'Expenditures 15-22'!G7</f>
        <v>68070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44645</v>
      </c>
      <c r="D7263" s="2" t="str">
        <f t="shared" si="112"/>
        <v>Error?</v>
      </c>
    </row>
    <row r="7264" spans="1:4" x14ac:dyDescent="0.2">
      <c r="A7264">
        <f t="shared" si="113"/>
        <v>7203</v>
      </c>
      <c r="B7264" s="138">
        <f>'Expenditures 15-22'!D17</f>
        <v>12315</v>
      </c>
      <c r="D7264" s="2" t="str">
        <f t="shared" si="112"/>
        <v>Error?</v>
      </c>
    </row>
    <row r="7265" spans="1:5" x14ac:dyDescent="0.2">
      <c r="A7265">
        <f t="shared" si="113"/>
        <v>7204</v>
      </c>
      <c r="B7265" s="138">
        <f>'Expenditures 15-22'!E17</f>
        <v>991</v>
      </c>
      <c r="D7265" s="2" t="str">
        <f t="shared" si="112"/>
        <v>Error?</v>
      </c>
    </row>
    <row r="7266" spans="1:5" x14ac:dyDescent="0.2">
      <c r="A7266">
        <f t="shared" si="113"/>
        <v>7205</v>
      </c>
      <c r="B7266" s="138">
        <f>'Expenditures 15-22'!F17</f>
        <v>3791</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446770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428035</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2950</v>
      </c>
      <c r="D7712" s="2" t="str">
        <f t="shared" si="126"/>
        <v>Error?</v>
      </c>
      <c r="E7712" s="2" t="s">
        <v>881</v>
      </c>
    </row>
    <row r="7713" spans="1:6" x14ac:dyDescent="0.2">
      <c r="A7713">
        <v>7652</v>
      </c>
      <c r="B7713" s="138">
        <f>'Rest Tax Levies-Tort Im 25'!J8</f>
        <v>567575</v>
      </c>
      <c r="D7713" s="2" t="str">
        <f t="shared" si="126"/>
        <v>Error?</v>
      </c>
      <c r="E7713" s="2" t="s">
        <v>881</v>
      </c>
    </row>
    <row r="7714" spans="1:6" x14ac:dyDescent="0.2">
      <c r="A7714">
        <v>7653</v>
      </c>
      <c r="B7714" s="138">
        <f>'Rest Tax Levies-Tort Im 25'!K9</f>
        <v>14768</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567575</v>
      </c>
      <c r="D7718" s="2" t="str">
        <f t="shared" si="126"/>
        <v>Error?</v>
      </c>
      <c r="E7718" s="2" t="s">
        <v>881</v>
      </c>
    </row>
    <row r="7719" spans="1:6" x14ac:dyDescent="0.2">
      <c r="A7719">
        <v>7658</v>
      </c>
      <c r="B7719" s="138">
        <f>'Rest Tax Levies-Tort Im 25'!K12</f>
        <v>17718</v>
      </c>
      <c r="D7719" s="2" t="str">
        <f t="shared" si="126"/>
        <v>Error?</v>
      </c>
      <c r="E7719" s="2" t="s">
        <v>881</v>
      </c>
    </row>
    <row r="7720" spans="1:6" x14ac:dyDescent="0.2">
      <c r="A7720">
        <v>7659</v>
      </c>
      <c r="B7720" s="138">
        <f>'Rest Tax Levies-Tort Im 25'!H14</f>
        <v>23605</v>
      </c>
      <c r="D7720" s="2" t="str">
        <f t="shared" si="126"/>
        <v>Error?</v>
      </c>
      <c r="E7720" s="2" t="s">
        <v>881</v>
      </c>
    </row>
    <row r="7721" spans="1:6" x14ac:dyDescent="0.2">
      <c r="A7721">
        <v>7660</v>
      </c>
      <c r="B7721" s="138">
        <f>'Rest Tax Levies-Tort Im 25'!K14</f>
        <v>17718</v>
      </c>
      <c r="D7721" s="2" t="str">
        <f t="shared" si="126"/>
        <v>Error?</v>
      </c>
      <c r="E7721" s="2" t="s">
        <v>881</v>
      </c>
    </row>
    <row r="7722" spans="1:6" x14ac:dyDescent="0.2">
      <c r="A7722">
        <v>7661</v>
      </c>
      <c r="B7722" s="138">
        <f>'Rest Tax Levies-Tort Im 25'!J15</f>
        <v>523479</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523479</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472131</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332591</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139540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1965</v>
      </c>
    </row>
    <row r="7775" spans="1:5" x14ac:dyDescent="0.2">
      <c r="A7775">
        <v>7714</v>
      </c>
      <c r="B7775" s="138">
        <f>'Expenditures 15-22'!H133</f>
        <v>0</v>
      </c>
      <c r="D7775" s="2" t="str">
        <f t="shared" si="127"/>
        <v>Error?</v>
      </c>
      <c r="E7775" s="4" t="s">
        <v>1965</v>
      </c>
    </row>
    <row r="7776" spans="1:5" x14ac:dyDescent="0.2">
      <c r="A7776">
        <v>7715</v>
      </c>
      <c r="B7776" s="138">
        <f>'Expenditures 15-22'!K133</f>
        <v>0</v>
      </c>
      <c r="D7776" s="2" t="str">
        <f t="shared" si="127"/>
        <v>Error?</v>
      </c>
      <c r="E7776" s="4" t="s">
        <v>1965</v>
      </c>
    </row>
    <row r="7777" spans="1:5" x14ac:dyDescent="0.2">
      <c r="A7777">
        <v>7716</v>
      </c>
      <c r="B7777" s="138">
        <f>'Expenditures 15-22'!H157</f>
        <v>0</v>
      </c>
      <c r="D7777" s="2" t="str">
        <f t="shared" si="127"/>
        <v>Error?</v>
      </c>
      <c r="E7777" s="4" t="s">
        <v>1965</v>
      </c>
    </row>
    <row r="7778" spans="1:5" x14ac:dyDescent="0.2">
      <c r="A7778">
        <v>7717</v>
      </c>
      <c r="B7778" s="138">
        <f>'Expenditures 15-22'!K157</f>
        <v>0</v>
      </c>
      <c r="D7778" s="2" t="str">
        <f t="shared" si="127"/>
        <v>Error?</v>
      </c>
      <c r="E7778" s="4" t="s">
        <v>1965</v>
      </c>
    </row>
    <row r="7779" spans="1:5" x14ac:dyDescent="0.2">
      <c r="A7779">
        <v>7718</v>
      </c>
      <c r="B7779" s="138">
        <f>'Expenditures 15-22'!H158</f>
        <v>0</v>
      </c>
      <c r="D7779" s="2" t="str">
        <f t="shared" si="127"/>
        <v>Error?</v>
      </c>
      <c r="E7779" s="4" t="s">
        <v>1965</v>
      </c>
    </row>
    <row r="7780" spans="1:5" x14ac:dyDescent="0.2">
      <c r="A7780">
        <v>7719</v>
      </c>
      <c r="B7780" s="138">
        <f>'Expenditures 15-22'!K158</f>
        <v>0</v>
      </c>
      <c r="D7780" s="2" t="str">
        <f t="shared" si="127"/>
        <v>Error?</v>
      </c>
      <c r="E7780" s="4" t="s">
        <v>1965</v>
      </c>
    </row>
    <row r="7781" spans="1:5" x14ac:dyDescent="0.2">
      <c r="A7781">
        <v>7720</v>
      </c>
      <c r="B7781" s="138">
        <f>'Expenditures 15-22'!H159</f>
        <v>0</v>
      </c>
      <c r="D7781" s="2" t="str">
        <f t="shared" si="127"/>
        <v>Error?</v>
      </c>
      <c r="E7781" s="4" t="s">
        <v>1965</v>
      </c>
    </row>
    <row r="7782" spans="1:5" x14ac:dyDescent="0.2">
      <c r="A7782">
        <v>7721</v>
      </c>
      <c r="B7782" s="138">
        <f>'Expenditures 15-22'!K159</f>
        <v>0</v>
      </c>
      <c r="D7782" s="2" t="str">
        <f t="shared" si="127"/>
        <v>Error?</v>
      </c>
      <c r="E7782" s="4" t="s">
        <v>1965</v>
      </c>
    </row>
    <row r="7783" spans="1:5" x14ac:dyDescent="0.2">
      <c r="A7783">
        <v>7722</v>
      </c>
      <c r="B7783" s="138">
        <f>'Expenditures 15-22'!D282</f>
        <v>0</v>
      </c>
      <c r="D7783" s="2" t="str">
        <f t="shared" si="127"/>
        <v>Error?</v>
      </c>
      <c r="E7783" s="4" t="s">
        <v>1965</v>
      </c>
    </row>
    <row r="7784" spans="1:5" x14ac:dyDescent="0.2">
      <c r="A7784">
        <v>7723</v>
      </c>
      <c r="B7784" s="138">
        <f>'Expenditures 15-22'!K282</f>
        <v>0</v>
      </c>
      <c r="D7784" s="2" t="str">
        <f t="shared" si="127"/>
        <v>Error?</v>
      </c>
      <c r="E7784" s="4" t="s">
        <v>1965</v>
      </c>
    </row>
    <row r="7785" spans="1:5" x14ac:dyDescent="0.2">
      <c r="A7785">
        <v>7724</v>
      </c>
      <c r="B7785" s="138">
        <f>'Expenditures 15-22'!H332</f>
        <v>0</v>
      </c>
      <c r="D7785" s="2" t="str">
        <f t="shared" si="127"/>
        <v>Error?</v>
      </c>
      <c r="E7785" s="4" t="s">
        <v>1965</v>
      </c>
    </row>
    <row r="7786" spans="1:5" x14ac:dyDescent="0.2">
      <c r="A7786">
        <v>7725</v>
      </c>
      <c r="B7786" s="138">
        <f>'Expenditures 15-22'!K332</f>
        <v>0</v>
      </c>
      <c r="D7786" s="2" t="str">
        <f t="shared" si="127"/>
        <v>Error?</v>
      </c>
      <c r="E7786" s="4" t="s">
        <v>1965</v>
      </c>
    </row>
    <row r="7787" spans="1:5" x14ac:dyDescent="0.2">
      <c r="A7787">
        <v>7726</v>
      </c>
      <c r="B7787" s="138">
        <f>'Expenditures 15-22'!H333</f>
        <v>0</v>
      </c>
      <c r="D7787" s="2" t="str">
        <f t="shared" si="127"/>
        <v>Error?</v>
      </c>
      <c r="E7787" s="4" t="s">
        <v>1965</v>
      </c>
    </row>
    <row r="7788" spans="1:5" x14ac:dyDescent="0.2">
      <c r="A7788">
        <v>7727</v>
      </c>
      <c r="B7788" s="138">
        <f>'Expenditures 15-22'!K333</f>
        <v>0</v>
      </c>
      <c r="D7788" s="2" t="str">
        <f t="shared" si="127"/>
        <v>Error?</v>
      </c>
      <c r="E7788" s="4" t="s">
        <v>1965</v>
      </c>
    </row>
    <row r="7789" spans="1:5" x14ac:dyDescent="0.2">
      <c r="A7789">
        <v>7728</v>
      </c>
      <c r="B7789" s="138">
        <f>'Expenditures 15-22'!H334</f>
        <v>0</v>
      </c>
      <c r="D7789" s="2" t="str">
        <f t="shared" si="127"/>
        <v>Error?</v>
      </c>
      <c r="E7789" s="4" t="s">
        <v>1965</v>
      </c>
    </row>
    <row r="7790" spans="1:5" x14ac:dyDescent="0.2">
      <c r="A7790">
        <v>7729</v>
      </c>
      <c r="B7790" s="138">
        <f>'Expenditures 15-22'!K334</f>
        <v>0</v>
      </c>
      <c r="D7790" s="2" t="str">
        <f t="shared" si="127"/>
        <v>Error?</v>
      </c>
      <c r="E7790" s="4" t="s">
        <v>1965</v>
      </c>
    </row>
    <row r="7791" spans="1:5" x14ac:dyDescent="0.2">
      <c r="A7791">
        <v>7730</v>
      </c>
      <c r="B7791" s="138">
        <f>'Expenditures 15-22'!H354</f>
        <v>0</v>
      </c>
      <c r="D7791" s="2" t="str">
        <f t="shared" si="127"/>
        <v>Error?</v>
      </c>
      <c r="E7791" s="4" t="s">
        <v>1965</v>
      </c>
    </row>
    <row r="7792" spans="1:5" x14ac:dyDescent="0.2">
      <c r="A7792">
        <v>7731</v>
      </c>
      <c r="B7792" s="138">
        <f>'Expenditures 15-22'!K354</f>
        <v>0</v>
      </c>
      <c r="D7792" s="2" t="str">
        <f t="shared" si="127"/>
        <v>Error?</v>
      </c>
      <c r="E7792" s="4" t="s">
        <v>1965</v>
      </c>
    </row>
    <row r="7793" spans="1:5" x14ac:dyDescent="0.2">
      <c r="A7793">
        <v>7732</v>
      </c>
      <c r="B7793" s="138">
        <f>'Expenditures 15-22'!H355</f>
        <v>0</v>
      </c>
      <c r="D7793" s="2" t="str">
        <f t="shared" si="127"/>
        <v>Error?</v>
      </c>
      <c r="E7793" s="4" t="s">
        <v>1965</v>
      </c>
    </row>
    <row r="7794" spans="1:5" x14ac:dyDescent="0.2">
      <c r="A7794">
        <v>7733</v>
      </c>
      <c r="B7794" s="138">
        <f>'Expenditures 15-22'!K355</f>
        <v>0</v>
      </c>
      <c r="D7794" s="2" t="str">
        <f t="shared" si="127"/>
        <v>Error?</v>
      </c>
      <c r="E7794" s="4" t="s">
        <v>1965</v>
      </c>
    </row>
    <row r="7795" spans="1:5" x14ac:dyDescent="0.2">
      <c r="A7795">
        <v>7734</v>
      </c>
      <c r="B7795" s="138">
        <f>'Expenditures 15-22'!E138</f>
        <v>0</v>
      </c>
      <c r="D7795" s="2" t="str">
        <f t="shared" si="127"/>
        <v>Error?</v>
      </c>
      <c r="E7795" s="4" t="s">
        <v>1965</v>
      </c>
    </row>
    <row r="7796" spans="1:5" x14ac:dyDescent="0.2">
      <c r="A7796">
        <v>7735</v>
      </c>
      <c r="B7796" s="138">
        <f>'Acct Summary 7-8'!J15</f>
        <v>0</v>
      </c>
      <c r="D7796" s="2" t="str">
        <f t="shared" si="127"/>
        <v>Error?</v>
      </c>
      <c r="E7796" s="4" t="s">
        <v>1965</v>
      </c>
    </row>
    <row r="7797" spans="1:5" x14ac:dyDescent="0.2">
      <c r="A7797">
        <v>7736</v>
      </c>
      <c r="B7797" s="138">
        <f>'Contracts Paid in CY 29'!D132</f>
        <v>445942</v>
      </c>
      <c r="D7797" s="2" t="str">
        <f t="shared" si="127"/>
        <v>Error?</v>
      </c>
      <c r="E7797" s="4" t="s">
        <v>2018</v>
      </c>
    </row>
    <row r="7798" spans="1:5" x14ac:dyDescent="0.2">
      <c r="A7798">
        <v>7737</v>
      </c>
      <c r="B7798" s="138">
        <f>'Contracts Paid in CY 29'!F132</f>
        <v>208155</v>
      </c>
      <c r="D7798" s="2" t="str">
        <f t="shared" si="127"/>
        <v>Error?</v>
      </c>
      <c r="E7798" s="4" t="s">
        <v>2018</v>
      </c>
    </row>
    <row r="7799" spans="1:5" x14ac:dyDescent="0.2">
      <c r="A7799">
        <v>7738</v>
      </c>
      <c r="B7799" s="138">
        <f>'Contracts Paid in CY 29'!G132</f>
        <v>237787</v>
      </c>
      <c r="D7799" s="2" t="str">
        <f t="shared" si="127"/>
        <v>Error?</v>
      </c>
      <c r="E7799" s="4" t="s">
        <v>2018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12" t="s">
        <v>1253</v>
      </c>
      <c r="B2" s="2412"/>
      <c r="C2" s="2412"/>
      <c r="D2" s="2412"/>
      <c r="E2" s="2412"/>
      <c r="F2" s="2412"/>
      <c r="G2" s="2412"/>
      <c r="H2" s="2412"/>
      <c r="I2" s="2412"/>
      <c r="J2" s="2412"/>
      <c r="K2" s="2412"/>
      <c r="L2" s="2412"/>
    </row>
    <row r="3" spans="1:29" ht="13.5" customHeight="1" x14ac:dyDescent="0.2">
      <c r="A3" s="2443" t="s">
        <v>1252</v>
      </c>
      <c r="B3" s="2443"/>
      <c r="C3" s="2443"/>
      <c r="D3" s="2443"/>
      <c r="E3" s="2443"/>
      <c r="F3" s="2443"/>
      <c r="G3" s="2443"/>
      <c r="H3" s="2443"/>
      <c r="I3" s="2443"/>
      <c r="J3" s="2443"/>
      <c r="K3" s="2443"/>
      <c r="L3" s="2443"/>
    </row>
    <row r="4" spans="1:29" ht="13.5" customHeight="1" x14ac:dyDescent="0.2">
      <c r="A4" s="2412" t="s">
        <v>1799</v>
      </c>
      <c r="B4" s="2433"/>
      <c r="C4" s="2433"/>
      <c r="D4" s="2433"/>
      <c r="E4" s="2433"/>
      <c r="F4" s="2433"/>
      <c r="G4" s="2433"/>
      <c r="H4" s="2433"/>
      <c r="I4" s="2433"/>
      <c r="J4" s="2433"/>
      <c r="K4" s="2433"/>
      <c r="L4" s="2433"/>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34" t="str">
        <f>COVER!A17</f>
        <v>Eldorado CUSD 4</v>
      </c>
      <c r="B7" s="2435"/>
      <c r="C7" s="2435"/>
      <c r="D7" s="2436"/>
      <c r="E7" s="2437">
        <f>COVER!A13</f>
        <v>20083004026</v>
      </c>
      <c r="F7" s="2438"/>
      <c r="G7" s="2444" t="str">
        <f>COVER!T23</f>
        <v>060-004547</v>
      </c>
      <c r="H7" s="2445"/>
      <c r="I7" s="2445"/>
      <c r="J7" s="2445"/>
      <c r="K7" s="2445"/>
      <c r="L7" s="2446"/>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47"/>
      <c r="B9" s="2448"/>
      <c r="C9" s="2448"/>
      <c r="D9" s="2448"/>
      <c r="E9" s="2448"/>
      <c r="F9" s="2449"/>
      <c r="G9" s="2418" t="str">
        <f>COVER!T13</f>
        <v>Greg M McCalley PC</v>
      </c>
      <c r="H9" s="2450"/>
      <c r="I9" s="2450"/>
      <c r="J9" s="2450"/>
      <c r="K9" s="2450"/>
      <c r="L9" s="2451"/>
    </row>
    <row r="10" spans="1:29" ht="13.5" customHeight="1" x14ac:dyDescent="0.2">
      <c r="A10" s="2424" t="str">
        <f>COVER!A38</f>
        <v>Ryan Hobbs</v>
      </c>
      <c r="B10" s="2425"/>
      <c r="C10" s="2425"/>
      <c r="D10" s="2425"/>
      <c r="E10" s="2425"/>
      <c r="F10" s="2426"/>
      <c r="G10" s="2418" t="str">
        <f>COVER!T17</f>
        <v>855 E Ferguson Ave</v>
      </c>
      <c r="H10" s="2419"/>
      <c r="I10" s="2419"/>
      <c r="J10" s="2419"/>
      <c r="K10" s="2419"/>
      <c r="L10" s="2420"/>
    </row>
    <row r="11" spans="1:29" ht="13.5" customHeight="1" x14ac:dyDescent="0.2">
      <c r="A11" s="1185" t="s">
        <v>1599</v>
      </c>
      <c r="B11" s="1186"/>
      <c r="C11" s="1187"/>
      <c r="D11" s="1192"/>
      <c r="E11" s="1187"/>
      <c r="F11" s="1191"/>
      <c r="G11" s="2418" t="str">
        <f>COVER!T19</f>
        <v>Wood River</v>
      </c>
      <c r="H11" s="2419"/>
      <c r="I11" s="2419"/>
      <c r="J11" s="2419"/>
      <c r="K11" s="2419"/>
      <c r="L11" s="2420"/>
    </row>
    <row r="12" spans="1:29" ht="13.5" customHeight="1" x14ac:dyDescent="0.2">
      <c r="A12" s="2427" t="s">
        <v>1598</v>
      </c>
      <c r="B12" s="2428"/>
      <c r="C12" s="2428"/>
      <c r="D12" s="2428"/>
      <c r="E12" s="2428"/>
      <c r="F12" s="2429"/>
      <c r="G12" s="2421"/>
      <c r="H12" s="2422"/>
      <c r="I12" s="2422"/>
      <c r="J12" s="2422"/>
      <c r="K12" s="2422"/>
      <c r="L12" s="2423"/>
    </row>
    <row r="13" spans="1:29" ht="13.5" customHeight="1" x14ac:dyDescent="0.2">
      <c r="A13" s="2418"/>
      <c r="B13" s="2419"/>
      <c r="C13" s="2419"/>
      <c r="D13" s="2419"/>
      <c r="E13" s="2419"/>
      <c r="F13" s="2420"/>
      <c r="G13" s="2413" t="s">
        <v>1600</v>
      </c>
      <c r="H13" s="2414"/>
      <c r="I13" s="2430" t="str">
        <f>COVER!T25</f>
        <v>greg@dmacpa.com</v>
      </c>
      <c r="J13" s="2431"/>
      <c r="K13" s="2431"/>
      <c r="L13" s="2432"/>
    </row>
    <row r="14" spans="1:29" ht="13.5" customHeight="1" x14ac:dyDescent="0.2">
      <c r="A14" s="2418" t="str">
        <f>COVER!A19</f>
        <v>200A Illinois Ave</v>
      </c>
      <c r="B14" s="2419"/>
      <c r="C14" s="2419"/>
      <c r="D14" s="2419"/>
      <c r="E14" s="2419"/>
      <c r="F14" s="2420"/>
      <c r="G14" s="1196" t="s">
        <v>1247</v>
      </c>
      <c r="H14" s="1194"/>
      <c r="I14" s="1194"/>
      <c r="J14" s="1194"/>
      <c r="K14" s="1194"/>
      <c r="L14" s="1195"/>
    </row>
    <row r="15" spans="1:29" ht="13.5" customHeight="1" x14ac:dyDescent="0.2">
      <c r="A15" s="2418" t="str">
        <f>COVER!A21</f>
        <v>Eldorado</v>
      </c>
      <c r="B15" s="2419"/>
      <c r="C15" s="2419"/>
      <c r="D15" s="2419"/>
      <c r="E15" s="2419"/>
      <c r="F15" s="2420"/>
      <c r="G15" s="2415" t="str">
        <f>COVER!T15</f>
        <v>Greg McCalley</v>
      </c>
      <c r="H15" s="2416"/>
      <c r="I15" s="2416"/>
      <c r="J15" s="2416"/>
      <c r="K15" s="2416"/>
      <c r="L15" s="2417"/>
    </row>
    <row r="16" spans="1:29" ht="12.2" customHeight="1" x14ac:dyDescent="0.2">
      <c r="A16" s="2440">
        <f>COVER!A25</f>
        <v>62930</v>
      </c>
      <c r="B16" s="2441"/>
      <c r="C16" s="2441"/>
      <c r="D16" s="2441"/>
      <c r="E16" s="2441"/>
      <c r="F16" s="2442"/>
      <c r="G16" s="2452"/>
      <c r="H16" s="2453"/>
      <c r="I16" s="2453"/>
      <c r="J16" s="2453"/>
      <c r="K16" s="2453"/>
      <c r="L16" s="2454"/>
    </row>
    <row r="17" spans="1:13" ht="12.2" customHeight="1" x14ac:dyDescent="0.2">
      <c r="A17" s="2455"/>
      <c r="B17" s="2441"/>
      <c r="C17" s="2441"/>
      <c r="D17" s="2441"/>
      <c r="E17" s="2441"/>
      <c r="F17" s="2442"/>
      <c r="G17" s="1196" t="s">
        <v>1246</v>
      </c>
      <c r="H17" s="1194"/>
      <c r="I17" s="1194"/>
      <c r="J17" s="1194"/>
      <c r="K17" s="1198" t="s">
        <v>1245</v>
      </c>
      <c r="L17" s="1191"/>
      <c r="M17" s="1184"/>
    </row>
    <row r="18" spans="1:13" ht="12.2" customHeight="1" x14ac:dyDescent="0.2">
      <c r="A18" s="2424"/>
      <c r="B18" s="2425"/>
      <c r="C18" s="2425"/>
      <c r="D18" s="2425"/>
      <c r="E18" s="2425"/>
      <c r="F18" s="2426"/>
      <c r="G18" s="2434" t="str">
        <f>COVER!T21</f>
        <v>618 254-8188</v>
      </c>
      <c r="H18" s="2435"/>
      <c r="I18" s="2435"/>
      <c r="J18" s="2435"/>
      <c r="K18" s="2434" t="str">
        <f>COVER!X21</f>
        <v>618 254-8680</v>
      </c>
      <c r="L18" s="2439"/>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1945</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Footer>&amp;C77</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2" sqref="B12"/>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56" t="str">
        <f>'Single Audit Cover'!A7</f>
        <v>Eldorado CUSD 4</v>
      </c>
      <c r="B1" s="2433"/>
      <c r="C1" s="2433"/>
      <c r="D1" s="2433"/>
    </row>
    <row r="2" spans="1:11" s="1215" customFormat="1" ht="12.75" x14ac:dyDescent="0.2">
      <c r="A2" s="2457">
        <f>'Single Audit Cover'!E7</f>
        <v>20083004026</v>
      </c>
      <c r="B2" s="2458"/>
      <c r="C2" s="2458"/>
      <c r="D2" s="2458"/>
    </row>
    <row r="3" spans="1:11" s="1215" customFormat="1" ht="12.75" x14ac:dyDescent="0.2">
      <c r="A3" s="2456" t="s">
        <v>1593</v>
      </c>
      <c r="B3" s="2433"/>
      <c r="C3" s="2433"/>
      <c r="D3" s="2433"/>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1946</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60" t="str">
        <f>'Single Audit Cover'!A7</f>
        <v>Eldorado CUSD 4</v>
      </c>
      <c r="B1" s="2460"/>
      <c r="C1" s="2460"/>
      <c r="D1" s="2460"/>
      <c r="E1" s="2460"/>
    </row>
    <row r="2" spans="1:5" x14ac:dyDescent="0.2">
      <c r="A2" s="2461">
        <f>'Single Audit Cover'!E7</f>
        <v>20083004026</v>
      </c>
      <c r="B2" s="2461"/>
      <c r="C2" s="2461"/>
      <c r="D2" s="2461"/>
      <c r="E2" s="2461"/>
    </row>
    <row r="3" spans="1:5" ht="4.5" customHeight="1" x14ac:dyDescent="0.2"/>
    <row r="4" spans="1:5" x14ac:dyDescent="0.2">
      <c r="A4" s="2460" t="s">
        <v>1307</v>
      </c>
      <c r="B4" s="2460"/>
      <c r="C4" s="2460"/>
      <c r="D4" s="2460"/>
      <c r="E4" s="2460"/>
    </row>
    <row r="5" spans="1:5" x14ac:dyDescent="0.2">
      <c r="A5" s="2463" t="str">
        <f>'Single Audit Cover'!A4</f>
        <v>Year Ending June 30, 2018</v>
      </c>
      <c r="B5" s="2463"/>
      <c r="C5" s="2463"/>
      <c r="D5" s="2463"/>
      <c r="E5" s="2463"/>
    </row>
    <row r="6" spans="1:5" x14ac:dyDescent="0.2">
      <c r="A6" s="2460" t="s">
        <v>1306</v>
      </c>
      <c r="B6" s="2460"/>
      <c r="C6" s="2460"/>
      <c r="D6" s="2460"/>
      <c r="E6" s="2460"/>
    </row>
    <row r="8" spans="1:5" x14ac:dyDescent="0.2">
      <c r="A8" s="1260" t="s">
        <v>1305</v>
      </c>
    </row>
    <row r="10" spans="1:5" x14ac:dyDescent="0.2">
      <c r="A10" s="1261" t="s">
        <v>1304</v>
      </c>
      <c r="B10" s="1262" t="s">
        <v>1303</v>
      </c>
      <c r="C10" s="1262"/>
      <c r="D10" s="1263">
        <f>SUM('Acct Summary 7-8'!C7:K7)</f>
        <v>1094929</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48637</v>
      </c>
    </row>
    <row r="15" spans="1:5" x14ac:dyDescent="0.2">
      <c r="A15" s="1261"/>
      <c r="B15" s="1262"/>
      <c r="C15" s="1262"/>
    </row>
    <row r="16" spans="1:5" x14ac:dyDescent="0.2">
      <c r="A16" s="1261" t="s">
        <v>1954</v>
      </c>
      <c r="B16" s="1262"/>
      <c r="C16" s="1262"/>
    </row>
    <row r="17" spans="1:4" x14ac:dyDescent="0.2">
      <c r="A17" s="1261" t="s">
        <v>1601</v>
      </c>
      <c r="B17" s="1262" t="s">
        <v>1298</v>
      </c>
      <c r="C17" s="1262"/>
      <c r="D17" s="1264">
        <f>-SUM('Revenues 9-14'!C271:D271,'Revenues 9-14'!F271:G271)</f>
        <v>-42138</v>
      </c>
    </row>
    <row r="19" spans="1:4" ht="13.5" thickBot="1" x14ac:dyDescent="0.25">
      <c r="A19" s="1265" t="s">
        <v>1297</v>
      </c>
      <c r="D19" s="1266">
        <f>SUM(D10:D17)</f>
        <v>1101428</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62"/>
      <c r="B24" s="2462"/>
      <c r="D24" s="1268"/>
    </row>
    <row r="25" spans="1:4" x14ac:dyDescent="0.2">
      <c r="A25" s="2459"/>
      <c r="B25" s="2459"/>
      <c r="D25" s="1268"/>
    </row>
    <row r="26" spans="1:4" x14ac:dyDescent="0.2">
      <c r="A26" s="2459"/>
      <c r="B26" s="2459"/>
      <c r="D26" s="1268"/>
    </row>
    <row r="27" spans="1:4" x14ac:dyDescent="0.2">
      <c r="A27" s="2459"/>
      <c r="B27" s="2459"/>
      <c r="D27" s="1268"/>
    </row>
    <row r="28" spans="1:4" x14ac:dyDescent="0.2">
      <c r="A28" s="2459"/>
      <c r="B28" s="2459"/>
      <c r="D28" s="1268"/>
    </row>
    <row r="29" spans="1:4" x14ac:dyDescent="0.2">
      <c r="A29" s="2459"/>
      <c r="B29" s="2459"/>
      <c r="D29" s="1268"/>
    </row>
    <row r="30" spans="1:4" x14ac:dyDescent="0.2">
      <c r="A30" s="2459"/>
      <c r="B30" s="2459"/>
      <c r="D30" s="1268"/>
    </row>
    <row r="32" spans="1:4" x14ac:dyDescent="0.2">
      <c r="A32" s="1260" t="s">
        <v>1295</v>
      </c>
      <c r="D32" s="1263">
        <f>SUM(D19:D30)</f>
        <v>1101428</v>
      </c>
    </row>
    <row r="33" spans="1:4" x14ac:dyDescent="0.2">
      <c r="D33" s="1269"/>
    </row>
    <row r="34" spans="1:4" x14ac:dyDescent="0.2">
      <c r="A34" s="317" t="s">
        <v>1294</v>
      </c>
    </row>
    <row r="35" spans="1:4" x14ac:dyDescent="0.2">
      <c r="A35" s="317" t="s">
        <v>1293</v>
      </c>
      <c r="B35" s="1258" t="s">
        <v>1292</v>
      </c>
      <c r="D35" s="1270">
        <v>1101428</v>
      </c>
    </row>
    <row r="37" spans="1:4" x14ac:dyDescent="0.2">
      <c r="A37" s="1260" t="s">
        <v>1291</v>
      </c>
    </row>
    <row r="39" spans="1:4" ht="13.35" customHeight="1" x14ac:dyDescent="0.2">
      <c r="A39" s="1267" t="s">
        <v>1290</v>
      </c>
    </row>
    <row r="40" spans="1:4" x14ac:dyDescent="0.2">
      <c r="A40" s="2459"/>
      <c r="B40" s="2459"/>
      <c r="D40" s="1268"/>
    </row>
    <row r="41" spans="1:4" x14ac:dyDescent="0.2">
      <c r="A41" s="2459"/>
      <c r="B41" s="2459"/>
      <c r="D41" s="1271"/>
    </row>
    <row r="42" spans="1:4" x14ac:dyDescent="0.2">
      <c r="A42" s="2459"/>
      <c r="B42" s="2459"/>
      <c r="D42" s="1271"/>
    </row>
    <row r="43" spans="1:4" x14ac:dyDescent="0.2">
      <c r="A43" s="2459"/>
      <c r="B43" s="2459"/>
      <c r="D43" s="1271"/>
    </row>
    <row r="44" spans="1:4" x14ac:dyDescent="0.2">
      <c r="A44" s="2459"/>
      <c r="B44" s="2459"/>
      <c r="D44" s="1271"/>
    </row>
    <row r="45" spans="1:4" x14ac:dyDescent="0.2">
      <c r="A45" s="2459"/>
      <c r="B45" s="2459"/>
      <c r="D45" s="1271"/>
    </row>
    <row r="47" spans="1:4" x14ac:dyDescent="0.2">
      <c r="B47" s="1272" t="s">
        <v>1289</v>
      </c>
      <c r="C47" s="1272"/>
      <c r="D47" s="1273">
        <f>SUM(D35:D45)</f>
        <v>1101428</v>
      </c>
    </row>
    <row r="49" spans="2:4" x14ac:dyDescent="0.2">
      <c r="B49" s="1272" t="s">
        <v>1288</v>
      </c>
      <c r="C49" s="1272"/>
      <c r="D49" s="127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Footer>&amp;C83</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7" zoomScale="120" zoomScaleNormal="120" workbookViewId="0">
      <selection activeCell="C43" sqref="C43"/>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73" t="str">
        <f>'Single Audit Cover'!A7</f>
        <v>Eldorado CUSD 4</v>
      </c>
      <c r="B1" s="2473"/>
      <c r="C1" s="2473"/>
      <c r="D1" s="2473"/>
      <c r="E1" s="2473"/>
      <c r="F1" s="2473"/>
    </row>
    <row r="2" spans="1:7" ht="13.5" customHeight="1" x14ac:dyDescent="0.2">
      <c r="A2" s="2474">
        <f>'Single Audit Cover'!E7</f>
        <v>20083004026</v>
      </c>
      <c r="B2" s="2474"/>
      <c r="C2" s="2474"/>
      <c r="D2" s="2474"/>
      <c r="E2" s="2474"/>
      <c r="F2" s="2474"/>
      <c r="G2" s="1275"/>
    </row>
    <row r="3" spans="1:7" ht="15.75" customHeight="1" x14ac:dyDescent="0.2">
      <c r="A3" s="2475" t="s">
        <v>1333</v>
      </c>
      <c r="B3" s="2475"/>
      <c r="C3" s="2475"/>
      <c r="D3" s="2475"/>
      <c r="E3" s="2475"/>
      <c r="F3" s="2475"/>
    </row>
    <row r="4" spans="1:7" ht="13.5" customHeight="1" x14ac:dyDescent="0.2">
      <c r="A4" s="2476" t="str">
        <f>'Single Audit Cover'!A4</f>
        <v>Year Ending June 30, 2018</v>
      </c>
      <c r="B4" s="2476"/>
      <c r="C4" s="2476"/>
      <c r="D4" s="2476"/>
      <c r="E4" s="2476"/>
      <c r="F4" s="2476"/>
    </row>
    <row r="5" spans="1:7" ht="8.25" customHeight="1" x14ac:dyDescent="0.2">
      <c r="C5" s="317"/>
      <c r="D5" s="317"/>
    </row>
    <row r="6" spans="1:7" ht="13.5" customHeight="1" x14ac:dyDescent="0.2">
      <c r="A6" s="1276" t="s">
        <v>1831</v>
      </c>
      <c r="C6" s="317"/>
      <c r="D6" s="317"/>
    </row>
    <row r="7" spans="1:7" ht="60.95" customHeight="1" x14ac:dyDescent="0.2">
      <c r="A7" s="2472" t="s">
        <v>2188</v>
      </c>
      <c r="B7" s="2472"/>
      <c r="C7" s="2472"/>
      <c r="D7" s="2472"/>
      <c r="E7" s="2472"/>
      <c r="F7" s="2472"/>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2095</v>
      </c>
      <c r="F10" s="1280" t="s">
        <v>101</v>
      </c>
      <c r="G10" s="1278"/>
    </row>
    <row r="11" spans="1:7" ht="12" customHeight="1" x14ac:dyDescent="0.2">
      <c r="A11" s="1279"/>
      <c r="B11" s="1280"/>
      <c r="C11" s="1925"/>
      <c r="D11" s="1280"/>
      <c r="E11" s="1925"/>
      <c r="F11" s="1280"/>
      <c r="G11" s="1278"/>
    </row>
    <row r="12" spans="1:7" x14ac:dyDescent="0.2">
      <c r="A12" s="1276" t="s">
        <v>1669</v>
      </c>
      <c r="C12" s="1260"/>
      <c r="D12" s="1260"/>
    </row>
    <row r="13" spans="1:7" ht="15" customHeight="1" x14ac:dyDescent="0.2">
      <c r="A13" s="2472" t="s">
        <v>1833</v>
      </c>
      <c r="B13" s="2472"/>
      <c r="C13" s="2472"/>
      <c r="D13" s="2472"/>
      <c r="E13" s="2472"/>
      <c r="F13" s="2472"/>
    </row>
    <row r="14" spans="1:7" ht="9.75" customHeight="1" x14ac:dyDescent="0.2">
      <c r="C14" s="1260"/>
      <c r="D14" s="1260"/>
    </row>
    <row r="15" spans="1:7" ht="13.5" customHeight="1" x14ac:dyDescent="0.2">
      <c r="C15" s="1869" t="s">
        <v>1332</v>
      </c>
      <c r="D15" s="2470" t="s">
        <v>1331</v>
      </c>
      <c r="E15" s="2470"/>
      <c r="F15" s="2470"/>
    </row>
    <row r="16" spans="1:7" ht="13.5" customHeight="1" x14ac:dyDescent="0.2">
      <c r="A16" s="1282"/>
      <c r="B16" s="1276" t="s">
        <v>1330</v>
      </c>
      <c r="C16" s="1869" t="s">
        <v>1329</v>
      </c>
      <c r="D16" s="2471" t="s">
        <v>1670</v>
      </c>
      <c r="E16" s="2471"/>
      <c r="F16" s="2471"/>
    </row>
    <row r="17" spans="1:6" ht="20.45" customHeight="1" x14ac:dyDescent="0.2">
      <c r="A17" s="1283"/>
      <c r="B17" s="1284" t="s">
        <v>2189</v>
      </c>
      <c r="C17" s="1285"/>
      <c r="D17" s="2465"/>
      <c r="E17" s="2465"/>
      <c r="F17" s="2465"/>
    </row>
    <row r="18" spans="1:6" ht="20.65" customHeight="1" x14ac:dyDescent="0.2">
      <c r="A18" s="1283"/>
      <c r="B18" s="1284"/>
      <c r="C18" s="1285"/>
      <c r="D18" s="2465"/>
      <c r="E18" s="2465"/>
      <c r="F18" s="2465"/>
    </row>
    <row r="19" spans="1:6" ht="20.65" customHeight="1" x14ac:dyDescent="0.2">
      <c r="A19" s="1283"/>
      <c r="B19" s="1284"/>
      <c r="C19" s="1285"/>
      <c r="D19" s="2465"/>
      <c r="E19" s="2465"/>
      <c r="F19" s="2465"/>
    </row>
    <row r="20" spans="1:6" ht="20.65" customHeight="1" x14ac:dyDescent="0.2">
      <c r="A20" s="1283"/>
      <c r="B20" s="1284"/>
      <c r="C20" s="1285"/>
      <c r="D20" s="2465"/>
      <c r="E20" s="2465"/>
      <c r="F20" s="2465"/>
    </row>
    <row r="21" spans="1:6" ht="20.65" customHeight="1" x14ac:dyDescent="0.2">
      <c r="A21" s="1283"/>
      <c r="B21" s="1284"/>
      <c r="C21" s="1285"/>
      <c r="D21" s="2465"/>
      <c r="E21" s="2465"/>
      <c r="F21" s="2465"/>
    </row>
    <row r="22" spans="1:6" ht="20.65" customHeight="1" x14ac:dyDescent="0.2">
      <c r="A22" s="1283"/>
      <c r="B22" s="1284"/>
      <c r="C22" s="1285"/>
      <c r="D22" s="2465"/>
      <c r="E22" s="2465"/>
      <c r="F22" s="2465"/>
    </row>
    <row r="23" spans="1:6" ht="20.65" customHeight="1" x14ac:dyDescent="0.2">
      <c r="A23" s="1283"/>
      <c r="B23" s="1284"/>
      <c r="C23" s="1285"/>
      <c r="D23" s="2465"/>
      <c r="E23" s="2465"/>
      <c r="F23" s="2465"/>
    </row>
    <row r="24" spans="1:6" ht="20.65" customHeight="1" x14ac:dyDescent="0.2">
      <c r="A24" s="1283"/>
      <c r="B24" s="1284"/>
      <c r="C24" s="1285"/>
      <c r="D24" s="2465"/>
      <c r="E24" s="2465"/>
      <c r="F24" s="2465"/>
    </row>
    <row r="25" spans="1:6" ht="20.65" customHeight="1" x14ac:dyDescent="0.2">
      <c r="A25" s="1283"/>
      <c r="B25" s="1284"/>
      <c r="C25" s="1285"/>
      <c r="D25" s="2465"/>
      <c r="E25" s="2465"/>
      <c r="F25" s="2465"/>
    </row>
    <row r="26" spans="1:6" ht="20.65" customHeight="1" x14ac:dyDescent="0.2">
      <c r="A26" s="1283"/>
      <c r="B26" s="1284"/>
      <c r="C26" s="1285"/>
      <c r="D26" s="2465"/>
      <c r="E26" s="2465"/>
      <c r="F26" s="2465"/>
    </row>
    <row r="27" spans="1:6" ht="20.65" customHeight="1" x14ac:dyDescent="0.2">
      <c r="A27" s="1283"/>
      <c r="B27" s="1284"/>
      <c r="C27" s="1285"/>
      <c r="D27" s="2465"/>
      <c r="E27" s="2465"/>
      <c r="F27" s="2465"/>
    </row>
    <row r="28" spans="1:6" ht="20.65" customHeight="1" x14ac:dyDescent="0.2">
      <c r="A28" s="1283"/>
      <c r="B28" s="1284"/>
      <c r="C28" s="1285"/>
      <c r="D28" s="2465"/>
      <c r="E28" s="2465"/>
      <c r="F28" s="2465"/>
    </row>
    <row r="29" spans="1:6" ht="20.65" customHeight="1" x14ac:dyDescent="0.2">
      <c r="A29" s="1283"/>
      <c r="B29" s="1284"/>
      <c r="C29" s="1285"/>
      <c r="D29" s="2465"/>
      <c r="E29" s="2465"/>
      <c r="F29" s="2465"/>
    </row>
    <row r="30" spans="1:6" ht="12" customHeight="1" x14ac:dyDescent="0.2">
      <c r="A30" s="328"/>
      <c r="B30" s="328"/>
      <c r="C30" s="1478"/>
      <c r="D30" s="1926"/>
      <c r="E30" s="1286"/>
    </row>
    <row r="31" spans="1:6" ht="12" customHeight="1" x14ac:dyDescent="0.2">
      <c r="A31" s="1287" t="s">
        <v>1630</v>
      </c>
      <c r="B31" s="328"/>
      <c r="C31" s="1478"/>
      <c r="D31" s="1926"/>
      <c r="E31" s="1286"/>
    </row>
    <row r="32" spans="1:6" ht="30" customHeight="1" x14ac:dyDescent="0.2">
      <c r="A32" s="2466" t="s">
        <v>2190</v>
      </c>
      <c r="B32" s="2466"/>
      <c r="C32" s="2466"/>
      <c r="D32" s="2466"/>
      <c r="E32" s="2466"/>
      <c r="F32" s="2466"/>
    </row>
    <row r="33" spans="1:6" ht="13.5" customHeight="1" x14ac:dyDescent="0.2">
      <c r="A33" s="328" t="s">
        <v>1509</v>
      </c>
      <c r="B33" s="328"/>
      <c r="C33" s="1288">
        <v>48637</v>
      </c>
      <c r="D33" s="1926"/>
      <c r="E33" s="1286"/>
    </row>
    <row r="34" spans="1:6" ht="13.5" customHeight="1" x14ac:dyDescent="0.2">
      <c r="A34" s="328" t="s">
        <v>1947</v>
      </c>
      <c r="B34" s="328"/>
      <c r="C34" s="1289">
        <v>0</v>
      </c>
      <c r="D34" s="1926" t="s">
        <v>1671</v>
      </c>
      <c r="E34" s="2467">
        <f>+C33+C34</f>
        <v>48637</v>
      </c>
      <c r="F34" s="2468"/>
    </row>
    <row r="35" spans="1:6" ht="12" customHeight="1" x14ac:dyDescent="0.2">
      <c r="A35" s="328"/>
      <c r="B35" s="328"/>
      <c r="C35" s="1927"/>
      <c r="D35" s="1926"/>
      <c r="E35" s="1290"/>
      <c r="F35" s="1291"/>
    </row>
    <row r="36" spans="1:6" ht="13.5" customHeight="1" x14ac:dyDescent="0.2">
      <c r="A36" s="1287" t="s">
        <v>1631</v>
      </c>
      <c r="B36" s="328"/>
      <c r="C36" s="1478"/>
      <c r="D36" s="1926"/>
      <c r="E36" s="1286"/>
    </row>
    <row r="37" spans="1:6" ht="14.25" customHeight="1" x14ac:dyDescent="0.2">
      <c r="A37" s="328" t="s">
        <v>1563</v>
      </c>
      <c r="B37" s="328"/>
      <c r="C37" s="1928"/>
      <c r="D37" s="1926"/>
      <c r="E37" s="1286"/>
    </row>
    <row r="38" spans="1:6" ht="14.25" customHeight="1" x14ac:dyDescent="0.2">
      <c r="A38" s="328"/>
      <c r="B38" s="328" t="s">
        <v>1510</v>
      </c>
      <c r="C38" s="1292" t="s">
        <v>401</v>
      </c>
      <c r="D38" s="1926"/>
      <c r="E38" s="1286"/>
    </row>
    <row r="39" spans="1:6" ht="14.25" customHeight="1" x14ac:dyDescent="0.2">
      <c r="A39" s="328"/>
      <c r="B39" s="328" t="s">
        <v>1511</v>
      </c>
      <c r="C39" s="1292" t="s">
        <v>401</v>
      </c>
      <c r="D39" s="1926"/>
      <c r="E39" s="1286"/>
    </row>
    <row r="40" spans="1:6" ht="14.25" customHeight="1" x14ac:dyDescent="0.2">
      <c r="A40" s="328"/>
      <c r="B40" s="328" t="s">
        <v>1512</v>
      </c>
      <c r="C40" s="1292" t="s">
        <v>401</v>
      </c>
      <c r="D40" s="1926"/>
      <c r="E40" s="1286"/>
    </row>
    <row r="41" spans="1:6" ht="14.25" customHeight="1" x14ac:dyDescent="0.2">
      <c r="A41" s="328"/>
      <c r="B41" s="328" t="s">
        <v>1513</v>
      </c>
      <c r="C41" s="1292" t="s">
        <v>401</v>
      </c>
      <c r="D41" s="1926"/>
      <c r="E41" s="1286"/>
    </row>
    <row r="42" spans="1:6" ht="14.25" customHeight="1" x14ac:dyDescent="0.2">
      <c r="A42" s="328" t="s">
        <v>1514</v>
      </c>
      <c r="B42" s="328"/>
      <c r="C42" s="1924" t="s">
        <v>401</v>
      </c>
      <c r="D42" s="1926"/>
      <c r="E42" s="1286"/>
    </row>
    <row r="43" spans="1:6" ht="14.25" customHeight="1" x14ac:dyDescent="0.2">
      <c r="A43" s="328" t="s">
        <v>1515</v>
      </c>
      <c r="B43" s="328"/>
      <c r="C43" s="1293" t="s">
        <v>401</v>
      </c>
      <c r="D43" s="1926"/>
      <c r="E43" s="1286"/>
    </row>
    <row r="44" spans="1:6" ht="14.25" customHeight="1" x14ac:dyDescent="0.2">
      <c r="A44" s="328"/>
      <c r="B44" s="328"/>
      <c r="C44" s="1928" t="s">
        <v>1516</v>
      </c>
      <c r="D44" s="1926"/>
      <c r="E44" s="1286"/>
    </row>
    <row r="45" spans="1:6" ht="13.5" customHeight="1" x14ac:dyDescent="0.2">
      <c r="B45" s="322"/>
      <c r="C45" s="1294"/>
      <c r="D45" s="1294"/>
    </row>
    <row r="46" spans="1:6" x14ac:dyDescent="0.2">
      <c r="A46" s="1295" t="s">
        <v>1834</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9" t="s">
        <v>1672</v>
      </c>
      <c r="C49" s="2469"/>
      <c r="D49" s="2469"/>
      <c r="E49" s="1399"/>
    </row>
    <row r="50" spans="1:5" s="1300" customFormat="1" ht="3.75" customHeight="1" x14ac:dyDescent="0.2">
      <c r="A50" s="1299"/>
      <c r="B50" s="1868"/>
      <c r="C50" s="1868"/>
      <c r="D50" s="1868"/>
      <c r="E50" s="1399"/>
    </row>
    <row r="51" spans="1:5" s="1300" customFormat="1" ht="20.25" customHeight="1" x14ac:dyDescent="0.2">
      <c r="A51" s="1301">
        <v>6</v>
      </c>
      <c r="B51" s="2464" t="s">
        <v>1632</v>
      </c>
      <c r="C51" s="2464"/>
      <c r="D51" s="2464"/>
    </row>
    <row r="52" spans="1:5" ht="14.25" customHeight="1" x14ac:dyDescent="0.2">
      <c r="A52" s="1301"/>
      <c r="B52" s="2464"/>
      <c r="C52" s="2464"/>
      <c r="D52" s="2464"/>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Footer>&amp;C84</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71"/>
  <sheetViews>
    <sheetView showGridLines="0" zoomScaleNormal="100" workbookViewId="0">
      <selection activeCell="G25" sqref="G25"/>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43" t="str">
        <f>'Single Audit Cover'!A7</f>
        <v>Eldorado CUSD 4</v>
      </c>
      <c r="C1" s="2477"/>
      <c r="D1" s="2477"/>
      <c r="E1" s="2477"/>
      <c r="F1" s="2477"/>
      <c r="G1" s="2477"/>
      <c r="H1" s="2477"/>
      <c r="I1" s="2477"/>
      <c r="J1" s="2477"/>
      <c r="K1" s="2477"/>
      <c r="L1" s="2477"/>
      <c r="M1" s="2477"/>
    </row>
    <row r="2" spans="2:14" ht="15" x14ac:dyDescent="0.2">
      <c r="B2" s="2474">
        <f>'Single Audit Cover'!E7</f>
        <v>20083004026</v>
      </c>
      <c r="C2" s="2474"/>
      <c r="D2" s="2474"/>
      <c r="E2" s="2474"/>
      <c r="F2" s="2474"/>
      <c r="G2" s="2474"/>
      <c r="H2" s="2474"/>
      <c r="I2" s="2474"/>
      <c r="J2" s="2474"/>
      <c r="K2" s="2474"/>
      <c r="L2" s="2474"/>
      <c r="M2" s="2474"/>
      <c r="N2" s="1302"/>
    </row>
    <row r="3" spans="2:14" ht="15" x14ac:dyDescent="0.2">
      <c r="B3" s="2478" t="s">
        <v>1281</v>
      </c>
      <c r="C3" s="2478"/>
      <c r="D3" s="2478"/>
      <c r="E3" s="2478"/>
      <c r="F3" s="2478"/>
      <c r="G3" s="2478"/>
      <c r="H3" s="2478"/>
      <c r="I3" s="2478"/>
      <c r="J3" s="2478"/>
      <c r="K3" s="2478"/>
      <c r="L3" s="2478"/>
      <c r="M3" s="2478"/>
      <c r="N3" s="1302"/>
    </row>
    <row r="4" spans="2:14" ht="15" x14ac:dyDescent="0.2">
      <c r="B4" s="2479" t="str">
        <f>'Single Audit Cover'!A4</f>
        <v>Year Ending June 30, 2018</v>
      </c>
      <c r="C4" s="2479"/>
      <c r="D4" s="2479"/>
      <c r="E4" s="2479"/>
      <c r="F4" s="2479"/>
      <c r="G4" s="2479"/>
      <c r="H4" s="2479"/>
      <c r="I4" s="2479"/>
      <c r="J4" s="2479"/>
      <c r="K4" s="2479"/>
      <c r="L4" s="2479"/>
      <c r="M4" s="2479"/>
      <c r="N4" s="1302"/>
    </row>
    <row r="6" spans="2:14" x14ac:dyDescent="0.2">
      <c r="B6" s="1303"/>
      <c r="C6" s="1304"/>
      <c r="D6" s="1305" t="s">
        <v>1327</v>
      </c>
      <c r="E6" s="1306" t="s">
        <v>548</v>
      </c>
      <c r="F6" s="1307"/>
      <c r="G6" s="1308" t="s">
        <v>1835</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1948</v>
      </c>
      <c r="K8" s="1319" t="s">
        <v>1323</v>
      </c>
      <c r="L8" s="1320" t="s">
        <v>1319</v>
      </c>
      <c r="M8" s="1321" t="s">
        <v>30</v>
      </c>
    </row>
    <row r="9" spans="2:14" ht="14.25" x14ac:dyDescent="0.2">
      <c r="B9" s="1325" t="s">
        <v>1321</v>
      </c>
      <c r="C9" s="1313" t="s">
        <v>1836</v>
      </c>
      <c r="D9" s="1314" t="s">
        <v>1837</v>
      </c>
      <c r="E9" s="1322" t="s">
        <v>1663</v>
      </c>
      <c r="F9" s="1323" t="s">
        <v>1948</v>
      </c>
      <c r="G9" s="1324" t="s">
        <v>1663</v>
      </c>
      <c r="H9" s="1317" t="s">
        <v>1664</v>
      </c>
      <c r="I9" s="1319" t="s">
        <v>1948</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2143</v>
      </c>
      <c r="C11" s="1338"/>
      <c r="D11" s="1339"/>
      <c r="E11" s="1340"/>
      <c r="F11" s="1340"/>
      <c r="G11" s="1340"/>
      <c r="H11" s="1340"/>
      <c r="I11" s="1340"/>
      <c r="J11" s="1340"/>
      <c r="K11" s="1340"/>
      <c r="L11" s="1340">
        <f>+G11+I11+K11</f>
        <v>0</v>
      </c>
      <c r="M11" s="1340"/>
    </row>
    <row r="12" spans="2:14" ht="20.100000000000001" customHeight="1" x14ac:dyDescent="0.2">
      <c r="B12" s="1337" t="s">
        <v>2144</v>
      </c>
      <c r="C12" s="1341"/>
      <c r="D12" s="1342"/>
      <c r="E12" s="1343"/>
      <c r="F12" s="1343"/>
      <c r="G12" s="1343"/>
      <c r="H12" s="1343"/>
      <c r="I12" s="1343"/>
      <c r="J12" s="1343"/>
      <c r="K12" s="1343"/>
      <c r="L12" s="1340">
        <f t="shared" ref="L12:L38" si="0">+G12+I12+K12</f>
        <v>0</v>
      </c>
      <c r="M12" s="1343"/>
    </row>
    <row r="13" spans="2:14" ht="20.100000000000001" customHeight="1" x14ac:dyDescent="0.2">
      <c r="B13" s="1337" t="s">
        <v>2145</v>
      </c>
      <c r="C13" s="1341">
        <v>10.555</v>
      </c>
      <c r="D13" s="1342" t="s">
        <v>2146</v>
      </c>
      <c r="E13" s="1343">
        <v>35605</v>
      </c>
      <c r="F13" s="1343"/>
      <c r="G13" s="1343">
        <v>35605</v>
      </c>
      <c r="H13" s="1343"/>
      <c r="I13" s="1343"/>
      <c r="J13" s="1343"/>
      <c r="K13" s="1343"/>
      <c r="L13" s="1340">
        <f t="shared" si="0"/>
        <v>35605</v>
      </c>
      <c r="M13" s="1343" t="s">
        <v>2146</v>
      </c>
    </row>
    <row r="14" spans="2:14" ht="20.100000000000001" customHeight="1" x14ac:dyDescent="0.2">
      <c r="B14" s="1337" t="s">
        <v>2145</v>
      </c>
      <c r="C14" s="1341">
        <v>10.555</v>
      </c>
      <c r="D14" s="1342" t="s">
        <v>2146</v>
      </c>
      <c r="E14" s="1343"/>
      <c r="F14" s="1343">
        <v>26659</v>
      </c>
      <c r="G14" s="1343"/>
      <c r="H14" s="1343"/>
      <c r="I14" s="1343">
        <v>26659</v>
      </c>
      <c r="J14" s="1343"/>
      <c r="K14" s="1343"/>
      <c r="L14" s="1340">
        <f t="shared" si="0"/>
        <v>26659</v>
      </c>
      <c r="M14" s="1343" t="s">
        <v>2146</v>
      </c>
    </row>
    <row r="15" spans="2:14" ht="20.100000000000001" customHeight="1" x14ac:dyDescent="0.2">
      <c r="B15" s="1337" t="s">
        <v>2205</v>
      </c>
      <c r="C15" s="1341" t="s">
        <v>2147</v>
      </c>
      <c r="D15" s="1342" t="s">
        <v>2146</v>
      </c>
      <c r="E15" s="1343">
        <v>32053</v>
      </c>
      <c r="F15" s="1343"/>
      <c r="G15" s="1343">
        <v>32053</v>
      </c>
      <c r="H15" s="1343"/>
      <c r="I15" s="1343"/>
      <c r="J15" s="1343"/>
      <c r="K15" s="1343"/>
      <c r="L15" s="1340">
        <f t="shared" si="0"/>
        <v>32053</v>
      </c>
      <c r="M15" s="1343" t="s">
        <v>2146</v>
      </c>
    </row>
    <row r="16" spans="2:14" ht="20.100000000000001" customHeight="1" x14ac:dyDescent="0.2">
      <c r="B16" s="1337" t="s">
        <v>2205</v>
      </c>
      <c r="C16" s="1341" t="s">
        <v>2147</v>
      </c>
      <c r="D16" s="1342" t="s">
        <v>2146</v>
      </c>
      <c r="E16" s="1343"/>
      <c r="F16" s="1343">
        <v>21978</v>
      </c>
      <c r="G16" s="1343"/>
      <c r="H16" s="1343"/>
      <c r="I16" s="1343">
        <v>21978</v>
      </c>
      <c r="J16" s="1343"/>
      <c r="K16" s="1343"/>
      <c r="L16" s="1340">
        <v>21978</v>
      </c>
      <c r="M16" s="1343" t="s">
        <v>2146</v>
      </c>
    </row>
    <row r="17" spans="2:13" ht="20.100000000000001" customHeight="1" x14ac:dyDescent="0.2">
      <c r="B17" s="1337" t="s">
        <v>2206</v>
      </c>
      <c r="C17" s="1341">
        <v>10.555</v>
      </c>
      <c r="D17" s="1342" t="s">
        <v>2148</v>
      </c>
      <c r="E17" s="1343">
        <v>228830</v>
      </c>
      <c r="F17" s="1343">
        <v>48616</v>
      </c>
      <c r="G17" s="1343">
        <v>228830</v>
      </c>
      <c r="H17" s="1343"/>
      <c r="I17" s="1343">
        <v>48616</v>
      </c>
      <c r="J17" s="1343"/>
      <c r="K17" s="1343"/>
      <c r="L17" s="1340">
        <f t="shared" si="0"/>
        <v>277446</v>
      </c>
      <c r="M17" s="1343" t="s">
        <v>2146</v>
      </c>
    </row>
    <row r="18" spans="2:13" ht="20.100000000000001" customHeight="1" x14ac:dyDescent="0.2">
      <c r="B18" s="1337" t="s">
        <v>2206</v>
      </c>
      <c r="C18" s="1341">
        <v>10.555</v>
      </c>
      <c r="D18" s="1342" t="s">
        <v>2149</v>
      </c>
      <c r="E18" s="1343"/>
      <c r="F18" s="1343">
        <v>231036</v>
      </c>
      <c r="G18" s="1343"/>
      <c r="H18" s="1343"/>
      <c r="I18" s="1343">
        <v>231036</v>
      </c>
      <c r="J18" s="1343"/>
      <c r="K18" s="1343"/>
      <c r="L18" s="1340">
        <f t="shared" si="0"/>
        <v>231036</v>
      </c>
      <c r="M18" s="1343" t="s">
        <v>2146</v>
      </c>
    </row>
    <row r="19" spans="2:13" ht="20.100000000000001" customHeight="1" x14ac:dyDescent="0.2">
      <c r="B19" s="1337" t="s">
        <v>2207</v>
      </c>
      <c r="C19" s="1341">
        <v>10.553000000000001</v>
      </c>
      <c r="D19" s="1342" t="s">
        <v>2150</v>
      </c>
      <c r="E19" s="1343">
        <v>49956</v>
      </c>
      <c r="F19" s="1343">
        <v>8978</v>
      </c>
      <c r="G19" s="1343">
        <v>49956</v>
      </c>
      <c r="H19" s="1343"/>
      <c r="I19" s="1343">
        <v>8978</v>
      </c>
      <c r="J19" s="1343"/>
      <c r="K19" s="1343"/>
      <c r="L19" s="1340">
        <f t="shared" si="0"/>
        <v>58934</v>
      </c>
      <c r="M19" s="1343" t="s">
        <v>2146</v>
      </c>
    </row>
    <row r="20" spans="2:13" ht="20.100000000000001" customHeight="1" x14ac:dyDescent="0.2">
      <c r="B20" s="1955" t="s">
        <v>2207</v>
      </c>
      <c r="C20" s="1956">
        <v>10.553000000000001</v>
      </c>
      <c r="D20" s="1957" t="s">
        <v>2151</v>
      </c>
      <c r="E20" s="1958"/>
      <c r="F20" s="1958">
        <v>47601</v>
      </c>
      <c r="G20" s="1958"/>
      <c r="H20" s="1958"/>
      <c r="I20" s="1958">
        <v>47601</v>
      </c>
      <c r="J20" s="1958"/>
      <c r="K20" s="1958"/>
      <c r="L20" s="1958">
        <f t="shared" si="0"/>
        <v>47601</v>
      </c>
      <c r="M20" s="1958" t="s">
        <v>2146</v>
      </c>
    </row>
    <row r="21" spans="2:13" ht="20.25" customHeight="1" x14ac:dyDescent="0.2">
      <c r="B21" s="1959" t="s">
        <v>2152</v>
      </c>
      <c r="C21" s="1444"/>
      <c r="D21" s="1960"/>
      <c r="E21" s="1961">
        <f>SUM(E13:E20)</f>
        <v>346444</v>
      </c>
      <c r="F21" s="1961">
        <f t="shared" ref="F21:L21" si="1">SUM(F13:F20)</f>
        <v>384868</v>
      </c>
      <c r="G21" s="1961">
        <f t="shared" si="1"/>
        <v>346444</v>
      </c>
      <c r="H21" s="1961"/>
      <c r="I21" s="1961">
        <f t="shared" si="1"/>
        <v>384868</v>
      </c>
      <c r="J21" s="1961"/>
      <c r="K21" s="1961"/>
      <c r="L21" s="1961">
        <f t="shared" si="1"/>
        <v>731312</v>
      </c>
      <c r="M21" s="1961"/>
    </row>
    <row r="22" spans="2:13" ht="20.100000000000001" customHeight="1" x14ac:dyDescent="0.2">
      <c r="B22" s="1337" t="s">
        <v>2153</v>
      </c>
      <c r="C22" s="1338"/>
      <c r="D22" s="1339"/>
      <c r="E22" s="1340"/>
      <c r="F22" s="1340"/>
      <c r="G22" s="1340"/>
      <c r="H22" s="1340"/>
      <c r="I22" s="1340"/>
      <c r="J22" s="1340"/>
      <c r="K22" s="1340"/>
      <c r="L22" s="1340"/>
      <c r="M22" s="1340"/>
    </row>
    <row r="23" spans="2:13" ht="20.100000000000001" customHeight="1" x14ac:dyDescent="0.2">
      <c r="B23" s="1337" t="s">
        <v>2144</v>
      </c>
      <c r="C23" s="1341"/>
      <c r="D23" s="1342"/>
      <c r="E23" s="1343"/>
      <c r="F23" s="1343"/>
      <c r="G23" s="1343"/>
      <c r="H23" s="1343"/>
      <c r="I23" s="1343"/>
      <c r="J23" s="1343"/>
      <c r="K23" s="1343"/>
      <c r="L23" s="1340"/>
      <c r="M23" s="1343"/>
    </row>
    <row r="24" spans="2:13" ht="20.100000000000001" customHeight="1" x14ac:dyDescent="0.2">
      <c r="B24" s="1955" t="s">
        <v>2154</v>
      </c>
      <c r="C24" s="1956">
        <v>10.579000000000001</v>
      </c>
      <c r="D24" s="1957" t="s">
        <v>2155</v>
      </c>
      <c r="E24" s="1958"/>
      <c r="F24" s="1958">
        <v>21100</v>
      </c>
      <c r="G24" s="1958"/>
      <c r="H24" s="1958"/>
      <c r="I24" s="1958">
        <v>21100</v>
      </c>
      <c r="J24" s="1958"/>
      <c r="K24" s="1958"/>
      <c r="L24" s="1958">
        <v>21100</v>
      </c>
      <c r="M24" s="1958" t="s">
        <v>2146</v>
      </c>
    </row>
    <row r="25" spans="2:13" ht="20.100000000000001" customHeight="1" x14ac:dyDescent="0.2">
      <c r="B25" s="1954" t="s">
        <v>2186</v>
      </c>
      <c r="C25" s="1338"/>
      <c r="D25" s="1339"/>
      <c r="E25" s="1340"/>
      <c r="F25" s="1340"/>
      <c r="G25" s="1340"/>
      <c r="H25" s="1340"/>
      <c r="I25" s="1340"/>
      <c r="J25" s="1340"/>
      <c r="K25" s="1340"/>
      <c r="L25" s="1340"/>
      <c r="M25" s="1340"/>
    </row>
    <row r="26" spans="2:13" ht="20.100000000000001" customHeight="1" x14ac:dyDescent="0.2">
      <c r="B26" s="1337" t="s">
        <v>2156</v>
      </c>
      <c r="C26" s="1341">
        <v>84.242999999999995</v>
      </c>
      <c r="D26" s="1342" t="s">
        <v>2157</v>
      </c>
      <c r="E26" s="1343"/>
      <c r="F26" s="1343"/>
      <c r="G26" s="1343"/>
      <c r="H26" s="1343"/>
      <c r="I26" s="1343"/>
      <c r="J26" s="1343"/>
      <c r="K26" s="1343"/>
      <c r="L26" s="1340"/>
      <c r="M26" s="1343"/>
    </row>
    <row r="27" spans="2:13" ht="20.100000000000001" customHeight="1" x14ac:dyDescent="0.2">
      <c r="B27" s="1337" t="s">
        <v>2156</v>
      </c>
      <c r="C27" s="1341">
        <v>84.242999999999995</v>
      </c>
      <c r="D27" s="1342" t="s">
        <v>2157</v>
      </c>
      <c r="E27" s="1343">
        <v>2327</v>
      </c>
      <c r="F27" s="1343"/>
      <c r="G27" s="1343">
        <v>2327</v>
      </c>
      <c r="H27" s="1343"/>
      <c r="I27" s="1343"/>
      <c r="J27" s="1343"/>
      <c r="K27" s="1343"/>
      <c r="L27" s="1340">
        <v>2327</v>
      </c>
      <c r="M27" s="1343" t="s">
        <v>2146</v>
      </c>
    </row>
    <row r="28" spans="2:13" ht="20.100000000000001" customHeight="1" x14ac:dyDescent="0.2">
      <c r="B28" s="1955" t="s">
        <v>2156</v>
      </c>
      <c r="C28" s="1956">
        <v>84.242999999999995</v>
      </c>
      <c r="D28" s="1957" t="s">
        <v>2158</v>
      </c>
      <c r="E28" s="1958"/>
      <c r="F28" s="1958">
        <v>3940</v>
      </c>
      <c r="G28" s="1958"/>
      <c r="H28" s="1958"/>
      <c r="I28" s="1958">
        <v>3937</v>
      </c>
      <c r="J28" s="1958"/>
      <c r="K28" s="1958"/>
      <c r="L28" s="1958">
        <v>3937</v>
      </c>
      <c r="M28" s="1958" t="s">
        <v>2146</v>
      </c>
    </row>
    <row r="29" spans="2:13" ht="20.100000000000001" customHeight="1" x14ac:dyDescent="0.2">
      <c r="B29" s="1954" t="s">
        <v>2187</v>
      </c>
      <c r="C29" s="1963"/>
      <c r="D29" s="1964"/>
      <c r="E29" s="1965">
        <v>2327</v>
      </c>
      <c r="F29" s="1965">
        <v>3937</v>
      </c>
      <c r="G29" s="1965">
        <v>2327</v>
      </c>
      <c r="H29" s="1965"/>
      <c r="I29" s="1965">
        <v>3927</v>
      </c>
      <c r="J29" s="1965"/>
      <c r="K29" s="1965"/>
      <c r="L29" s="1965">
        <f>SUM(L27:L28)</f>
        <v>6264</v>
      </c>
      <c r="M29" s="1965" t="s">
        <v>2146</v>
      </c>
    </row>
    <row r="30" spans="2:13" ht="20.100000000000001" customHeight="1" x14ac:dyDescent="0.2">
      <c r="B30" s="1954" t="s">
        <v>2159</v>
      </c>
      <c r="C30" s="1338"/>
      <c r="D30" s="1339"/>
      <c r="E30" s="1340"/>
      <c r="F30" s="1340"/>
      <c r="G30" s="1340"/>
      <c r="H30" s="1340"/>
      <c r="I30" s="1340"/>
      <c r="J30" s="1340"/>
      <c r="K30" s="1340"/>
      <c r="L30" s="1340"/>
      <c r="M30" s="1340"/>
    </row>
    <row r="31" spans="2:13" ht="20.100000000000001" customHeight="1" x14ac:dyDescent="0.2">
      <c r="B31" s="1337" t="s">
        <v>2160</v>
      </c>
      <c r="C31" s="1341" t="s">
        <v>2161</v>
      </c>
      <c r="D31" s="1342" t="s">
        <v>2162</v>
      </c>
      <c r="E31" s="1343">
        <v>303952</v>
      </c>
      <c r="F31" s="1343">
        <v>125277</v>
      </c>
      <c r="G31" s="1343">
        <v>416482</v>
      </c>
      <c r="H31" s="1343"/>
      <c r="I31" s="1343">
        <v>12747</v>
      </c>
      <c r="J31" s="1343"/>
      <c r="K31" s="1343"/>
      <c r="L31" s="1340">
        <v>429229</v>
      </c>
      <c r="M31" s="1343">
        <v>536977</v>
      </c>
    </row>
    <row r="32" spans="2:13" ht="20.100000000000001" customHeight="1" x14ac:dyDescent="0.2">
      <c r="B32" s="1337" t="s">
        <v>2160</v>
      </c>
      <c r="C32" s="1341" t="s">
        <v>2161</v>
      </c>
      <c r="D32" s="1342" t="s">
        <v>2163</v>
      </c>
      <c r="E32" s="1343"/>
      <c r="F32" s="1343">
        <v>443566</v>
      </c>
      <c r="G32" s="1343"/>
      <c r="H32" s="1343"/>
      <c r="I32" s="1343">
        <v>502129</v>
      </c>
      <c r="J32" s="1343"/>
      <c r="K32" s="1343">
        <v>44468</v>
      </c>
      <c r="L32" s="1340">
        <f>SUM(I32:K32)</f>
        <v>546597</v>
      </c>
      <c r="M32" s="1343">
        <v>615253</v>
      </c>
    </row>
    <row r="33" spans="2:14" ht="20.100000000000001" customHeight="1" x14ac:dyDescent="0.2">
      <c r="B33" s="1337" t="s">
        <v>2164</v>
      </c>
      <c r="C33" s="1341" t="s">
        <v>2165</v>
      </c>
      <c r="D33" s="1342" t="s">
        <v>2170</v>
      </c>
      <c r="E33" s="1343">
        <v>46543</v>
      </c>
      <c r="F33" s="1343">
        <v>21016</v>
      </c>
      <c r="G33" s="1343">
        <v>65087</v>
      </c>
      <c r="H33" s="1343"/>
      <c r="I33" s="1343">
        <v>2472</v>
      </c>
      <c r="J33" s="1343"/>
      <c r="K33" s="1343"/>
      <c r="L33" s="1340">
        <v>67559</v>
      </c>
      <c r="M33" s="1343">
        <v>99493</v>
      </c>
    </row>
    <row r="34" spans="2:14" ht="20.100000000000001" customHeight="1" x14ac:dyDescent="0.2">
      <c r="B34" s="1337" t="s">
        <v>2164</v>
      </c>
      <c r="C34" s="1341" t="s">
        <v>2165</v>
      </c>
      <c r="D34" s="1342" t="s">
        <v>2171</v>
      </c>
      <c r="E34" s="1343"/>
      <c r="F34" s="1343">
        <v>37593</v>
      </c>
      <c r="G34" s="1343"/>
      <c r="H34" s="1343"/>
      <c r="I34" s="1343">
        <v>51475</v>
      </c>
      <c r="J34" s="1343"/>
      <c r="K34" s="1343">
        <v>5484</v>
      </c>
      <c r="L34" s="1340">
        <v>56962</v>
      </c>
      <c r="M34" s="1343">
        <v>89556</v>
      </c>
    </row>
    <row r="35" spans="2:14" ht="20.100000000000001" customHeight="1" x14ac:dyDescent="0.2">
      <c r="B35" s="1337" t="s">
        <v>2177</v>
      </c>
      <c r="C35" s="1341" t="s">
        <v>2178</v>
      </c>
      <c r="D35" s="1342" t="s">
        <v>2175</v>
      </c>
      <c r="E35" s="1343"/>
      <c r="F35" s="1343">
        <v>14400</v>
      </c>
      <c r="G35" s="1343"/>
      <c r="H35" s="1343"/>
      <c r="I35" s="1343">
        <v>23837</v>
      </c>
      <c r="J35" s="1343"/>
      <c r="K35" s="1343">
        <v>2086</v>
      </c>
      <c r="L35" s="1340">
        <f>SUM(I35:K35)</f>
        <v>25923</v>
      </c>
      <c r="M35" s="1343">
        <v>25965</v>
      </c>
    </row>
    <row r="36" spans="2:14" ht="20.100000000000001" customHeight="1" x14ac:dyDescent="0.2">
      <c r="B36" s="1337" t="s">
        <v>2169</v>
      </c>
      <c r="C36" s="1341" t="s">
        <v>2168</v>
      </c>
      <c r="D36" s="1342" t="s">
        <v>2166</v>
      </c>
      <c r="E36" s="1343">
        <v>8265</v>
      </c>
      <c r="F36" s="1343">
        <v>16459</v>
      </c>
      <c r="G36" s="1343">
        <v>24724</v>
      </c>
      <c r="H36" s="1343"/>
      <c r="I36" s="1343"/>
      <c r="J36" s="1343"/>
      <c r="K36" s="1343"/>
      <c r="L36" s="1340">
        <v>24724</v>
      </c>
      <c r="M36" s="1343">
        <v>24724</v>
      </c>
    </row>
    <row r="37" spans="2:14" ht="20.100000000000001" customHeight="1" x14ac:dyDescent="0.2">
      <c r="B37" s="1337" t="s">
        <v>2176</v>
      </c>
      <c r="C37" s="1341" t="s">
        <v>2168</v>
      </c>
      <c r="D37" s="1342" t="s">
        <v>2167</v>
      </c>
      <c r="E37" s="1343"/>
      <c r="F37" s="1343">
        <v>19934</v>
      </c>
      <c r="G37" s="1343"/>
      <c r="H37" s="1343"/>
      <c r="I37" s="1343">
        <v>19934</v>
      </c>
      <c r="J37" s="1343"/>
      <c r="K37" s="1343"/>
      <c r="L37" s="1340">
        <f t="shared" si="0"/>
        <v>19934</v>
      </c>
      <c r="M37" s="1343">
        <v>19934</v>
      </c>
    </row>
    <row r="38" spans="2:14" ht="20.100000000000001" customHeight="1" x14ac:dyDescent="0.2">
      <c r="B38" s="1955" t="s">
        <v>2172</v>
      </c>
      <c r="C38" s="1956" t="s">
        <v>2173</v>
      </c>
      <c r="D38" s="1957" t="s">
        <v>2174</v>
      </c>
      <c r="E38" s="1958"/>
      <c r="F38" s="1958">
        <v>2234</v>
      </c>
      <c r="G38" s="1958"/>
      <c r="H38" s="1958"/>
      <c r="I38" s="1958">
        <v>2234</v>
      </c>
      <c r="J38" s="1958"/>
      <c r="K38" s="1958"/>
      <c r="L38" s="1958">
        <f t="shared" si="0"/>
        <v>2234</v>
      </c>
      <c r="M38" s="1958">
        <v>2234</v>
      </c>
    </row>
    <row r="39" spans="2:14" ht="20.100000000000001" customHeight="1" x14ac:dyDescent="0.2">
      <c r="B39" s="1954" t="s">
        <v>2179</v>
      </c>
      <c r="C39" s="1338"/>
      <c r="D39" s="1339"/>
      <c r="E39" s="1340">
        <f>SUM(E31:E38)</f>
        <v>358760</v>
      </c>
      <c r="F39" s="1340">
        <f t="shared" ref="F39:M39" si="2">SUM(F31:F38)</f>
        <v>680479</v>
      </c>
      <c r="G39" s="1340">
        <f t="shared" si="2"/>
        <v>506293</v>
      </c>
      <c r="H39" s="1340"/>
      <c r="I39" s="1340">
        <f t="shared" si="2"/>
        <v>614828</v>
      </c>
      <c r="J39" s="1340"/>
      <c r="K39" s="1340">
        <f t="shared" si="2"/>
        <v>52038</v>
      </c>
      <c r="L39" s="1340">
        <f t="shared" si="2"/>
        <v>1173162</v>
      </c>
      <c r="M39" s="1340">
        <f t="shared" si="2"/>
        <v>1414136</v>
      </c>
    </row>
    <row r="40" spans="2:14" ht="36.75" customHeight="1" x14ac:dyDescent="0.2">
      <c r="B40" s="1954" t="s">
        <v>2180</v>
      </c>
      <c r="C40" s="1338"/>
      <c r="D40" s="1339"/>
      <c r="E40" s="1340"/>
      <c r="F40" s="1340"/>
      <c r="G40" s="1340"/>
      <c r="H40" s="1340"/>
      <c r="I40" s="1340"/>
      <c r="J40" s="1340"/>
      <c r="K40" s="1340"/>
      <c r="L40" s="1340"/>
      <c r="M40" s="1340"/>
    </row>
    <row r="41" spans="2:14" ht="20.100000000000001" customHeight="1" x14ac:dyDescent="0.2">
      <c r="B41" s="1954" t="s">
        <v>2181</v>
      </c>
      <c r="C41" s="1338">
        <v>93.778000000000006</v>
      </c>
      <c r="D41" s="1339" t="s">
        <v>2182</v>
      </c>
      <c r="E41" s="1340">
        <v>15563</v>
      </c>
      <c r="F41" s="1340"/>
      <c r="G41" s="1340">
        <v>15563</v>
      </c>
      <c r="H41" s="1340"/>
      <c r="I41" s="1340"/>
      <c r="J41" s="1340"/>
      <c r="K41" s="1340"/>
      <c r="L41" s="1340">
        <v>15563</v>
      </c>
      <c r="M41" s="1340" t="s">
        <v>2146</v>
      </c>
    </row>
    <row r="42" spans="2:14" ht="20.100000000000001" customHeight="1" x14ac:dyDescent="0.2">
      <c r="B42" s="1955" t="s">
        <v>2181</v>
      </c>
      <c r="C42" s="1956">
        <v>93.778000000000006</v>
      </c>
      <c r="D42" s="1957" t="s">
        <v>2183</v>
      </c>
      <c r="E42" s="1958"/>
      <c r="F42" s="1958">
        <v>11041</v>
      </c>
      <c r="G42" s="1958"/>
      <c r="H42" s="1958"/>
      <c r="I42" s="1958">
        <v>11041</v>
      </c>
      <c r="J42" s="1958"/>
      <c r="K42" s="1958"/>
      <c r="L42" s="1958">
        <v>16901</v>
      </c>
      <c r="M42" s="1958" t="s">
        <v>2146</v>
      </c>
    </row>
    <row r="43" spans="2:14" ht="20.100000000000001" customHeight="1" x14ac:dyDescent="0.2">
      <c r="B43" s="1954" t="s">
        <v>2184</v>
      </c>
      <c r="C43" s="1338"/>
      <c r="D43" s="1339"/>
      <c r="E43" s="1340">
        <f>SUM(E41:E42)</f>
        <v>15563</v>
      </c>
      <c r="F43" s="1340">
        <f t="shared" ref="F43:L43" si="3">SUM(F41:F42)</f>
        <v>11041</v>
      </c>
      <c r="G43" s="1340">
        <f t="shared" si="3"/>
        <v>15563</v>
      </c>
      <c r="H43" s="1340"/>
      <c r="I43" s="1340">
        <f t="shared" si="3"/>
        <v>11041</v>
      </c>
      <c r="J43" s="1340"/>
      <c r="K43" s="1340"/>
      <c r="L43" s="1340">
        <f t="shared" si="3"/>
        <v>32464</v>
      </c>
      <c r="M43" s="1340"/>
    </row>
    <row r="44" spans="2:14" ht="20.100000000000001" customHeight="1" x14ac:dyDescent="0.2">
      <c r="B44" s="1337"/>
      <c r="C44" s="1341"/>
      <c r="D44" s="1342"/>
      <c r="E44" s="1343"/>
      <c r="F44" s="1343"/>
      <c r="G44" s="1343"/>
      <c r="H44" s="1343"/>
      <c r="I44" s="1343"/>
      <c r="J44" s="1343"/>
      <c r="K44" s="1343"/>
      <c r="L44" s="1340"/>
      <c r="M44" s="1343"/>
    </row>
    <row r="45" spans="2:14" ht="20.100000000000001" customHeight="1" thickBot="1" x14ac:dyDescent="0.25">
      <c r="B45" s="1337" t="s">
        <v>2185</v>
      </c>
      <c r="C45" s="1341"/>
      <c r="D45" s="1342"/>
      <c r="E45" s="1962">
        <f>E21+E29+E39+E43</f>
        <v>723094</v>
      </c>
      <c r="F45" s="1962">
        <f>F21+F24+F29+F39+F43</f>
        <v>1101425</v>
      </c>
      <c r="G45" s="1962">
        <f>G21+G29+G39+G43</f>
        <v>870627</v>
      </c>
      <c r="H45" s="1962"/>
      <c r="I45" s="1962">
        <f>I21+I24+I29+I39+I43</f>
        <v>1035764</v>
      </c>
      <c r="J45" s="1962"/>
      <c r="K45" s="1962">
        <f>K39</f>
        <v>52038</v>
      </c>
      <c r="L45" s="1962">
        <f>L43+L39+L29+L24+L21</f>
        <v>1964302</v>
      </c>
      <c r="M45" s="1962">
        <f>M39</f>
        <v>1414136</v>
      </c>
    </row>
    <row r="46" spans="2:14" ht="20.100000000000001" customHeight="1" thickTop="1" x14ac:dyDescent="0.2">
      <c r="B46" s="1337"/>
      <c r="C46" s="1341"/>
      <c r="D46" s="1342"/>
      <c r="E46" s="1340"/>
      <c r="F46" s="1340"/>
      <c r="G46" s="1340"/>
      <c r="H46" s="1340"/>
      <c r="I46" s="1340"/>
      <c r="J46" s="1340"/>
      <c r="K46" s="1340"/>
      <c r="L46" s="1340"/>
      <c r="M46" s="1340"/>
      <c r="N46" s="1344"/>
    </row>
    <row r="47" spans="2:14" ht="12.75" customHeight="1" x14ac:dyDescent="0.2">
      <c r="B47" s="1345"/>
      <c r="C47" s="1346"/>
      <c r="D47" s="1347"/>
      <c r="E47" s="1348"/>
      <c r="F47" s="1348"/>
      <c r="G47" s="1348"/>
      <c r="H47" s="1348"/>
      <c r="I47" s="1348"/>
      <c r="J47" s="1348"/>
      <c r="K47" s="1348"/>
      <c r="L47" s="1348"/>
      <c r="M47" s="1348"/>
      <c r="N47" s="1344"/>
    </row>
    <row r="48" spans="2:14" x14ac:dyDescent="0.2">
      <c r="B48" s="1257"/>
      <c r="C48" s="1349"/>
      <c r="D48" s="1350"/>
      <c r="E48" s="1257"/>
      <c r="F48" s="1257"/>
      <c r="G48" s="1250"/>
      <c r="H48" s="1250"/>
      <c r="I48" s="1250"/>
      <c r="J48" s="1250"/>
      <c r="K48" s="1250"/>
      <c r="L48" s="1250"/>
      <c r="M48" s="1257"/>
      <c r="N48" s="1344"/>
    </row>
    <row r="49" spans="2:14" ht="13.5" customHeight="1" x14ac:dyDescent="0.2">
      <c r="B49" s="1282" t="s">
        <v>1838</v>
      </c>
      <c r="C49" s="1349"/>
      <c r="D49" s="1350"/>
      <c r="E49" s="1257"/>
      <c r="F49" s="1257"/>
      <c r="G49" s="1250"/>
      <c r="H49" s="1250"/>
      <c r="I49" s="1250"/>
      <c r="J49" s="1250"/>
      <c r="K49" s="1250"/>
      <c r="L49" s="1250"/>
      <c r="M49" s="1257"/>
      <c r="N49" s="1344"/>
    </row>
    <row r="50" spans="2:14" ht="8.25" customHeight="1" x14ac:dyDescent="0.2">
      <c r="B50" s="1282"/>
      <c r="C50" s="1349"/>
      <c r="D50" s="1350"/>
      <c r="E50" s="1257"/>
      <c r="F50" s="1257"/>
      <c r="G50" s="1250"/>
      <c r="H50" s="1250"/>
      <c r="I50" s="1250"/>
      <c r="J50" s="1250"/>
      <c r="K50" s="1250"/>
      <c r="L50" s="1250"/>
      <c r="M50" s="1257"/>
      <c r="N50" s="1344"/>
    </row>
    <row r="51" spans="2:14" x14ac:dyDescent="0.2">
      <c r="B51" s="1351" t="s">
        <v>1949</v>
      </c>
      <c r="C51" s="1352"/>
      <c r="D51" s="1353"/>
      <c r="E51" s="1354"/>
      <c r="F51" s="1354"/>
      <c r="G51" s="1354"/>
      <c r="H51" s="1354"/>
      <c r="I51" s="317"/>
      <c r="J51" s="317"/>
    </row>
    <row r="52" spans="2:14" x14ac:dyDescent="0.2">
      <c r="B52" s="1277"/>
      <c r="C52" s="1355"/>
      <c r="D52" s="1356"/>
      <c r="E52" s="1278"/>
      <c r="F52" s="1278"/>
      <c r="G52" s="317"/>
      <c r="H52" s="317"/>
      <c r="I52" s="317"/>
      <c r="J52" s="317"/>
    </row>
    <row r="53" spans="2:14" ht="13.5" customHeight="1" x14ac:dyDescent="0.2">
      <c r="B53" s="1276" t="s">
        <v>1308</v>
      </c>
      <c r="G53" s="317"/>
      <c r="H53" s="317"/>
      <c r="I53" s="317"/>
      <c r="J53" s="317"/>
    </row>
    <row r="54" spans="2:14" ht="13.5" customHeight="1" x14ac:dyDescent="0.2">
      <c r="B54" s="1359"/>
      <c r="C54" s="1360"/>
      <c r="D54" s="1361"/>
      <c r="E54" s="1297"/>
      <c r="F54" s="1297"/>
      <c r="G54" s="1297"/>
      <c r="H54" s="1297"/>
      <c r="I54" s="1297"/>
      <c r="J54" s="1297"/>
      <c r="K54" s="1362"/>
      <c r="L54" s="1362"/>
      <c r="M54" s="1297"/>
    </row>
    <row r="55" spans="2:14" ht="9.6" customHeight="1" x14ac:dyDescent="0.2">
      <c r="B55" s="1363"/>
      <c r="G55" s="317"/>
      <c r="H55" s="317"/>
      <c r="I55" s="317"/>
      <c r="J55" s="317"/>
    </row>
    <row r="56" spans="2:14" ht="11.25" customHeight="1" x14ac:dyDescent="0.2">
      <c r="B56" s="1364" t="s">
        <v>1839</v>
      </c>
      <c r="C56" s="1365"/>
      <c r="D56" s="1365"/>
      <c r="E56" s="1365"/>
      <c r="F56" s="1365"/>
      <c r="G56" s="1365"/>
      <c r="H56" s="1365"/>
      <c r="I56" s="1366"/>
      <c r="J56" s="1366"/>
      <c r="K56" s="1366"/>
      <c r="L56" s="1366"/>
      <c r="M56" s="1366"/>
    </row>
    <row r="57" spans="2:14" ht="11.25" customHeight="1" x14ac:dyDescent="0.2">
      <c r="B57" s="1367" t="s">
        <v>1666</v>
      </c>
      <c r="C57" s="1366"/>
      <c r="D57" s="1366"/>
      <c r="E57" s="1366"/>
      <c r="F57" s="1366"/>
      <c r="G57" s="1366"/>
      <c r="H57" s="1366"/>
      <c r="I57" s="1366"/>
      <c r="J57" s="1366"/>
      <c r="K57" s="1366"/>
      <c r="L57" s="1366"/>
      <c r="M57" s="1366"/>
    </row>
    <row r="58" spans="2:14" ht="3.95" customHeight="1" x14ac:dyDescent="0.2">
      <c r="B58" s="1367"/>
      <c r="C58" s="1366"/>
      <c r="D58" s="1366"/>
      <c r="E58" s="1366"/>
      <c r="F58" s="1366"/>
      <c r="G58" s="1366"/>
      <c r="H58" s="1366"/>
      <c r="I58" s="1366"/>
      <c r="J58" s="1366"/>
      <c r="K58" s="1366"/>
      <c r="L58" s="1366"/>
      <c r="M58" s="1366"/>
    </row>
    <row r="59" spans="2:14" ht="11.25" customHeight="1" x14ac:dyDescent="0.2">
      <c r="B59" s="1364" t="s">
        <v>1840</v>
      </c>
      <c r="C59" s="1366"/>
      <c r="D59" s="1366"/>
      <c r="E59" s="1366"/>
      <c r="F59" s="1366"/>
      <c r="G59" s="1366"/>
      <c r="H59" s="1366"/>
      <c r="I59" s="1366"/>
      <c r="J59" s="1366"/>
      <c r="K59" s="1366"/>
      <c r="L59" s="1366"/>
      <c r="M59" s="1366"/>
    </row>
    <row r="60" spans="2:14" ht="11.25" customHeight="1" x14ac:dyDescent="0.2">
      <c r="B60" s="1300" t="s">
        <v>1667</v>
      </c>
      <c r="C60" s="1368"/>
      <c r="D60" s="1369"/>
      <c r="E60" s="1300"/>
      <c r="F60" s="1300"/>
      <c r="G60" s="1300"/>
      <c r="H60" s="1300"/>
      <c r="I60" s="1300"/>
      <c r="J60" s="1300"/>
      <c r="K60" s="1370"/>
      <c r="L60" s="1370"/>
      <c r="M60" s="1300"/>
    </row>
    <row r="61" spans="2:14" ht="3.95" customHeight="1" x14ac:dyDescent="0.2">
      <c r="B61" s="1300"/>
      <c r="C61" s="1368"/>
      <c r="D61" s="1369"/>
      <c r="E61" s="1300"/>
      <c r="F61" s="1300"/>
      <c r="G61" s="1300"/>
      <c r="H61" s="1300"/>
      <c r="I61" s="1300"/>
      <c r="J61" s="1300"/>
      <c r="K61" s="1370"/>
      <c r="L61" s="1370"/>
      <c r="M61" s="1300"/>
    </row>
    <row r="62" spans="2:14" ht="11.25" customHeight="1" x14ac:dyDescent="0.2">
      <c r="B62" s="1371" t="s">
        <v>1841</v>
      </c>
      <c r="C62" s="1368"/>
      <c r="D62" s="1369"/>
      <c r="E62" s="1300"/>
      <c r="F62" s="1300"/>
      <c r="G62" s="1300"/>
      <c r="H62" s="1300"/>
      <c r="I62" s="1300"/>
      <c r="J62" s="1300"/>
      <c r="K62" s="1370"/>
      <c r="L62" s="1370"/>
      <c r="M62" s="1300"/>
    </row>
    <row r="63" spans="2:14" ht="3.95" customHeight="1" x14ac:dyDescent="0.2">
      <c r="B63" s="1371"/>
      <c r="C63" s="1368"/>
      <c r="D63" s="1369"/>
      <c r="E63" s="1300"/>
      <c r="F63" s="1300"/>
      <c r="G63" s="1300"/>
      <c r="H63" s="1300"/>
      <c r="I63" s="1300"/>
      <c r="J63" s="1300"/>
      <c r="K63" s="1370"/>
      <c r="L63" s="1370"/>
      <c r="M63" s="1300"/>
    </row>
    <row r="64" spans="2:14" ht="11.25" customHeight="1" x14ac:dyDescent="0.2">
      <c r="B64" s="1372" t="s">
        <v>1842</v>
      </c>
      <c r="C64" s="1368"/>
      <c r="D64" s="1369"/>
      <c r="E64" s="1300"/>
      <c r="F64" s="1300"/>
      <c r="G64" s="1300"/>
      <c r="H64" s="1300"/>
      <c r="I64" s="1300"/>
      <c r="J64" s="1300"/>
      <c r="K64" s="1370"/>
      <c r="L64" s="1370"/>
      <c r="M64" s="1300"/>
    </row>
    <row r="65" spans="2:13" ht="11.25" customHeight="1" x14ac:dyDescent="0.2">
      <c r="B65" s="1300" t="s">
        <v>1668</v>
      </c>
      <c r="G65" s="317"/>
      <c r="H65" s="317"/>
      <c r="I65" s="317"/>
      <c r="J65" s="317"/>
    </row>
    <row r="66" spans="2:13" ht="11.1" customHeight="1" x14ac:dyDescent="0.2">
      <c r="B66" s="1300"/>
      <c r="G66" s="317"/>
      <c r="H66" s="317"/>
      <c r="I66" s="317"/>
      <c r="J66" s="317"/>
    </row>
    <row r="67" spans="2:13" ht="11.1" customHeight="1" x14ac:dyDescent="0.2">
      <c r="B67" s="1300"/>
      <c r="G67" s="317"/>
      <c r="H67" s="317"/>
      <c r="I67" s="317"/>
      <c r="J67" s="317"/>
    </row>
    <row r="68" spans="2:13" ht="13.5" customHeight="1" x14ac:dyDescent="0.2">
      <c r="M68" s="1373"/>
    </row>
    <row r="69" spans="2:13" ht="13.5" customHeight="1" x14ac:dyDescent="0.2">
      <c r="M69" s="1373"/>
    </row>
    <row r="70" spans="2:13" ht="13.5" customHeight="1" x14ac:dyDescent="0.2">
      <c r="M70" s="1373"/>
    </row>
    <row r="71" spans="2:13" ht="13.5" customHeight="1" x14ac:dyDescent="0.2">
      <c r="G71" s="317"/>
      <c r="H71" s="317"/>
      <c r="I71" s="317"/>
      <c r="J71" s="317"/>
    </row>
    <row r="72" spans="2:13" ht="13.5" customHeight="1" x14ac:dyDescent="0.2">
      <c r="G72" s="317"/>
      <c r="H72" s="317"/>
      <c r="I72" s="317"/>
      <c r="J72" s="317"/>
    </row>
    <row r="73" spans="2:13" ht="13.5" customHeight="1" x14ac:dyDescent="0.2">
      <c r="G73" s="317"/>
      <c r="H73" s="317"/>
      <c r="I73" s="317"/>
      <c r="J73" s="317"/>
    </row>
    <row r="74" spans="2:13" ht="13.5" customHeight="1" x14ac:dyDescent="0.2">
      <c r="G74" s="317"/>
      <c r="H74" s="317"/>
      <c r="I74" s="317"/>
      <c r="J74" s="317"/>
    </row>
    <row r="75" spans="2:13" ht="13.5" customHeight="1" x14ac:dyDescent="0.2">
      <c r="G75" s="317"/>
      <c r="H75" s="317"/>
      <c r="I75" s="317"/>
      <c r="J75" s="317"/>
    </row>
    <row r="76" spans="2:13" ht="13.5" customHeight="1" x14ac:dyDescent="0.2">
      <c r="G76" s="317"/>
      <c r="H76" s="317"/>
      <c r="I76" s="317"/>
      <c r="J76" s="317"/>
    </row>
    <row r="77" spans="2:13" ht="13.5" customHeight="1" x14ac:dyDescent="0.2">
      <c r="G77" s="317"/>
      <c r="H77" s="317"/>
      <c r="I77" s="317"/>
      <c r="J77" s="317"/>
    </row>
    <row r="78" spans="2:13" ht="13.5" customHeight="1" x14ac:dyDescent="0.2"/>
    <row r="79" spans="2:13" ht="13.5" customHeight="1" x14ac:dyDescent="0.2"/>
    <row r="80" spans="2:13" ht="13.5" customHeight="1" x14ac:dyDescent="0.2"/>
    <row r="81" ht="25.5" customHeight="1" x14ac:dyDescent="0.2"/>
    <row r="82" ht="25.5" customHeight="1" x14ac:dyDescent="0.2"/>
    <row r="83" ht="25.5" customHeight="1" x14ac:dyDescent="0.2"/>
    <row r="84" ht="25.5" customHeight="1" x14ac:dyDescent="0.2"/>
    <row r="85" ht="25.5" customHeight="1" x14ac:dyDescent="0.2"/>
    <row r="86" ht="25.5" customHeight="1" x14ac:dyDescent="0.2"/>
    <row r="87" ht="25.5" customHeight="1" x14ac:dyDescent="0.2"/>
    <row r="88" ht="25.5" customHeight="1" x14ac:dyDescent="0.2"/>
    <row r="89" ht="25.5" customHeight="1" x14ac:dyDescent="0.2"/>
    <row r="90" ht="25.5" customHeight="1" x14ac:dyDescent="0.2"/>
    <row r="91" ht="25.5" customHeight="1" x14ac:dyDescent="0.2"/>
    <row r="92" ht="25.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4.7" customHeight="1" x14ac:dyDescent="0.2"/>
    <row r="131" ht="12.2"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4.7" customHeight="1" x14ac:dyDescent="0.2"/>
    <row r="17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Footer>&amp;C82</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Q62" sqref="Q6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3" t="s">
        <v>1230</v>
      </c>
      <c r="B2" s="2083"/>
      <c r="C2" s="2083"/>
      <c r="D2" s="2083"/>
      <c r="E2" s="2083"/>
      <c r="F2" s="2083"/>
      <c r="G2" s="2083"/>
      <c r="H2" s="2083"/>
      <c r="I2" s="2083"/>
      <c r="J2" s="208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1894</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7" t="s">
        <v>1731</v>
      </c>
      <c r="B35" s="2098"/>
      <c r="C35" s="2098"/>
      <c r="D35" s="2098"/>
      <c r="E35" s="2099"/>
      <c r="F35" s="2099"/>
      <c r="G35" s="2099"/>
      <c r="H35" s="2099"/>
      <c r="I35" s="209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7" t="s">
        <v>331</v>
      </c>
      <c r="B47" s="2100"/>
      <c r="C47" s="2100"/>
      <c r="D47" s="2100"/>
      <c r="E47" s="2101"/>
      <c r="F47" s="2101"/>
      <c r="G47" s="2101"/>
      <c r="H47" s="2101"/>
      <c r="I47" s="210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1893</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4"/>
      <c r="C57" s="2105"/>
      <c r="D57" s="2105"/>
      <c r="E57" s="2105"/>
      <c r="F57" s="2105"/>
      <c r="G57" s="2105"/>
      <c r="H57" s="2105"/>
      <c r="I57" s="2105"/>
      <c r="J57" s="2106"/>
    </row>
    <row r="58" spans="1:10" s="181" customFormat="1" x14ac:dyDescent="0.2">
      <c r="A58" s="253"/>
      <c r="B58" s="2107"/>
      <c r="C58" s="2108"/>
      <c r="D58" s="2108"/>
      <c r="E58" s="2108"/>
      <c r="F58" s="2108"/>
      <c r="G58" s="2108"/>
      <c r="H58" s="2108"/>
      <c r="I58" s="2108"/>
      <c r="J58" s="2109"/>
    </row>
    <row r="59" spans="1:10" s="181" customFormat="1" x14ac:dyDescent="0.2">
      <c r="A59" s="253"/>
      <c r="B59" s="2107"/>
      <c r="C59" s="2108"/>
      <c r="D59" s="2108"/>
      <c r="E59" s="2108"/>
      <c r="F59" s="2108"/>
      <c r="G59" s="2108"/>
      <c r="H59" s="2108"/>
      <c r="I59" s="2108"/>
      <c r="J59" s="2109"/>
    </row>
    <row r="60" spans="1:10" s="181" customFormat="1" x14ac:dyDescent="0.2">
      <c r="A60" s="253"/>
      <c r="B60" s="2107"/>
      <c r="C60" s="2108"/>
      <c r="D60" s="2108"/>
      <c r="E60" s="2108"/>
      <c r="F60" s="2108"/>
      <c r="G60" s="2108"/>
      <c r="H60" s="2108"/>
      <c r="I60" s="2108"/>
      <c r="J60" s="2109"/>
    </row>
    <row r="61" spans="1:10" s="181" customFormat="1" x14ac:dyDescent="0.2">
      <c r="A61" s="253"/>
      <c r="B61" s="2107"/>
      <c r="C61" s="2108"/>
      <c r="D61" s="2108"/>
      <c r="E61" s="2108"/>
      <c r="F61" s="2108"/>
      <c r="G61" s="2108"/>
      <c r="H61" s="2108"/>
      <c r="I61" s="2108"/>
      <c r="J61" s="2109"/>
    </row>
    <row r="62" spans="1:10" s="181" customFormat="1" x14ac:dyDescent="0.2">
      <c r="A62" s="253"/>
      <c r="B62" s="2107"/>
      <c r="C62" s="2108"/>
      <c r="D62" s="2108"/>
      <c r="E62" s="2108"/>
      <c r="F62" s="2108"/>
      <c r="G62" s="2108"/>
      <c r="H62" s="2108"/>
      <c r="I62" s="2108"/>
      <c r="J62" s="2109"/>
    </row>
    <row r="63" spans="1:10" s="181" customFormat="1" x14ac:dyDescent="0.2">
      <c r="A63" s="253"/>
      <c r="B63" s="2107"/>
      <c r="C63" s="2108"/>
      <c r="D63" s="2108"/>
      <c r="E63" s="2108"/>
      <c r="F63" s="2108"/>
      <c r="G63" s="2108"/>
      <c r="H63" s="2108"/>
      <c r="I63" s="2108"/>
      <c r="J63" s="2109"/>
    </row>
    <row r="64" spans="1:10" s="181" customFormat="1" x14ac:dyDescent="0.2">
      <c r="A64" s="253"/>
      <c r="B64" s="2107"/>
      <c r="C64" s="2108"/>
      <c r="D64" s="2108"/>
      <c r="E64" s="2108"/>
      <c r="F64" s="2108"/>
      <c r="G64" s="2108"/>
      <c r="H64" s="2108"/>
      <c r="I64" s="2108"/>
      <c r="J64" s="2109"/>
    </row>
    <row r="65" spans="1:10" s="181" customFormat="1" x14ac:dyDescent="0.2">
      <c r="A65" s="253"/>
      <c r="B65" s="2107"/>
      <c r="C65" s="2108"/>
      <c r="D65" s="2108"/>
      <c r="E65" s="2108"/>
      <c r="F65" s="2108"/>
      <c r="G65" s="2108"/>
      <c r="H65" s="2108"/>
      <c r="I65" s="2108"/>
      <c r="J65" s="2109"/>
    </row>
    <row r="66" spans="1:10" s="181" customFormat="1" x14ac:dyDescent="0.2">
      <c r="A66" s="253"/>
      <c r="B66" s="2107"/>
      <c r="C66" s="2108"/>
      <c r="D66" s="2108"/>
      <c r="E66" s="2108"/>
      <c r="F66" s="2108"/>
      <c r="G66" s="2108"/>
      <c r="H66" s="2108"/>
      <c r="I66" s="2108"/>
      <c r="J66" s="2109"/>
    </row>
    <row r="67" spans="1:10" s="181" customFormat="1" ht="9" customHeight="1" x14ac:dyDescent="0.2">
      <c r="A67" s="254"/>
      <c r="B67" s="2110"/>
      <c r="C67" s="2111"/>
      <c r="D67" s="2111"/>
      <c r="E67" s="2111"/>
      <c r="F67" s="2111"/>
      <c r="G67" s="2111"/>
      <c r="H67" s="2111"/>
      <c r="I67" s="2111"/>
      <c r="J67" s="211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7" t="s">
        <v>1390</v>
      </c>
      <c r="B70" s="2100"/>
      <c r="C70" s="2100"/>
      <c r="D70" s="2100"/>
      <c r="E70" s="2101"/>
      <c r="F70" s="2101"/>
      <c r="G70" s="2101"/>
      <c r="H70" s="2101"/>
      <c r="I70" s="210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2019</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2" t="s">
        <v>1387</v>
      </c>
      <c r="B83" s="2102"/>
      <c r="C83" s="2102"/>
      <c r="D83" s="210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4"/>
      <c r="C102" s="2085"/>
      <c r="D102" s="2085"/>
      <c r="E102" s="2085"/>
      <c r="F102" s="2085"/>
      <c r="G102" s="2085"/>
      <c r="H102" s="2085"/>
      <c r="I102" s="2086"/>
    </row>
    <row r="103" spans="1:9" s="181" customFormat="1" ht="11.25" customHeight="1" x14ac:dyDescent="0.2">
      <c r="A103" s="316"/>
      <c r="B103" s="2087"/>
      <c r="C103" s="2088"/>
      <c r="D103" s="2088"/>
      <c r="E103" s="2088"/>
      <c r="F103" s="2088"/>
      <c r="G103" s="2088"/>
      <c r="H103" s="2088"/>
      <c r="I103" s="2089"/>
    </row>
    <row r="104" spans="1:9" s="181" customFormat="1" ht="11.25" customHeight="1" x14ac:dyDescent="0.2">
      <c r="A104" s="316"/>
      <c r="B104" s="2087"/>
      <c r="C104" s="2088"/>
      <c r="D104" s="2088"/>
      <c r="E104" s="2088"/>
      <c r="F104" s="2088"/>
      <c r="G104" s="2088"/>
      <c r="H104" s="2088"/>
      <c r="I104" s="2089"/>
    </row>
    <row r="105" spans="1:9" s="181" customFormat="1" x14ac:dyDescent="0.2">
      <c r="A105" s="316"/>
      <c r="B105" s="2087"/>
      <c r="C105" s="2088"/>
      <c r="D105" s="2088"/>
      <c r="E105" s="2088"/>
      <c r="F105" s="2088"/>
      <c r="G105" s="2088"/>
      <c r="H105" s="2088"/>
      <c r="I105" s="2089"/>
    </row>
    <row r="106" spans="1:9" s="181" customFormat="1" ht="11.25" customHeight="1" x14ac:dyDescent="0.2">
      <c r="A106" s="316"/>
      <c r="B106" s="2087"/>
      <c r="C106" s="2088"/>
      <c r="D106" s="2088"/>
      <c r="E106" s="2088"/>
      <c r="F106" s="2088"/>
      <c r="G106" s="2088"/>
      <c r="H106" s="2088"/>
      <c r="I106" s="2089"/>
    </row>
    <row r="107" spans="1:9" s="181" customFormat="1" ht="11.25" customHeight="1" x14ac:dyDescent="0.2">
      <c r="A107" s="316"/>
      <c r="B107" s="2087"/>
      <c r="C107" s="2088"/>
      <c r="D107" s="2088"/>
      <c r="E107" s="2088"/>
      <c r="F107" s="2088"/>
      <c r="G107" s="2088"/>
      <c r="H107" s="2088"/>
      <c r="I107" s="2089"/>
    </row>
    <row r="108" spans="1:9" s="181" customFormat="1" ht="11.25" customHeight="1" x14ac:dyDescent="0.2">
      <c r="A108" s="316"/>
      <c r="B108" s="2087"/>
      <c r="C108" s="2088"/>
      <c r="D108" s="2088"/>
      <c r="E108" s="2088"/>
      <c r="F108" s="2088"/>
      <c r="G108" s="2088"/>
      <c r="H108" s="2088"/>
      <c r="I108" s="2089"/>
    </row>
    <row r="109" spans="1:9" s="181" customFormat="1" ht="11.25" customHeight="1" x14ac:dyDescent="0.2">
      <c r="A109" s="316"/>
      <c r="B109" s="2087"/>
      <c r="C109" s="2088"/>
      <c r="D109" s="2088"/>
      <c r="E109" s="2088"/>
      <c r="F109" s="2088"/>
      <c r="G109" s="2088"/>
      <c r="H109" s="2088"/>
      <c r="I109" s="2089"/>
    </row>
    <row r="110" spans="1:9" s="181" customFormat="1" ht="11.25" customHeight="1" x14ac:dyDescent="0.2">
      <c r="A110" s="316"/>
      <c r="B110" s="2087"/>
      <c r="C110" s="2088"/>
      <c r="D110" s="2088"/>
      <c r="E110" s="2088"/>
      <c r="F110" s="2088"/>
      <c r="G110" s="2088"/>
      <c r="H110" s="2088"/>
      <c r="I110" s="2089"/>
    </row>
    <row r="111" spans="1:9" s="181" customFormat="1" ht="11.25" customHeight="1" x14ac:dyDescent="0.2">
      <c r="A111" s="316"/>
      <c r="B111" s="2087"/>
      <c r="C111" s="2088"/>
      <c r="D111" s="2088"/>
      <c r="E111" s="2088"/>
      <c r="F111" s="2088"/>
      <c r="G111" s="2088"/>
      <c r="H111" s="2088"/>
      <c r="I111" s="2089"/>
    </row>
    <row r="112" spans="1:9" s="181" customFormat="1" ht="11.25" customHeight="1" x14ac:dyDescent="0.2">
      <c r="A112" s="316"/>
      <c r="B112" s="2090"/>
      <c r="C112" s="2091"/>
      <c r="D112" s="2091"/>
      <c r="E112" s="2091"/>
      <c r="F112" s="2091"/>
      <c r="G112" s="2091"/>
      <c r="H112" s="2091"/>
      <c r="I112" s="209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3"/>
      <c r="D114" s="209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4" t="s">
        <v>1397</v>
      </c>
      <c r="D117" s="2095"/>
      <c r="E117" s="2096"/>
      <c r="F117" s="2096"/>
      <c r="G117" s="2096"/>
      <c r="H117" s="2096"/>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2020</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 xml:space="preserve">&amp;C </oddHeader>
    <oddFooter>&amp;C90</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37" zoomScale="110" zoomScaleNormal="110" workbookViewId="0">
      <selection activeCell="G51" sqref="G51"/>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1" t="str">
        <f>'Single Audit Cover'!A7</f>
        <v>Eldorado CUSD 4</v>
      </c>
      <c r="C1" s="2492"/>
      <c r="D1" s="2492"/>
      <c r="E1" s="2492"/>
      <c r="F1" s="2492"/>
      <c r="G1" s="2492"/>
      <c r="H1" s="2492"/>
      <c r="I1" s="2492"/>
      <c r="J1" s="1422"/>
    </row>
    <row r="2" spans="2:10" s="317" customFormat="1" ht="12.75" customHeight="1" x14ac:dyDescent="0.2">
      <c r="B2" s="2493">
        <f>'Single Audit Cover'!E7</f>
        <v>20083004026</v>
      </c>
      <c r="C2" s="2494"/>
      <c r="D2" s="2494"/>
      <c r="E2" s="2494"/>
      <c r="F2" s="2494"/>
      <c r="G2" s="2494"/>
      <c r="H2" s="2494"/>
      <c r="I2" s="2494"/>
      <c r="J2" s="1422"/>
    </row>
    <row r="3" spans="2:10" s="317" customFormat="1" ht="12.75" customHeight="1" x14ac:dyDescent="0.2">
      <c r="B3" s="2495" t="s">
        <v>1347</v>
      </c>
      <c r="C3" s="2496"/>
      <c r="D3" s="2496"/>
      <c r="E3" s="2496"/>
      <c r="F3" s="2496"/>
      <c r="G3" s="2496"/>
      <c r="H3" s="2496"/>
      <c r="I3" s="2496"/>
      <c r="J3" s="1423"/>
    </row>
    <row r="4" spans="2:10" s="317" customFormat="1" ht="12.75" customHeight="1" x14ac:dyDescent="0.2">
      <c r="B4" s="2495" t="str">
        <f>'Single Audit Cover'!A4</f>
        <v>Year Ending June 30, 2018</v>
      </c>
      <c r="C4" s="2496"/>
      <c r="D4" s="2496"/>
      <c r="E4" s="2496"/>
      <c r="F4" s="2496"/>
      <c r="G4" s="2496"/>
      <c r="H4" s="2496"/>
      <c r="I4" s="2496"/>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95" t="s">
        <v>1346</v>
      </c>
      <c r="C7" s="2496"/>
      <c r="D7" s="2496"/>
      <c r="E7" s="2496"/>
      <c r="F7" s="2496"/>
      <c r="G7" s="2496"/>
      <c r="H7" s="2496"/>
      <c r="I7" s="2496"/>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97" t="s">
        <v>2191</v>
      </c>
      <c r="D11" s="2497"/>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2082</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2082</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2082</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2082</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2082</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98" t="s">
        <v>2192</v>
      </c>
      <c r="E29" s="2498"/>
      <c r="F29" s="2498"/>
      <c r="G29" s="2498"/>
      <c r="H29" s="2498"/>
      <c r="I29" s="2498"/>
    </row>
    <row r="30" spans="2:9" s="317" customFormat="1" x14ac:dyDescent="0.2">
      <c r="B30" s="1368"/>
      <c r="C30" s="322"/>
      <c r="D30" s="1433" t="s">
        <v>1849</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2082</v>
      </c>
      <c r="H33" s="1300" t="s">
        <v>101</v>
      </c>
    </row>
    <row r="35" spans="2:9" x14ac:dyDescent="0.2">
      <c r="B35" s="1441" t="s">
        <v>1850</v>
      </c>
      <c r="C35" s="1442"/>
      <c r="D35" s="1267"/>
    </row>
    <row r="36" spans="2:9" ht="6" customHeight="1" x14ac:dyDescent="0.2">
      <c r="B36" s="1441"/>
      <c r="C36" s="1442"/>
      <c r="D36" s="1267"/>
    </row>
    <row r="37" spans="2:9" ht="17.25" customHeight="1" x14ac:dyDescent="0.2">
      <c r="B37" s="1443" t="s">
        <v>1851</v>
      </c>
      <c r="C37" s="2499" t="s">
        <v>1852</v>
      </c>
      <c r="D37" s="2500"/>
      <c r="E37" s="2500"/>
      <c r="F37" s="2501"/>
      <c r="G37" s="2499" t="s">
        <v>1674</v>
      </c>
      <c r="H37" s="2500"/>
      <c r="I37" s="2501"/>
    </row>
    <row r="38" spans="2:9" ht="16.5" customHeight="1" x14ac:dyDescent="0.2">
      <c r="B38" s="1444">
        <v>10.555</v>
      </c>
      <c r="C38" s="2487" t="s">
        <v>2193</v>
      </c>
      <c r="D38" s="2488"/>
      <c r="E38" s="2488"/>
      <c r="F38" s="2489"/>
      <c r="G38" s="2502">
        <v>328289</v>
      </c>
      <c r="H38" s="2503"/>
      <c r="I38" s="2504"/>
    </row>
    <row r="39" spans="2:9" ht="16.5" customHeight="1" x14ac:dyDescent="0.2">
      <c r="B39" s="1444">
        <v>10.553000000000001</v>
      </c>
      <c r="C39" s="2487" t="s">
        <v>2193</v>
      </c>
      <c r="D39" s="2488"/>
      <c r="E39" s="2488"/>
      <c r="F39" s="2489"/>
      <c r="G39" s="2490">
        <v>56579</v>
      </c>
      <c r="H39" s="2490"/>
      <c r="I39" s="2490"/>
    </row>
    <row r="40" spans="2:9" ht="16.5" customHeight="1" x14ac:dyDescent="0.2">
      <c r="B40" s="1444" t="s">
        <v>2161</v>
      </c>
      <c r="C40" s="2487" t="s">
        <v>2194</v>
      </c>
      <c r="D40" s="2488"/>
      <c r="E40" s="2488"/>
      <c r="F40" s="2489"/>
      <c r="G40" s="2490">
        <v>514876</v>
      </c>
      <c r="H40" s="2490"/>
      <c r="I40" s="2490"/>
    </row>
    <row r="41" spans="2:9" ht="16.5" customHeight="1" x14ac:dyDescent="0.2">
      <c r="B41" s="1444"/>
      <c r="C41" s="2487"/>
      <c r="D41" s="2488"/>
      <c r="E41" s="2488"/>
      <c r="F41" s="2489"/>
      <c r="G41" s="2490"/>
      <c r="H41" s="2490"/>
      <c r="I41" s="2490"/>
    </row>
    <row r="42" spans="2:9" ht="16.5" customHeight="1" x14ac:dyDescent="0.2">
      <c r="B42" s="1444"/>
      <c r="C42" s="2487"/>
      <c r="D42" s="2488"/>
      <c r="E42" s="2488"/>
      <c r="F42" s="2489"/>
      <c r="G42" s="2490"/>
      <c r="H42" s="2490"/>
      <c r="I42" s="2490"/>
    </row>
    <row r="43" spans="2:9" ht="16.5" customHeight="1" x14ac:dyDescent="0.2">
      <c r="B43" s="1444"/>
      <c r="C43" s="2480" t="s">
        <v>1675</v>
      </c>
      <c r="D43" s="2481"/>
      <c r="E43" s="2481"/>
      <c r="F43" s="2482"/>
      <c r="G43" s="2483">
        <f>SUM(G38:I42)</f>
        <v>899744</v>
      </c>
      <c r="H43" s="2483"/>
      <c r="I43" s="2483"/>
    </row>
    <row r="44" spans="2:9" ht="12.75" customHeight="1" x14ac:dyDescent="0.2"/>
    <row r="45" spans="2:9" ht="12.75" customHeight="1" x14ac:dyDescent="0.2">
      <c r="B45" s="1435" t="s">
        <v>1950</v>
      </c>
      <c r="D45" s="2484">
        <v>1035764</v>
      </c>
      <c r="E45" s="2485"/>
    </row>
    <row r="46" spans="2:9" ht="5.25" customHeight="1" x14ac:dyDescent="0.2">
      <c r="B46" s="1445"/>
      <c r="D46" s="1446"/>
      <c r="E46" s="1447"/>
    </row>
    <row r="47" spans="2:9" ht="12.75" customHeight="1" x14ac:dyDescent="0.2">
      <c r="B47" s="1300" t="s">
        <v>1676</v>
      </c>
      <c r="C47" s="1300"/>
      <c r="D47" s="1448">
        <f>+G43/D45</f>
        <v>0.86867664834846547</v>
      </c>
      <c r="E47" s="1449"/>
      <c r="F47" s="1450"/>
      <c r="I47" s="1451"/>
    </row>
    <row r="48" spans="2:9" ht="9.9499999999999993" customHeight="1" x14ac:dyDescent="0.2"/>
    <row r="49" spans="1:9" x14ac:dyDescent="0.2">
      <c r="B49" s="1368" t="s">
        <v>1335</v>
      </c>
      <c r="C49" s="1282"/>
      <c r="D49" s="1282"/>
      <c r="E49" s="2486">
        <v>750000</v>
      </c>
      <c r="F49" s="2486"/>
      <c r="G49" s="2486"/>
      <c r="H49" s="322"/>
    </row>
    <row r="51" spans="1:9" ht="13.5" customHeight="1" x14ac:dyDescent="0.2">
      <c r="B51" s="1368" t="s">
        <v>1334</v>
      </c>
      <c r="C51" s="1282"/>
      <c r="E51" s="1438"/>
      <c r="F51" s="1300" t="s">
        <v>940</v>
      </c>
      <c r="G51" s="1438" t="s">
        <v>2082</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1853</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1854</v>
      </c>
      <c r="C58" s="1464"/>
      <c r="D58" s="1464"/>
    </row>
    <row r="59" spans="1:9" s="1461" customFormat="1" ht="3.95" customHeight="1" x14ac:dyDescent="0.2">
      <c r="A59" s="1458"/>
      <c r="B59" s="1463"/>
      <c r="C59" s="1464"/>
      <c r="D59" s="1464"/>
    </row>
    <row r="60" spans="1:9" s="1461" customFormat="1" ht="13.5" customHeight="1" x14ac:dyDescent="0.2">
      <c r="A60" s="1458"/>
      <c r="B60" s="1463" t="s">
        <v>1855</v>
      </c>
      <c r="C60" s="1464"/>
      <c r="D60" s="1464"/>
    </row>
    <row r="61" spans="1:9" s="1461" customFormat="1" ht="3.95" customHeight="1" x14ac:dyDescent="0.2">
      <c r="A61" s="1458"/>
      <c r="B61" s="1463"/>
      <c r="C61" s="1464"/>
      <c r="D61" s="1464"/>
    </row>
    <row r="62" spans="1:9" s="1461" customFormat="1" ht="12.75" customHeight="1" x14ac:dyDescent="0.2">
      <c r="A62" s="1458"/>
      <c r="B62" s="1463" t="s">
        <v>1856</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Footer>&amp;C85</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D10" sqref="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1" t="str">
        <f>'Single Audit Cover'!A7</f>
        <v>Eldorado CUSD 4</v>
      </c>
      <c r="C1" s="2491"/>
      <c r="D1" s="2491"/>
      <c r="E1" s="2491"/>
      <c r="F1" s="2491"/>
      <c r="G1" s="2491"/>
      <c r="H1" s="2491"/>
      <c r="I1" s="2491"/>
      <c r="J1" s="2491"/>
      <c r="K1" s="2491"/>
      <c r="L1" s="1374"/>
      <c r="M1" s="1374"/>
    </row>
    <row r="2" spans="1:13" ht="12" customHeight="1" x14ac:dyDescent="0.2">
      <c r="B2" s="2493">
        <f>'Single Audit Cover'!E7</f>
        <v>20083004026</v>
      </c>
      <c r="C2" s="2493"/>
      <c r="D2" s="2493"/>
      <c r="E2" s="2493"/>
      <c r="F2" s="2493"/>
      <c r="G2" s="2493"/>
      <c r="H2" s="2493"/>
      <c r="I2" s="2493"/>
      <c r="J2" s="2493"/>
      <c r="K2" s="2493"/>
      <c r="L2" s="1375"/>
      <c r="M2" s="1376"/>
    </row>
    <row r="3" spans="1:13" ht="10.35" customHeight="1" x14ac:dyDescent="0.2">
      <c r="B3" s="2507" t="s">
        <v>1347</v>
      </c>
      <c r="C3" s="2507"/>
      <c r="D3" s="2507"/>
      <c r="E3" s="2507"/>
      <c r="F3" s="2507"/>
      <c r="G3" s="2507"/>
      <c r="H3" s="2507"/>
      <c r="I3" s="2507"/>
      <c r="J3" s="2507"/>
      <c r="K3" s="2507"/>
      <c r="L3" s="1377"/>
      <c r="M3" s="1377"/>
    </row>
    <row r="4" spans="1:13" ht="14.25" customHeight="1" x14ac:dyDescent="0.2">
      <c r="B4" s="2508" t="str">
        <f>'Single Audit Cover'!A4</f>
        <v>Year Ending June 30, 2018</v>
      </c>
      <c r="C4" s="2508"/>
      <c r="D4" s="2508"/>
      <c r="E4" s="2508"/>
      <c r="F4" s="2508"/>
      <c r="G4" s="2508"/>
      <c r="H4" s="2508"/>
      <c r="I4" s="2508"/>
      <c r="J4" s="2508"/>
      <c r="K4" s="2508"/>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8" t="s">
        <v>1363</v>
      </c>
      <c r="C7" s="2508"/>
      <c r="D7" s="2509"/>
      <c r="E7" s="2509"/>
      <c r="F7" s="2509"/>
      <c r="G7" s="2509"/>
      <c r="H7" s="2509"/>
      <c r="I7" s="2509"/>
      <c r="J7" s="2509"/>
      <c r="K7" s="2509"/>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1843</v>
      </c>
      <c r="C10" s="1385" t="s">
        <v>1951</v>
      </c>
      <c r="D10" s="1386" t="s">
        <v>2146</v>
      </c>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06"/>
      <c r="C14" s="2506"/>
      <c r="D14" s="2506"/>
      <c r="E14" s="2506"/>
      <c r="F14" s="2506"/>
      <c r="G14" s="2506"/>
      <c r="H14" s="2506"/>
      <c r="I14" s="2506"/>
      <c r="J14" s="2506"/>
      <c r="K14" s="2506"/>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06"/>
      <c r="C17" s="2506"/>
      <c r="D17" s="2506"/>
      <c r="E17" s="2506"/>
      <c r="F17" s="2506"/>
      <c r="G17" s="2506"/>
      <c r="H17" s="2506"/>
      <c r="I17" s="2506"/>
      <c r="J17" s="2506"/>
      <c r="K17" s="2506"/>
      <c r="L17" s="1381"/>
    </row>
    <row r="18" spans="2:12" ht="4.5" customHeight="1" x14ac:dyDescent="0.2">
      <c r="B18" s="1398"/>
      <c r="C18" s="1398"/>
      <c r="L18" s="1381"/>
    </row>
    <row r="19" spans="2:12" s="1282" customFormat="1" ht="13.5" customHeight="1" x14ac:dyDescent="0.2">
      <c r="B19" s="1393" t="s">
        <v>1844</v>
      </c>
      <c r="C19" s="1393"/>
      <c r="D19" s="1394"/>
      <c r="E19" s="1394"/>
      <c r="F19" s="1394"/>
      <c r="G19" s="1395"/>
      <c r="H19" s="1394"/>
      <c r="I19" s="1395"/>
      <c r="J19" s="1394"/>
      <c r="K19" s="1394"/>
      <c r="L19" s="1396"/>
    </row>
    <row r="20" spans="2:12" ht="45.75" customHeight="1" x14ac:dyDescent="0.2">
      <c r="B20" s="2510"/>
      <c r="C20" s="2510"/>
      <c r="D20" s="2506"/>
      <c r="E20" s="2506"/>
      <c r="F20" s="2506"/>
      <c r="G20" s="2506"/>
      <c r="H20" s="2506"/>
      <c r="I20" s="2506"/>
      <c r="J20" s="2506"/>
      <c r="K20" s="2506"/>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06"/>
      <c r="C23" s="2506"/>
      <c r="D23" s="2506"/>
      <c r="E23" s="2506"/>
      <c r="F23" s="2506"/>
      <c r="G23" s="2506"/>
      <c r="H23" s="2506"/>
      <c r="I23" s="2506"/>
      <c r="J23" s="2506"/>
      <c r="K23" s="2506"/>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06"/>
      <c r="C26" s="2506"/>
      <c r="D26" s="2506"/>
      <c r="E26" s="2506"/>
      <c r="F26" s="2506"/>
      <c r="G26" s="2506"/>
      <c r="H26" s="2506"/>
      <c r="I26" s="2506"/>
      <c r="J26" s="2506"/>
      <c r="K26" s="2506"/>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05"/>
      <c r="C29" s="2505"/>
      <c r="D29" s="2506"/>
      <c r="E29" s="2506"/>
      <c r="F29" s="2506"/>
      <c r="G29" s="2506"/>
      <c r="H29" s="2506"/>
      <c r="I29" s="2506"/>
      <c r="J29" s="2506"/>
      <c r="K29" s="2506"/>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1845</v>
      </c>
      <c r="C31" s="1403"/>
      <c r="D31" s="1378"/>
      <c r="E31" s="1379"/>
      <c r="F31" s="1379"/>
      <c r="G31" s="1380"/>
      <c r="H31" s="1379"/>
      <c r="I31" s="1380"/>
      <c r="J31" s="1379"/>
      <c r="K31" s="1379"/>
      <c r="L31" s="1381"/>
    </row>
    <row r="32" spans="2:12" s="322" customFormat="1" ht="44.25" customHeight="1" x14ac:dyDescent="0.2">
      <c r="B32" s="2505"/>
      <c r="C32" s="2505"/>
      <c r="D32" s="2506"/>
      <c r="E32" s="2506"/>
      <c r="F32" s="2506"/>
      <c r="G32" s="2506"/>
      <c r="H32" s="2506"/>
      <c r="I32" s="2506"/>
      <c r="J32" s="2506"/>
      <c r="K32" s="2506"/>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1846</v>
      </c>
      <c r="C35" s="1419"/>
      <c r="D35" s="322"/>
      <c r="E35" s="322"/>
      <c r="F35" s="322"/>
      <c r="L35" s="1381"/>
    </row>
    <row r="36" spans="1:13" ht="9.6" customHeight="1" x14ac:dyDescent="0.2">
      <c r="B36" s="1300" t="s">
        <v>1952</v>
      </c>
      <c r="C36" s="1300"/>
      <c r="L36" s="1381"/>
    </row>
    <row r="37" spans="1:13" ht="9.6" customHeight="1" x14ac:dyDescent="0.2">
      <c r="B37" s="1300" t="s">
        <v>1953</v>
      </c>
      <c r="C37" s="1300"/>
    </row>
    <row r="38" spans="1:13" ht="11.85" customHeight="1" x14ac:dyDescent="0.2">
      <c r="B38" s="1420" t="s">
        <v>1847</v>
      </c>
      <c r="C38" s="1420"/>
    </row>
    <row r="39" spans="1:13" ht="9.6" customHeight="1" x14ac:dyDescent="0.2">
      <c r="B39" s="1300" t="s">
        <v>1348</v>
      </c>
      <c r="C39" s="1300"/>
      <c r="M39" s="1421"/>
    </row>
    <row r="40" spans="1:13" ht="12.6" customHeight="1" x14ac:dyDescent="0.2">
      <c r="B40" s="1420" t="s">
        <v>1848</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Footer>&amp;C86</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D8" sqref="D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4" t="str">
        <f>'Single Audit Cover'!A7</f>
        <v>Eldorado CUSD 4</v>
      </c>
      <c r="C1" s="2514"/>
      <c r="D1" s="2514"/>
      <c r="E1" s="2514"/>
      <c r="F1" s="2514"/>
      <c r="G1" s="2514"/>
      <c r="H1" s="2514"/>
      <c r="I1" s="2514"/>
      <c r="J1" s="2514"/>
      <c r="K1" s="2514"/>
      <c r="L1" s="1465"/>
    </row>
    <row r="2" spans="1:12" ht="12.75" customHeight="1" x14ac:dyDescent="0.2">
      <c r="B2" s="2515">
        <f>'Single Audit Cover'!E7</f>
        <v>20083004026</v>
      </c>
      <c r="C2" s="2515"/>
      <c r="D2" s="2515"/>
      <c r="E2" s="2515"/>
      <c r="F2" s="2515"/>
      <c r="G2" s="2515"/>
      <c r="H2" s="2515"/>
      <c r="I2" s="2515"/>
      <c r="J2" s="2515"/>
      <c r="K2" s="2515"/>
      <c r="L2" s="1466"/>
    </row>
    <row r="3" spans="1:12" ht="12.75" customHeight="1" x14ac:dyDescent="0.2">
      <c r="B3" s="2507" t="s">
        <v>1347</v>
      </c>
      <c r="C3" s="2507"/>
      <c r="D3" s="2507"/>
      <c r="E3" s="2507"/>
      <c r="F3" s="2507"/>
      <c r="G3" s="2507"/>
      <c r="H3" s="2507"/>
      <c r="I3" s="2507"/>
      <c r="J3" s="2507"/>
      <c r="K3" s="2507"/>
      <c r="L3" s="1377"/>
    </row>
    <row r="4" spans="1:12" ht="12.75" customHeight="1" x14ac:dyDescent="0.2">
      <c r="B4" s="2507" t="str">
        <f>'Single Audit Cover'!A4</f>
        <v>Year Ending June 30, 2018</v>
      </c>
      <c r="C4" s="2507"/>
      <c r="D4" s="2507"/>
      <c r="E4" s="2507"/>
      <c r="F4" s="2507"/>
      <c r="G4" s="2507"/>
      <c r="H4" s="2507"/>
      <c r="I4" s="2507"/>
      <c r="J4" s="2507"/>
      <c r="K4" s="2507"/>
      <c r="L4" s="1377"/>
    </row>
    <row r="5" spans="1:12" ht="5.25" customHeight="1" x14ac:dyDescent="0.2">
      <c r="B5" s="1260" t="s">
        <v>1231</v>
      </c>
      <c r="C5" s="1260"/>
      <c r="L5" s="322"/>
    </row>
    <row r="6" spans="1:12" ht="30.75" customHeight="1" x14ac:dyDescent="0.2">
      <c r="A6" s="322"/>
      <c r="B6" s="2516" t="s">
        <v>1375</v>
      </c>
      <c r="C6" s="2516"/>
      <c r="D6" s="2516"/>
      <c r="E6" s="2516"/>
      <c r="F6" s="2516"/>
      <c r="G6" s="2516"/>
      <c r="H6" s="2516"/>
      <c r="I6" s="2516"/>
      <c r="J6" s="2516"/>
      <c r="K6" s="2516"/>
      <c r="L6" s="322"/>
    </row>
    <row r="7" spans="1:12" ht="4.5" customHeight="1" x14ac:dyDescent="0.2">
      <c r="B7" s="1379"/>
      <c r="C7" s="1379"/>
      <c r="D7" s="1379"/>
      <c r="E7" s="1379"/>
      <c r="F7" s="1379"/>
      <c r="G7" s="1380"/>
      <c r="H7" s="1379"/>
      <c r="I7" s="1380"/>
      <c r="J7" s="1379"/>
      <c r="K7" s="1379"/>
      <c r="L7" s="322"/>
    </row>
    <row r="8" spans="1:12" ht="13.5" customHeight="1" x14ac:dyDescent="0.2">
      <c r="B8" s="1387" t="s">
        <v>1857</v>
      </c>
      <c r="C8" s="1467" t="s">
        <v>1951</v>
      </c>
      <c r="D8" s="1468" t="s">
        <v>2146</v>
      </c>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98"/>
      <c r="G12" s="2498"/>
      <c r="H12" s="2498"/>
      <c r="I12" s="2498"/>
      <c r="J12" s="2498"/>
      <c r="K12" s="249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11"/>
      <c r="E14" s="2511"/>
      <c r="F14" s="2511"/>
      <c r="H14" s="1475" t="s">
        <v>1370</v>
      </c>
      <c r="I14" s="2512"/>
      <c r="J14" s="2512"/>
      <c r="K14" s="251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12"/>
      <c r="E16" s="2512"/>
      <c r="F16" s="2512"/>
      <c r="G16" s="2512"/>
      <c r="H16" s="2512"/>
      <c r="I16" s="2512"/>
      <c r="J16" s="2512"/>
      <c r="K16" s="2512"/>
      <c r="L16" s="322"/>
    </row>
    <row r="17" spans="2:12" ht="13.5" customHeight="1" x14ac:dyDescent="0.2">
      <c r="B17" s="1387" t="s">
        <v>1368</v>
      </c>
      <c r="C17" s="1387"/>
      <c r="D17" s="2513"/>
      <c r="E17" s="2513"/>
      <c r="F17" s="2513"/>
      <c r="G17" s="2513"/>
      <c r="H17" s="2513"/>
      <c r="I17" s="2513"/>
      <c r="J17" s="2513"/>
      <c r="K17" s="251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06"/>
      <c r="C20" s="2506"/>
      <c r="D20" s="2506"/>
      <c r="E20" s="2506"/>
      <c r="F20" s="2506"/>
      <c r="G20" s="2506"/>
      <c r="H20" s="2506"/>
      <c r="I20" s="2506"/>
      <c r="J20" s="2506"/>
      <c r="K20" s="2506"/>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1858</v>
      </c>
      <c r="C22" s="1477"/>
      <c r="D22" s="322"/>
      <c r="E22" s="322"/>
      <c r="F22" s="322"/>
      <c r="G22" s="1383"/>
      <c r="H22" s="322"/>
      <c r="I22" s="1383"/>
      <c r="J22" s="322"/>
      <c r="K22" s="322"/>
      <c r="L22" s="322"/>
    </row>
    <row r="23" spans="2:12" ht="37.5" customHeight="1" x14ac:dyDescent="0.2">
      <c r="B23" s="2506"/>
      <c r="C23" s="2506"/>
      <c r="D23" s="2506"/>
      <c r="E23" s="2506"/>
      <c r="F23" s="2506"/>
      <c r="G23" s="2506"/>
      <c r="H23" s="2506"/>
      <c r="I23" s="2506"/>
      <c r="J23" s="2506"/>
      <c r="K23" s="2506"/>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1859</v>
      </c>
      <c r="C25" s="1477"/>
      <c r="D25" s="322"/>
      <c r="E25" s="322"/>
      <c r="F25" s="322"/>
      <c r="G25" s="1383"/>
      <c r="H25" s="322"/>
      <c r="I25" s="1383"/>
      <c r="J25" s="322"/>
      <c r="K25" s="322"/>
      <c r="L25" s="322"/>
    </row>
    <row r="26" spans="2:12" ht="37.5" customHeight="1" x14ac:dyDescent="0.2">
      <c r="B26" s="2506"/>
      <c r="C26" s="2506"/>
      <c r="D26" s="2506"/>
      <c r="E26" s="2506"/>
      <c r="F26" s="2506"/>
      <c r="G26" s="2506"/>
      <c r="H26" s="2506"/>
      <c r="I26" s="2506"/>
      <c r="J26" s="2506"/>
      <c r="K26" s="2506"/>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1860</v>
      </c>
      <c r="C28" s="1477"/>
      <c r="D28" s="322"/>
      <c r="E28" s="322"/>
      <c r="F28" s="322"/>
      <c r="G28" s="1383"/>
      <c r="H28" s="322"/>
      <c r="I28" s="1383"/>
      <c r="J28" s="322"/>
      <c r="K28" s="322"/>
      <c r="L28" s="322"/>
    </row>
    <row r="29" spans="2:12" ht="37.5" customHeight="1" x14ac:dyDescent="0.2">
      <c r="B29" s="2506"/>
      <c r="C29" s="2506"/>
      <c r="D29" s="2506"/>
      <c r="E29" s="2506"/>
      <c r="F29" s="2506"/>
      <c r="G29" s="2506"/>
      <c r="H29" s="2506"/>
      <c r="I29" s="2506"/>
      <c r="J29" s="2506"/>
      <c r="K29" s="2506"/>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06"/>
      <c r="C32" s="2506"/>
      <c r="D32" s="2506"/>
      <c r="E32" s="2506"/>
      <c r="F32" s="2506"/>
      <c r="G32" s="2506"/>
      <c r="H32" s="2506"/>
      <c r="I32" s="2506"/>
      <c r="J32" s="2506"/>
      <c r="K32" s="2506"/>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06"/>
      <c r="C35" s="2506"/>
      <c r="D35" s="2506"/>
      <c r="E35" s="2506"/>
      <c r="F35" s="2506"/>
      <c r="G35" s="2506"/>
      <c r="H35" s="2506"/>
      <c r="I35" s="2506"/>
      <c r="J35" s="2506"/>
      <c r="K35" s="2506"/>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06"/>
      <c r="C38" s="2506"/>
      <c r="D38" s="2506"/>
      <c r="E38" s="2506"/>
      <c r="F38" s="2506"/>
      <c r="G38" s="2506"/>
      <c r="H38" s="2506"/>
      <c r="I38" s="2506"/>
      <c r="J38" s="2506"/>
      <c r="K38" s="2506"/>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1861</v>
      </c>
      <c r="C40" s="1403"/>
      <c r="D40" s="1378"/>
      <c r="E40" s="1379"/>
      <c r="F40" s="1379"/>
      <c r="G40" s="1380"/>
      <c r="H40" s="1379"/>
      <c r="I40" s="1380"/>
      <c r="J40" s="1379"/>
      <c r="K40" s="1379"/>
    </row>
    <row r="41" spans="2:12" s="322" customFormat="1" ht="33.75" customHeight="1" x14ac:dyDescent="0.2">
      <c r="B41" s="2506"/>
      <c r="C41" s="2506"/>
      <c r="D41" s="2506"/>
      <c r="E41" s="2506"/>
      <c r="F41" s="2506"/>
      <c r="G41" s="2506"/>
      <c r="H41" s="2506"/>
      <c r="I41" s="2506"/>
      <c r="J41" s="2506"/>
      <c r="K41" s="2506"/>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1862</v>
      </c>
      <c r="C48" s="1419"/>
      <c r="D48" s="322"/>
      <c r="E48" s="322"/>
      <c r="F48" s="322"/>
    </row>
    <row r="49" spans="2:3" s="317" customFormat="1" ht="10.5" customHeight="1" x14ac:dyDescent="0.2">
      <c r="B49" s="1420" t="s">
        <v>1863</v>
      </c>
      <c r="C49" s="1420"/>
    </row>
    <row r="50" spans="2:3" s="317" customFormat="1" ht="11.1" customHeight="1" x14ac:dyDescent="0.2">
      <c r="B50" s="1420" t="s">
        <v>1864</v>
      </c>
      <c r="C50" s="1420"/>
    </row>
    <row r="51" spans="2:3" s="317" customFormat="1" ht="11.1" customHeight="1" x14ac:dyDescent="0.2">
      <c r="B51" s="1420" t="s">
        <v>1865</v>
      </c>
      <c r="C51" s="1420"/>
    </row>
    <row r="52" spans="2:3" s="317" customFormat="1" ht="11.1" customHeight="1" x14ac:dyDescent="0.2">
      <c r="B52" s="1420" t="s">
        <v>1866</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Footer>&amp;C87</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91" t="str">
        <f>'Single Audit Cover'!A7</f>
        <v>Eldorado CUSD 4</v>
      </c>
      <c r="C1" s="2491"/>
      <c r="D1" s="2491"/>
      <c r="E1" s="1491"/>
    </row>
    <row r="2" spans="2:5" s="1282" customFormat="1" ht="12.75" customHeight="1" x14ac:dyDescent="0.2">
      <c r="B2" s="2493">
        <f>'Single Audit Cover'!E7</f>
        <v>20083004026</v>
      </c>
      <c r="C2" s="2493"/>
      <c r="D2" s="2493"/>
      <c r="E2" s="1492"/>
    </row>
    <row r="3" spans="2:5" ht="12.75" customHeight="1" x14ac:dyDescent="0.2">
      <c r="B3" s="2507" t="s">
        <v>1867</v>
      </c>
      <c r="C3" s="2507"/>
      <c r="D3" s="2507"/>
      <c r="E3" s="1274"/>
    </row>
    <row r="4" spans="2:5" s="1282" customFormat="1" ht="12.75" customHeight="1" x14ac:dyDescent="0.2">
      <c r="B4" s="2517" t="str">
        <f>'Single Audit Cover'!A4</f>
        <v>Year Ending June 30, 2018</v>
      </c>
      <c r="C4" s="2517"/>
      <c r="D4" s="2517"/>
      <c r="E4" s="1493"/>
    </row>
    <row r="5" spans="2:5" s="1282" customFormat="1" ht="40.15" customHeight="1" x14ac:dyDescent="0.2">
      <c r="B5" s="1494" t="s">
        <v>1868</v>
      </c>
      <c r="C5" s="328"/>
      <c r="D5" s="328"/>
      <c r="E5" s="328"/>
    </row>
    <row r="6" spans="2:5" s="1282" customFormat="1" ht="13.5" customHeight="1" x14ac:dyDescent="0.2">
      <c r="B6" s="1495" t="s">
        <v>1382</v>
      </c>
      <c r="C6" s="1495" t="s">
        <v>1381</v>
      </c>
      <c r="D6" s="1495" t="s">
        <v>1869</v>
      </c>
    </row>
    <row r="7" spans="2:5" ht="13.5" customHeight="1" x14ac:dyDescent="0.2">
      <c r="B7" s="1496" t="s">
        <v>2189</v>
      </c>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1870</v>
      </c>
    </row>
    <row r="46" spans="2:5" ht="12.2" customHeight="1" x14ac:dyDescent="0.2">
      <c r="B46" s="1505" t="s">
        <v>1871</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Footer>&amp;C88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3" t="s">
        <v>404</v>
      </c>
      <c r="B1" s="2113"/>
      <c r="C1" s="2113"/>
      <c r="D1" s="2113"/>
      <c r="E1" s="2113"/>
      <c r="F1" s="2113"/>
      <c r="G1" s="2113"/>
      <c r="H1" s="2113"/>
      <c r="I1" s="2113"/>
      <c r="J1" s="2113"/>
      <c r="K1" s="2113"/>
      <c r="L1" s="2113"/>
      <c r="M1" s="211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57765321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2.2842999999999999E-2</v>
      </c>
      <c r="E10" s="356" t="s">
        <v>1062</v>
      </c>
      <c r="F10" s="355">
        <v>5.0000000000000001E-3</v>
      </c>
      <c r="G10" s="356" t="s">
        <v>1062</v>
      </c>
      <c r="H10" s="355">
        <v>2E-3</v>
      </c>
      <c r="I10" s="356" t="s">
        <v>1063</v>
      </c>
      <c r="J10" s="1754">
        <f>ROUND(D10+F10+H10,5)</f>
        <v>2.9839999999999998E-2</v>
      </c>
      <c r="K10" s="222"/>
      <c r="L10" s="355">
        <v>2.9839999999999998E-2</v>
      </c>
      <c r="M10" s="222"/>
    </row>
    <row r="11" spans="1:14" ht="7.5" customHeight="1" x14ac:dyDescent="0.2">
      <c r="B11" s="222"/>
      <c r="C11" s="222"/>
      <c r="D11" s="2123" t="str">
        <f>IF(SUM(J10)&lt;=0.0999999,"","Enter the Tax Rates by moving the decimal two places to the left.")</f>
        <v/>
      </c>
      <c r="E11" s="2124"/>
      <c r="F11" s="2124"/>
      <c r="G11" s="2124"/>
      <c r="H11" s="2124"/>
      <c r="I11" s="2124"/>
      <c r="J11" s="212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12181383</v>
      </c>
      <c r="E16" s="356"/>
      <c r="F16" s="1755">
        <f>SUM('Acct Summary 7-8'!C17,'Acct Summary 7-8'!D17,'Acct Summary 7-8'!F17)</f>
        <v>10657744</v>
      </c>
      <c r="G16" s="356"/>
      <c r="H16" s="1755">
        <f>SUM(D16-F16)</f>
        <v>1523639</v>
      </c>
      <c r="I16" s="222"/>
      <c r="J16" s="1755">
        <f>SUM('Acct Summary 7-8'!C81,'Acct Summary 7-8'!D81,'Acct Summary 7-8'!F81,'Acct Summary 7-8'!I81)</f>
        <v>3411464</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7971614.2980000004</v>
      </c>
      <c r="I31" s="368"/>
      <c r="J31" s="222"/>
      <c r="K31" s="222"/>
      <c r="L31" s="222"/>
      <c r="M31" s="222"/>
    </row>
    <row r="32" spans="1:13" ht="13.35" customHeight="1" x14ac:dyDescent="0.2">
      <c r="B32" s="369" t="s">
        <v>2095</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3544477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4"/>
      <c r="C54" s="2115"/>
      <c r="D54" s="2115"/>
      <c r="E54" s="2115"/>
      <c r="F54" s="2115"/>
      <c r="G54" s="2115"/>
      <c r="H54" s="2115"/>
      <c r="I54" s="2115"/>
      <c r="J54" s="2115"/>
      <c r="K54" s="2115"/>
      <c r="L54" s="2116"/>
      <c r="M54" s="380"/>
    </row>
    <row r="55" spans="1:13" ht="12.75" customHeight="1" x14ac:dyDescent="0.2">
      <c r="B55" s="2117"/>
      <c r="C55" s="2118"/>
      <c r="D55" s="2118"/>
      <c r="E55" s="2118"/>
      <c r="F55" s="2118"/>
      <c r="G55" s="2118"/>
      <c r="H55" s="2118"/>
      <c r="I55" s="2118"/>
      <c r="J55" s="2118"/>
      <c r="K55" s="2118"/>
      <c r="L55" s="2119"/>
      <c r="M55" s="380"/>
    </row>
    <row r="56" spans="1:13" ht="12.75" customHeight="1" x14ac:dyDescent="0.2">
      <c r="B56" s="2117"/>
      <c r="C56" s="2118"/>
      <c r="D56" s="2118"/>
      <c r="E56" s="2118"/>
      <c r="F56" s="2118"/>
      <c r="G56" s="2118"/>
      <c r="H56" s="2118"/>
      <c r="I56" s="2118"/>
      <c r="J56" s="2118"/>
      <c r="K56" s="2118"/>
      <c r="L56" s="2119"/>
      <c r="M56" s="222"/>
    </row>
    <row r="57" spans="1:13" ht="12.75" customHeight="1" x14ac:dyDescent="0.2">
      <c r="B57" s="2117"/>
      <c r="C57" s="2118"/>
      <c r="D57" s="2118"/>
      <c r="E57" s="2118"/>
      <c r="F57" s="2118"/>
      <c r="G57" s="2118"/>
      <c r="H57" s="2118"/>
      <c r="I57" s="2118"/>
      <c r="J57" s="2118"/>
      <c r="K57" s="2118"/>
      <c r="L57" s="2119"/>
      <c r="M57" s="222"/>
    </row>
    <row r="58" spans="1:13" x14ac:dyDescent="0.2">
      <c r="B58" s="2120"/>
      <c r="C58" s="2121"/>
      <c r="D58" s="2121"/>
      <c r="E58" s="2121"/>
      <c r="F58" s="2121"/>
      <c r="G58" s="2121"/>
      <c r="H58" s="2121"/>
      <c r="I58" s="2121"/>
      <c r="J58" s="2121"/>
      <c r="K58" s="2121"/>
      <c r="L58" s="212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5"/>
      <c r="D61" s="212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 xml:space="preserve">&amp;C </oddHeader>
    <oddFooter>&amp;C92</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9"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8"/>
      <c r="B1" s="2129"/>
      <c r="C1" s="2129"/>
      <c r="D1" s="384"/>
      <c r="E1" s="384"/>
      <c r="F1" s="384"/>
      <c r="G1" s="384"/>
      <c r="H1" s="384"/>
      <c r="I1" s="384"/>
      <c r="J1" s="384"/>
      <c r="K1" s="384"/>
      <c r="L1" s="384"/>
      <c r="M1" s="384"/>
      <c r="N1" s="384"/>
      <c r="O1" s="2128"/>
      <c r="P1" s="2129"/>
      <c r="Q1" s="2129"/>
    </row>
    <row r="2" spans="1:18" ht="15" x14ac:dyDescent="0.2">
      <c r="A2" s="2132" t="s">
        <v>577</v>
      </c>
      <c r="B2" s="2132"/>
      <c r="C2" s="2132"/>
      <c r="D2" s="2132"/>
      <c r="E2" s="2132"/>
      <c r="F2" s="2132"/>
      <c r="G2" s="2132"/>
      <c r="H2" s="2132"/>
      <c r="I2" s="2132"/>
      <c r="J2" s="2132"/>
      <c r="K2" s="2132"/>
      <c r="L2" s="2132"/>
      <c r="M2" s="2132"/>
      <c r="N2" s="2132"/>
      <c r="O2" s="2132"/>
      <c r="P2" s="2132"/>
      <c r="Q2" s="2132"/>
      <c r="R2" s="2132"/>
    </row>
    <row r="3" spans="1:18" ht="12.75" x14ac:dyDescent="0.2">
      <c r="A3" s="2133" t="s">
        <v>1480</v>
      </c>
      <c r="B3" s="2133"/>
      <c r="C3" s="2133"/>
      <c r="D3" s="2133"/>
      <c r="E3" s="2133"/>
      <c r="F3" s="2133"/>
      <c r="G3" s="2133"/>
      <c r="H3" s="2133"/>
      <c r="I3" s="2133"/>
      <c r="J3" s="2133"/>
      <c r="K3" s="2133"/>
      <c r="L3" s="2133"/>
      <c r="M3" s="2133"/>
      <c r="N3" s="2133"/>
      <c r="O3" s="2133"/>
      <c r="P3" s="2133"/>
      <c r="Q3" s="2133"/>
      <c r="R3" s="2133"/>
    </row>
    <row r="4" spans="1:18" x14ac:dyDescent="0.2">
      <c r="A4" s="2134" t="s">
        <v>1635</v>
      </c>
      <c r="B4" s="2134"/>
      <c r="C4" s="2134"/>
      <c r="D4" s="2134"/>
      <c r="E4" s="2134"/>
      <c r="F4" s="2134"/>
      <c r="G4" s="2134"/>
      <c r="H4" s="2134"/>
      <c r="I4" s="2134"/>
      <c r="J4" s="2134"/>
      <c r="K4" s="2134"/>
      <c r="L4" s="2134"/>
      <c r="M4" s="2134"/>
      <c r="N4" s="2134"/>
      <c r="O4" s="2134"/>
      <c r="P4" s="2134"/>
      <c r="Q4" s="2134"/>
      <c r="R4" s="213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Eldorado CUSD 4</v>
      </c>
      <c r="E7" s="391"/>
      <c r="G7" s="252"/>
      <c r="H7" s="387"/>
      <c r="I7" s="387"/>
      <c r="J7" s="387"/>
      <c r="K7" s="387"/>
      <c r="L7" s="329"/>
      <c r="M7" s="329"/>
      <c r="N7" s="329"/>
      <c r="O7" s="329"/>
      <c r="P7" s="329"/>
    </row>
    <row r="8" spans="1:18" ht="12.75" x14ac:dyDescent="0.2">
      <c r="A8" s="329"/>
      <c r="B8" s="329"/>
      <c r="C8" s="389" t="s">
        <v>1187</v>
      </c>
      <c r="D8" s="392">
        <f>COVER!A13</f>
        <v>20083004026</v>
      </c>
      <c r="E8" s="393"/>
      <c r="G8" s="329"/>
      <c r="H8" s="329"/>
      <c r="I8" s="329"/>
      <c r="J8" s="329"/>
      <c r="K8" s="329"/>
      <c r="L8" s="329"/>
      <c r="M8" s="329"/>
      <c r="N8" s="329"/>
      <c r="O8" s="329"/>
      <c r="P8" s="329"/>
    </row>
    <row r="9" spans="1:18" ht="12.75" x14ac:dyDescent="0.2">
      <c r="A9" s="329"/>
      <c r="B9" s="329"/>
      <c r="C9" s="389" t="s">
        <v>737</v>
      </c>
      <c r="D9" s="394" t="str">
        <f>COVER!A15</f>
        <v>Saline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3411464</v>
      </c>
      <c r="I12" s="404"/>
      <c r="J12" s="404"/>
      <c r="K12" s="405">
        <f>TRUNC((H12/H13*100000),5)/100000</f>
        <v>0.2800555569</v>
      </c>
      <c r="L12" s="406"/>
      <c r="M12" s="360" t="s">
        <v>1206</v>
      </c>
      <c r="N12" s="360"/>
      <c r="O12" s="407">
        <v>0.35</v>
      </c>
      <c r="P12" s="218"/>
      <c r="Q12" s="218"/>
    </row>
    <row r="13" spans="1:18" s="408" customFormat="1" ht="12.75" x14ac:dyDescent="0.2">
      <c r="A13" s="218"/>
      <c r="B13" s="401"/>
      <c r="C13" s="2130" t="s">
        <v>1391</v>
      </c>
      <c r="D13" s="2131"/>
      <c r="E13" s="218"/>
      <c r="F13" s="409" t="s">
        <v>826</v>
      </c>
      <c r="G13" s="402"/>
      <c r="H13" s="403">
        <f>SUM('Acct Summary 7-8'!C8+'Acct Summary 7-8'!D8+'Acct Summary 7-8'!F8+'Acct Summary 7-8'!I8)+H14</f>
        <v>12181383</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10657744</v>
      </c>
      <c r="I17" s="404"/>
      <c r="J17" s="416"/>
      <c r="K17" s="405">
        <f>TRUNC((H17/H18*100000),5)/100000</f>
        <v>0.87492068830000003</v>
      </c>
      <c r="L17" s="406"/>
      <c r="M17" s="417" t="s">
        <v>1233</v>
      </c>
      <c r="O17" s="418" t="str">
        <f>IF(AND(O16="2", J20 &gt; 2),"1",IF(AND(O16 = "1", J20 &gt; 2),"2",IF(AND(O16="1", J20 &gt;1),"1","0")))</f>
        <v>0</v>
      </c>
      <c r="P17" s="218"/>
    </row>
    <row r="18" spans="1:18" s="408" customFormat="1" ht="11.25" x14ac:dyDescent="0.2">
      <c r="A18" s="218"/>
      <c r="B18" s="401"/>
      <c r="C18" s="2130" t="s">
        <v>1384</v>
      </c>
      <c r="D18" s="2131"/>
      <c r="E18" s="218"/>
      <c r="F18" s="419" t="s">
        <v>827</v>
      </c>
      <c r="G18" s="402"/>
      <c r="H18" s="403">
        <f>SUM('Acct Summary 7-8'!C8+'Acct Summary 7-8'!D8+'Acct Summary 7-8'!F8+'Acct Summary 7-8'!I8)+H19</f>
        <v>12181383</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27" t="s">
        <v>1479</v>
      </c>
      <c r="D24" s="2127"/>
      <c r="E24" s="218"/>
      <c r="F24" s="218" t="s">
        <v>465</v>
      </c>
      <c r="G24" s="402"/>
      <c r="H24" s="403">
        <f>SUM('Assets-Liab 5-6'!C4+'Assets-Liab 5-6'!D4+'Assets-Liab 5-6'!F4+'Assets-Liab 5-6'!I4+'Assets-Liab 5-6'!C5+'Assets-Liab 5-6'!D5+'Assets-Liab 5-6'!F5+'Assets-Liab 5-6'!I5)</f>
        <v>3411464</v>
      </c>
      <c r="I24" s="422"/>
      <c r="J24" s="422"/>
      <c r="K24" s="423">
        <f>TRUNC(((H24/H25*100000)/100000),2)</f>
        <v>115.23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29604.844440000001</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1465159.6018399999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3544477</v>
      </c>
      <c r="I32" s="420"/>
      <c r="J32" s="420"/>
      <c r="K32" s="423">
        <f>TRUNC(100-((((H32/H33*100))*100)/100),2)</f>
        <v>55.53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7971614.2980000004</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 xml:space="preserve">&amp;C </oddHeader>
    <oddFooter xml:space="preserve">&amp;C93
</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3" activePane="bottomLeft" state="frozen"/>
      <selection activeCell="A47" sqref="A47"/>
      <selection pane="bottomLeft" activeCell="L34" sqref="L3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7" t="s">
        <v>1030</v>
      </c>
      <c r="B3" s="2138"/>
      <c r="C3" s="1581"/>
      <c r="D3" s="1582"/>
      <c r="E3" s="1582"/>
      <c r="F3" s="1582"/>
      <c r="G3" s="1582"/>
      <c r="H3" s="1582"/>
      <c r="I3" s="1582"/>
      <c r="J3" s="1582"/>
      <c r="K3" s="1582"/>
      <c r="L3" s="1582"/>
      <c r="M3" s="1583"/>
      <c r="N3" s="1584"/>
    </row>
    <row r="4" spans="1:14" ht="13.5" customHeight="1" x14ac:dyDescent="0.2">
      <c r="A4" s="463" t="s">
        <v>1750</v>
      </c>
      <c r="B4" s="464"/>
      <c r="C4" s="465">
        <v>1934941</v>
      </c>
      <c r="D4" s="466">
        <v>444462</v>
      </c>
      <c r="E4" s="466">
        <v>0</v>
      </c>
      <c r="F4" s="466">
        <v>15461</v>
      </c>
      <c r="G4" s="466">
        <v>122503</v>
      </c>
      <c r="H4" s="466"/>
      <c r="I4" s="466"/>
      <c r="J4" s="467"/>
      <c r="K4" s="466">
        <v>7</v>
      </c>
      <c r="L4" s="466">
        <v>223989</v>
      </c>
      <c r="M4" s="468"/>
      <c r="N4" s="469"/>
    </row>
    <row r="5" spans="1:14" x14ac:dyDescent="0.2">
      <c r="A5" s="463" t="s">
        <v>1049</v>
      </c>
      <c r="B5" s="470">
        <v>120</v>
      </c>
      <c r="C5" s="465">
        <v>1016600</v>
      </c>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2951541</v>
      </c>
      <c r="D13" s="1759">
        <f t="shared" ref="D13:L13" si="0">SUM(D4:D12)</f>
        <v>444462</v>
      </c>
      <c r="E13" s="1759">
        <f t="shared" si="0"/>
        <v>0</v>
      </c>
      <c r="F13" s="1759">
        <f t="shared" si="0"/>
        <v>15461</v>
      </c>
      <c r="G13" s="1759">
        <f t="shared" si="0"/>
        <v>122503</v>
      </c>
      <c r="H13" s="1759">
        <f t="shared" si="0"/>
        <v>0</v>
      </c>
      <c r="I13" s="1759">
        <f t="shared" si="0"/>
        <v>0</v>
      </c>
      <c r="J13" s="1759">
        <f t="shared" si="0"/>
        <v>0</v>
      </c>
      <c r="K13" s="1759">
        <f t="shared" si="0"/>
        <v>7</v>
      </c>
      <c r="L13" s="1759">
        <f t="shared" si="0"/>
        <v>223989</v>
      </c>
      <c r="M13" s="468"/>
      <c r="N13" s="469"/>
    </row>
    <row r="14" spans="1:14" ht="18" customHeight="1" thickTop="1" x14ac:dyDescent="0.2">
      <c r="A14" s="2139" t="s">
        <v>149</v>
      </c>
      <c r="B14" s="2140"/>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965330</v>
      </c>
      <c r="N16" s="484"/>
    </row>
    <row r="17" spans="1:14" s="485" customFormat="1" ht="12.75" customHeight="1" x14ac:dyDescent="0.2">
      <c r="A17" s="482" t="s">
        <v>1470</v>
      </c>
      <c r="B17" s="483">
        <v>230</v>
      </c>
      <c r="C17" s="477"/>
      <c r="D17" s="477"/>
      <c r="E17" s="477"/>
      <c r="F17" s="477"/>
      <c r="G17" s="477"/>
      <c r="H17" s="477"/>
      <c r="I17" s="477"/>
      <c r="J17" s="477"/>
      <c r="K17" s="477"/>
      <c r="L17" s="477"/>
      <c r="M17" s="467">
        <v>17982487</v>
      </c>
      <c r="N17" s="484"/>
    </row>
    <row r="18" spans="1:14" s="485" customFormat="1" ht="12.75" customHeight="1" x14ac:dyDescent="0.2">
      <c r="A18" s="482" t="s">
        <v>1471</v>
      </c>
      <c r="B18" s="483">
        <v>240</v>
      </c>
      <c r="C18" s="477"/>
      <c r="D18" s="477"/>
      <c r="E18" s="477"/>
      <c r="F18" s="477"/>
      <c r="G18" s="477"/>
      <c r="H18" s="477"/>
      <c r="I18" s="477"/>
      <c r="J18" s="477"/>
      <c r="K18" s="477"/>
      <c r="L18" s="477"/>
      <c r="M18" s="467">
        <v>722838</v>
      </c>
      <c r="N18" s="484"/>
    </row>
    <row r="19" spans="1:14" s="485" customFormat="1" ht="12.75" customHeight="1" x14ac:dyDescent="0.2">
      <c r="A19" s="482" t="s">
        <v>1472</v>
      </c>
      <c r="B19" s="483">
        <v>250</v>
      </c>
      <c r="C19" s="477"/>
      <c r="D19" s="477"/>
      <c r="E19" s="477"/>
      <c r="F19" s="477"/>
      <c r="G19" s="477"/>
      <c r="H19" s="477"/>
      <c r="I19" s="477"/>
      <c r="J19" s="477"/>
      <c r="K19" s="477"/>
      <c r="L19" s="477"/>
      <c r="M19" s="467">
        <v>2019663</v>
      </c>
      <c r="N19" s="484"/>
    </row>
    <row r="20" spans="1:14" s="485" customFormat="1" ht="12.75" customHeight="1" x14ac:dyDescent="0.2">
      <c r="A20" s="482" t="s">
        <v>1473</v>
      </c>
      <c r="B20" s="483">
        <v>260</v>
      </c>
      <c r="C20" s="477"/>
      <c r="D20" s="477"/>
      <c r="E20" s="477"/>
      <c r="F20" s="477"/>
      <c r="G20" s="477"/>
      <c r="H20" s="477"/>
      <c r="I20" s="477"/>
      <c r="J20" s="477"/>
      <c r="K20" s="477"/>
      <c r="L20" s="477"/>
      <c r="M20" s="467">
        <v>1029735</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3544477</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22720053</v>
      </c>
      <c r="N23" s="1710">
        <f>SUM(N21:N22)</f>
        <v>3544477</v>
      </c>
    </row>
    <row r="24" spans="1:14" ht="18" customHeight="1" thickTop="1" x14ac:dyDescent="0.2">
      <c r="A24" s="2141" t="s">
        <v>619</v>
      </c>
      <c r="B24" s="2142"/>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223989</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223989</v>
      </c>
      <c r="M34" s="468"/>
      <c r="N34" s="480"/>
    </row>
    <row r="35" spans="1:14" ht="18" customHeight="1" thickTop="1" x14ac:dyDescent="0.2">
      <c r="A35" s="2143" t="s">
        <v>550</v>
      </c>
      <c r="B35" s="2144"/>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3544477</v>
      </c>
    </row>
    <row r="37" spans="1:14" ht="13.5" thickBot="1" x14ac:dyDescent="0.25">
      <c r="A37" s="1758" t="s">
        <v>674</v>
      </c>
      <c r="B37" s="1763"/>
      <c r="C37" s="477"/>
      <c r="D37" s="477"/>
      <c r="E37" s="477"/>
      <c r="F37" s="477"/>
      <c r="G37" s="477"/>
      <c r="H37" s="477"/>
      <c r="I37" s="477"/>
      <c r="J37" s="477"/>
      <c r="K37" s="477"/>
      <c r="L37" s="480"/>
      <c r="M37" s="468"/>
      <c r="N37" s="1710">
        <f>SUM(N36:N36)</f>
        <v>3544477</v>
      </c>
    </row>
    <row r="38" spans="1:14" s="329" customFormat="1" ht="13.5" customHeight="1" thickTop="1" x14ac:dyDescent="0.2">
      <c r="A38" s="496" t="s">
        <v>440</v>
      </c>
      <c r="B38" s="483">
        <v>714</v>
      </c>
      <c r="C38" s="466">
        <v>1016600</v>
      </c>
      <c r="D38" s="466">
        <v>332591</v>
      </c>
      <c r="E38" s="466"/>
      <c r="F38" s="466"/>
      <c r="G38" s="466"/>
      <c r="H38" s="466"/>
      <c r="I38" s="466"/>
      <c r="J38" s="467"/>
      <c r="K38" s="466"/>
      <c r="L38" s="481"/>
      <c r="M38" s="497"/>
      <c r="N38" s="497"/>
    </row>
    <row r="39" spans="1:14" s="329" customFormat="1" ht="13.5" customHeight="1" x14ac:dyDescent="0.2">
      <c r="A39" s="496" t="s">
        <v>360</v>
      </c>
      <c r="B39" s="483">
        <v>730</v>
      </c>
      <c r="C39" s="466">
        <v>1934941</v>
      </c>
      <c r="D39" s="466">
        <v>111871</v>
      </c>
      <c r="E39" s="466">
        <v>0</v>
      </c>
      <c r="F39" s="466">
        <v>15461</v>
      </c>
      <c r="G39" s="466">
        <v>122503</v>
      </c>
      <c r="H39" s="466"/>
      <c r="I39" s="466"/>
      <c r="J39" s="467"/>
      <c r="K39" s="466">
        <v>7</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22720053</v>
      </c>
      <c r="N40" s="497"/>
    </row>
    <row r="41" spans="1:14" ht="13.5" customHeight="1" thickBot="1" x14ac:dyDescent="0.25">
      <c r="A41" s="1758" t="s">
        <v>676</v>
      </c>
      <c r="B41" s="1728"/>
      <c r="C41" s="1710">
        <f>(SUM(C34,C37,C38,C39))</f>
        <v>2951541</v>
      </c>
      <c r="D41" s="1710">
        <f t="shared" ref="D41:L41" si="2">SUM(D34,D37,D38:D39)</f>
        <v>444462</v>
      </c>
      <c r="E41" s="1710">
        <f t="shared" si="2"/>
        <v>0</v>
      </c>
      <c r="F41" s="1710">
        <f t="shared" si="2"/>
        <v>15461</v>
      </c>
      <c r="G41" s="1710">
        <f t="shared" si="2"/>
        <v>122503</v>
      </c>
      <c r="H41" s="1710">
        <f t="shared" si="2"/>
        <v>0</v>
      </c>
      <c r="I41" s="1710">
        <f t="shared" si="2"/>
        <v>0</v>
      </c>
      <c r="J41" s="1710">
        <f t="shared" si="2"/>
        <v>0</v>
      </c>
      <c r="K41" s="1710">
        <f t="shared" si="2"/>
        <v>7</v>
      </c>
      <c r="L41" s="1710">
        <f t="shared" si="2"/>
        <v>223989</v>
      </c>
      <c r="M41" s="1710">
        <f>SUM(M40)</f>
        <v>22720053</v>
      </c>
      <c r="N41" s="1710">
        <f>SUM(N37)</f>
        <v>3544477</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 xml:space="preserve">&amp;CThe notes to the financial statements are an integral part of this statement.
6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9"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0"/>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1" t="s">
        <v>1237</v>
      </c>
      <c r="B3" s="2162"/>
      <c r="C3" s="1595"/>
      <c r="D3" s="1596"/>
      <c r="E3" s="1596"/>
      <c r="F3" s="1596"/>
      <c r="G3" s="1596"/>
      <c r="H3" s="1596"/>
      <c r="I3" s="1596"/>
      <c r="J3" s="1596"/>
      <c r="K3" s="1597"/>
      <c r="L3" s="506"/>
    </row>
    <row r="4" spans="1:13" ht="15.75" customHeight="1" x14ac:dyDescent="0.2">
      <c r="A4" s="2163" t="s">
        <v>1579</v>
      </c>
      <c r="B4" s="2164"/>
      <c r="C4" s="1764">
        <f>'Revenues 9-14'!C109</f>
        <v>2082143</v>
      </c>
      <c r="D4" s="1764">
        <f>'Revenues 9-14'!D109</f>
        <v>1087598</v>
      </c>
      <c r="E4" s="1764">
        <f>'Revenues 9-14'!E109</f>
        <v>261912</v>
      </c>
      <c r="F4" s="1764">
        <f>'Revenues 9-14'!F109</f>
        <v>117548</v>
      </c>
      <c r="G4" s="1764">
        <f>'Revenues 9-14'!G109</f>
        <v>377751</v>
      </c>
      <c r="H4" s="1764">
        <f>'Revenues 9-14'!H109</f>
        <v>0</v>
      </c>
      <c r="I4" s="1764">
        <f>'Revenues 9-14'!I109</f>
        <v>29436</v>
      </c>
      <c r="J4" s="1764">
        <f>'Revenues 9-14'!J109</f>
        <v>60376</v>
      </c>
      <c r="K4" s="1764">
        <f>'Revenues 9-14'!K109</f>
        <v>0</v>
      </c>
      <c r="L4" s="347"/>
    </row>
    <row r="5" spans="1:13" ht="15.75" customHeight="1" x14ac:dyDescent="0.2">
      <c r="A5" s="1598" t="s">
        <v>1580</v>
      </c>
      <c r="B5" s="1599">
        <v>2000</v>
      </c>
      <c r="C5" s="1765">
        <f>'Revenues 9-14'!C114</f>
        <v>38799</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7335657</v>
      </c>
      <c r="D6" s="1765">
        <f>'Revenues 9-14'!D173</f>
        <v>0</v>
      </c>
      <c r="E6" s="1765">
        <f>'Revenues 9-14'!E173</f>
        <v>0</v>
      </c>
      <c r="F6" s="1765">
        <f>'Revenues 9-14'!F173</f>
        <v>395273</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1094929</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10551528</v>
      </c>
      <c r="D8" s="1710">
        <f t="shared" ref="D8:K8" si="0">SUM(D4:D7)</f>
        <v>1087598</v>
      </c>
      <c r="E8" s="1710">
        <f t="shared" si="0"/>
        <v>261912</v>
      </c>
      <c r="F8" s="1710">
        <f t="shared" si="0"/>
        <v>512821</v>
      </c>
      <c r="G8" s="1710">
        <f t="shared" si="0"/>
        <v>377751</v>
      </c>
      <c r="H8" s="1710">
        <f t="shared" si="0"/>
        <v>0</v>
      </c>
      <c r="I8" s="1710">
        <f t="shared" si="0"/>
        <v>29436</v>
      </c>
      <c r="J8" s="1710">
        <f t="shared" si="0"/>
        <v>60376</v>
      </c>
      <c r="K8" s="1710">
        <f t="shared" si="0"/>
        <v>0</v>
      </c>
      <c r="L8" s="347"/>
    </row>
    <row r="9" spans="1:13" ht="15.75" thickTop="1" x14ac:dyDescent="0.2">
      <c r="A9" s="514" t="s">
        <v>1752</v>
      </c>
      <c r="B9" s="515">
        <v>3998</v>
      </c>
      <c r="C9" s="481">
        <v>3200631</v>
      </c>
      <c r="D9" s="516"/>
      <c r="E9" s="481"/>
      <c r="F9" s="481"/>
      <c r="G9" s="517"/>
      <c r="H9" s="481"/>
      <c r="I9" s="509" t="s">
        <v>1231</v>
      </c>
      <c r="J9" s="478"/>
      <c r="K9" s="481"/>
      <c r="L9" s="347"/>
    </row>
    <row r="10" spans="1:13" s="519" customFormat="1" ht="13.5" thickBot="1" x14ac:dyDescent="0.25">
      <c r="A10" s="1758" t="s">
        <v>1235</v>
      </c>
      <c r="B10" s="1731"/>
      <c r="C10" s="1710">
        <f>SUM(C8:C9)</f>
        <v>13752159</v>
      </c>
      <c r="D10" s="1710">
        <f t="shared" ref="D10:K10" si="1">SUM(D8:D9)</f>
        <v>1087598</v>
      </c>
      <c r="E10" s="1710">
        <f t="shared" si="1"/>
        <v>261912</v>
      </c>
      <c r="F10" s="1710">
        <f t="shared" si="1"/>
        <v>512821</v>
      </c>
      <c r="G10" s="1710">
        <f t="shared" si="1"/>
        <v>377751</v>
      </c>
      <c r="H10" s="1710">
        <f t="shared" si="1"/>
        <v>0</v>
      </c>
      <c r="I10" s="1710">
        <f t="shared" si="1"/>
        <v>29436</v>
      </c>
      <c r="J10" s="1710">
        <f t="shared" si="1"/>
        <v>60376</v>
      </c>
      <c r="K10" s="1710">
        <f t="shared" si="1"/>
        <v>0</v>
      </c>
      <c r="L10" s="518"/>
    </row>
    <row r="11" spans="1:13" s="519" customFormat="1" ht="16.7" customHeight="1" thickTop="1" x14ac:dyDescent="0.2">
      <c r="A11" s="2139" t="s">
        <v>1238</v>
      </c>
      <c r="B11" s="2140"/>
      <c r="C11" s="1592"/>
      <c r="D11" s="1593"/>
      <c r="E11" s="1593"/>
      <c r="F11" s="1593"/>
      <c r="G11" s="1593"/>
      <c r="H11" s="1593"/>
      <c r="I11" s="1593"/>
      <c r="J11" s="1593"/>
      <c r="K11" s="1594"/>
      <c r="L11" s="518"/>
    </row>
    <row r="12" spans="1:13" ht="15.75" customHeight="1" x14ac:dyDescent="0.2">
      <c r="A12" s="1598" t="s">
        <v>476</v>
      </c>
      <c r="B12" s="1600">
        <v>1000</v>
      </c>
      <c r="C12" s="1764">
        <f>'Expenditures 15-22'!K33</f>
        <v>5985990</v>
      </c>
      <c r="D12" s="520" t="s">
        <v>1231</v>
      </c>
      <c r="E12" s="468" t="s">
        <v>1231</v>
      </c>
      <c r="F12" s="468" t="s">
        <v>1231</v>
      </c>
      <c r="G12" s="1764">
        <f>'Expenditures 15-22'!K229</f>
        <v>120801</v>
      </c>
      <c r="H12" s="521"/>
      <c r="I12" s="468" t="s">
        <v>1231</v>
      </c>
      <c r="J12" s="468" t="s">
        <v>1231</v>
      </c>
      <c r="K12" s="521" t="s">
        <v>1231</v>
      </c>
      <c r="L12" s="347"/>
    </row>
    <row r="13" spans="1:13" ht="15.75" customHeight="1" x14ac:dyDescent="0.2">
      <c r="A13" s="1598" t="s">
        <v>477</v>
      </c>
      <c r="B13" s="1600">
        <v>2000</v>
      </c>
      <c r="C13" s="1765">
        <f>'Expenditures 15-22'!K74</f>
        <v>2691541</v>
      </c>
      <c r="D13" s="1765">
        <f>'Expenditures 15-22'!K129</f>
        <v>930248</v>
      </c>
      <c r="E13" s="469" t="s">
        <v>1231</v>
      </c>
      <c r="F13" s="1765">
        <f>'Expenditures 15-22'!K184</f>
        <v>481390</v>
      </c>
      <c r="G13" s="1765">
        <f>'Expenditures 15-22'!K279</f>
        <v>249754</v>
      </c>
      <c r="H13" s="1765">
        <f>'Expenditures 15-22'!K303</f>
        <v>0</v>
      </c>
      <c r="I13" s="468" t="s">
        <v>1231</v>
      </c>
      <c r="J13" s="1765">
        <f>'Expenditures 15-22'!K330</f>
        <v>73784</v>
      </c>
      <c r="K13" s="1769">
        <f>'Expenditures 15-22'!K352</f>
        <v>0</v>
      </c>
      <c r="L13" s="347"/>
    </row>
    <row r="14" spans="1:13" ht="15.75" customHeight="1" x14ac:dyDescent="0.2">
      <c r="A14" s="1598" t="s">
        <v>469</v>
      </c>
      <c r="B14" s="1600">
        <v>3000</v>
      </c>
      <c r="C14" s="1765">
        <f>'Expenditures 15-22'!K75</f>
        <v>77418</v>
      </c>
      <c r="D14" s="1765">
        <f>'Expenditures 15-22'!K130</f>
        <v>0</v>
      </c>
      <c r="E14" s="520" t="s">
        <v>1231</v>
      </c>
      <c r="F14" s="1765">
        <f>'Expenditures 15-22'!K185</f>
        <v>0</v>
      </c>
      <c r="G14" s="1765">
        <f>'Expenditures 15-22'!K280</f>
        <v>15</v>
      </c>
      <c r="H14" s="512"/>
      <c r="I14" s="468" t="s">
        <v>1231</v>
      </c>
      <c r="J14" s="468" t="s">
        <v>1231</v>
      </c>
      <c r="K14" s="512" t="s">
        <v>1231</v>
      </c>
      <c r="L14" s="347"/>
    </row>
    <row r="15" spans="1:13" ht="15.75" customHeight="1" x14ac:dyDescent="0.2">
      <c r="A15" s="1598" t="s">
        <v>109</v>
      </c>
      <c r="B15" s="1600">
        <v>4000</v>
      </c>
      <c r="C15" s="1765">
        <f>'Expenditures 15-22'!K102</f>
        <v>157653</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252796</v>
      </c>
      <c r="D16" s="1765">
        <f>'Expenditures 15-22'!K149</f>
        <v>0</v>
      </c>
      <c r="E16" s="1765">
        <f>'Expenditures 15-22'!K172</f>
        <v>299226</v>
      </c>
      <c r="F16" s="1765">
        <f>'Expenditures 15-22'!K208</f>
        <v>80708</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9165398</v>
      </c>
      <c r="D17" s="1710">
        <f t="shared" si="2"/>
        <v>930248</v>
      </c>
      <c r="E17" s="1710">
        <f t="shared" si="2"/>
        <v>299226</v>
      </c>
      <c r="F17" s="1710">
        <f t="shared" si="2"/>
        <v>562098</v>
      </c>
      <c r="G17" s="1710">
        <f t="shared" si="2"/>
        <v>370570</v>
      </c>
      <c r="H17" s="1710">
        <f t="shared" si="2"/>
        <v>0</v>
      </c>
      <c r="I17" s="468"/>
      <c r="J17" s="1710">
        <f>SUM(J12:J16)</f>
        <v>73784</v>
      </c>
      <c r="K17" s="1710">
        <f>SUM(K12:K16)</f>
        <v>0</v>
      </c>
      <c r="L17" s="347"/>
    </row>
    <row r="18" spans="1:12" ht="15" customHeight="1" thickTop="1" x14ac:dyDescent="0.2">
      <c r="A18" s="1766" t="s">
        <v>1753</v>
      </c>
      <c r="B18" s="1767">
        <v>4180</v>
      </c>
      <c r="C18" s="1764">
        <f t="shared" ref="C18:H18" si="3">C9</f>
        <v>3200631</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12366029</v>
      </c>
      <c r="D19" s="1710">
        <f t="shared" si="4"/>
        <v>930248</v>
      </c>
      <c r="E19" s="1710">
        <f t="shared" si="4"/>
        <v>299226</v>
      </c>
      <c r="F19" s="1710">
        <f t="shared" si="4"/>
        <v>562098</v>
      </c>
      <c r="G19" s="1710">
        <f t="shared" si="4"/>
        <v>370570</v>
      </c>
      <c r="H19" s="1710">
        <f t="shared" si="4"/>
        <v>0</v>
      </c>
      <c r="I19" s="468"/>
      <c r="J19" s="1710">
        <f>SUM(J17:J18)</f>
        <v>73784</v>
      </c>
      <c r="K19" s="1710">
        <f>SUM(K17:K18)</f>
        <v>0</v>
      </c>
      <c r="L19" s="347"/>
    </row>
    <row r="20" spans="1:12" ht="16.5" thickTop="1" thickBot="1" x14ac:dyDescent="0.25">
      <c r="A20" s="2151" t="s">
        <v>1754</v>
      </c>
      <c r="B20" s="2152"/>
      <c r="C20" s="1768">
        <f>C8-C17</f>
        <v>1386130</v>
      </c>
      <c r="D20" s="1768">
        <f t="shared" ref="D20:K20" si="5">D8-D17</f>
        <v>157350</v>
      </c>
      <c r="E20" s="1768">
        <f t="shared" si="5"/>
        <v>-37314</v>
      </c>
      <c r="F20" s="1768">
        <f t="shared" si="5"/>
        <v>-49277</v>
      </c>
      <c r="G20" s="1768">
        <f t="shared" si="5"/>
        <v>7181</v>
      </c>
      <c r="H20" s="1768">
        <f t="shared" si="5"/>
        <v>0</v>
      </c>
      <c r="I20" s="1768">
        <f t="shared" si="5"/>
        <v>29436</v>
      </c>
      <c r="J20" s="1768">
        <f t="shared" si="5"/>
        <v>-13408</v>
      </c>
      <c r="K20" s="1768">
        <f t="shared" si="5"/>
        <v>0</v>
      </c>
      <c r="L20" s="347"/>
    </row>
    <row r="21" spans="1:12" ht="16.7" customHeight="1" thickTop="1" x14ac:dyDescent="0.2">
      <c r="A21" s="2165" t="s">
        <v>616</v>
      </c>
      <c r="B21" s="2166"/>
      <c r="C21" s="1592"/>
      <c r="D21" s="1593"/>
      <c r="E21" s="1593"/>
      <c r="F21" s="1593"/>
      <c r="G21" s="1593"/>
      <c r="H21" s="1593"/>
      <c r="I21" s="1593"/>
      <c r="J21" s="1593"/>
      <c r="K21" s="1594"/>
      <c r="L21" s="524"/>
    </row>
    <row r="22" spans="1:12" ht="15.75" customHeight="1" collapsed="1" x14ac:dyDescent="0.2">
      <c r="A22" s="2159" t="s">
        <v>617</v>
      </c>
      <c r="B22" s="2160"/>
      <c r="C22" s="477"/>
      <c r="D22" s="477"/>
      <c r="E22" s="477"/>
      <c r="F22" s="477"/>
      <c r="G22" s="477"/>
      <c r="H22" s="477"/>
      <c r="I22" s="477"/>
      <c r="J22" s="477"/>
      <c r="K22" s="477"/>
      <c r="L22" s="347"/>
    </row>
    <row r="23" spans="1:12" s="485" customFormat="1" ht="15.75" customHeight="1" x14ac:dyDescent="0.2">
      <c r="A23" s="2155" t="s">
        <v>311</v>
      </c>
      <c r="B23" s="2156"/>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v>29436</v>
      </c>
      <c r="G26" s="467"/>
      <c r="H26" s="467"/>
      <c r="I26" s="477"/>
      <c r="J26" s="467"/>
      <c r="K26" s="467"/>
      <c r="L26" s="524"/>
    </row>
    <row r="27" spans="1:12" s="485" customFormat="1" ht="13.5" customHeight="1" x14ac:dyDescent="0.2">
      <c r="A27" s="1511" t="s">
        <v>194</v>
      </c>
      <c r="B27" s="483">
        <v>7130</v>
      </c>
      <c r="C27" s="467">
        <v>155478</v>
      </c>
      <c r="D27" s="467">
        <v>10197</v>
      </c>
      <c r="E27" s="526"/>
      <c r="F27" s="467">
        <v>28388</v>
      </c>
      <c r="G27" s="480"/>
      <c r="H27" s="480"/>
      <c r="I27" s="480"/>
      <c r="J27" s="480"/>
      <c r="K27" s="480"/>
      <c r="L27" s="524"/>
    </row>
    <row r="28" spans="1:12" s="485" customFormat="1" ht="13.5" customHeight="1" x14ac:dyDescent="0.2">
      <c r="A28" s="1511" t="s">
        <v>1465</v>
      </c>
      <c r="B28" s="483">
        <v>7140</v>
      </c>
      <c r="C28" s="467"/>
      <c r="D28" s="467"/>
      <c r="E28" s="467">
        <v>35187</v>
      </c>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1895</v>
      </c>
      <c r="B30" s="527">
        <v>7160</v>
      </c>
      <c r="C30" s="477"/>
      <c r="D30" s="467"/>
      <c r="E30" s="477"/>
      <c r="F30" s="477"/>
      <c r="G30" s="477"/>
      <c r="H30" s="477"/>
      <c r="I30" s="477"/>
      <c r="J30" s="477"/>
      <c r="K30" s="477"/>
      <c r="L30" s="524"/>
    </row>
    <row r="31" spans="1:12" s="485" customFormat="1" ht="26.25" x14ac:dyDescent="0.2">
      <c r="A31" s="1511" t="s">
        <v>1899</v>
      </c>
      <c r="B31" s="527">
        <v>7170</v>
      </c>
      <c r="C31" s="477"/>
      <c r="D31" s="477"/>
      <c r="E31" s="474"/>
      <c r="F31" s="477"/>
      <c r="G31" s="477"/>
      <c r="H31" s="477"/>
      <c r="I31" s="477"/>
      <c r="J31" s="477"/>
      <c r="K31" s="477"/>
      <c r="L31" s="524"/>
    </row>
    <row r="32" spans="1:12" s="485" customFormat="1" ht="15.75" customHeight="1" x14ac:dyDescent="0.2">
      <c r="A32" s="2157" t="s">
        <v>1038</v>
      </c>
      <c r="B32" s="2158"/>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v>6914</v>
      </c>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v>13408</v>
      </c>
      <c r="K43" s="467"/>
      <c r="L43" s="524"/>
    </row>
    <row r="44" spans="1:12" s="485" customFormat="1" ht="13.5" customHeight="1" thickBot="1" x14ac:dyDescent="0.25">
      <c r="A44" s="2167" t="s">
        <v>392</v>
      </c>
      <c r="B44" s="2168"/>
      <c r="C44" s="1725">
        <f>SUM(C24:C43)</f>
        <v>155478</v>
      </c>
      <c r="D44" s="1725">
        <f t="shared" ref="D44:K44" si="6">SUM(D24:D43)</f>
        <v>10197</v>
      </c>
      <c r="E44" s="1725">
        <f t="shared" si="6"/>
        <v>35187</v>
      </c>
      <c r="F44" s="1725">
        <f t="shared" si="6"/>
        <v>64738</v>
      </c>
      <c r="G44" s="1725">
        <f t="shared" si="6"/>
        <v>0</v>
      </c>
      <c r="H44" s="1725">
        <f t="shared" si="6"/>
        <v>0</v>
      </c>
      <c r="I44" s="1725">
        <f t="shared" si="6"/>
        <v>0</v>
      </c>
      <c r="J44" s="1725">
        <f t="shared" si="6"/>
        <v>13408</v>
      </c>
      <c r="K44" s="1725">
        <f t="shared" si="6"/>
        <v>0</v>
      </c>
      <c r="L44" s="524"/>
    </row>
    <row r="45" spans="1:12" ht="15.75" customHeight="1" thickTop="1" x14ac:dyDescent="0.2">
      <c r="A45" s="2159" t="s">
        <v>110</v>
      </c>
      <c r="B45" s="2160"/>
      <c r="C45" s="528"/>
      <c r="D45" s="528"/>
      <c r="E45" s="528"/>
      <c r="F45" s="528"/>
      <c r="G45" s="528"/>
      <c r="H45" s="528"/>
      <c r="I45" s="528"/>
      <c r="J45" s="528"/>
      <c r="K45" s="528"/>
      <c r="L45" s="347"/>
    </row>
    <row r="46" spans="1:12" s="485" customFormat="1" ht="15.75" customHeight="1" x14ac:dyDescent="0.2">
      <c r="A46" s="2169" t="s">
        <v>111</v>
      </c>
      <c r="B46" s="2170"/>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29436</v>
      </c>
      <c r="J48" s="477"/>
      <c r="K48" s="477"/>
      <c r="L48" s="529"/>
    </row>
    <row r="49" spans="1:12" s="485" customFormat="1" x14ac:dyDescent="0.2">
      <c r="A49" s="1512" t="s">
        <v>194</v>
      </c>
      <c r="B49" s="483">
        <v>8130</v>
      </c>
      <c r="C49" s="467">
        <v>40563</v>
      </c>
      <c r="D49" s="467">
        <v>153500</v>
      </c>
      <c r="E49" s="480"/>
      <c r="F49" s="467"/>
      <c r="G49" s="480"/>
      <c r="H49" s="480"/>
      <c r="I49" s="477"/>
      <c r="J49" s="480"/>
      <c r="K49" s="477"/>
      <c r="L49" s="524"/>
    </row>
    <row r="50" spans="1:12" s="485" customFormat="1" x14ac:dyDescent="0.2">
      <c r="A50" s="1512" t="s">
        <v>1465</v>
      </c>
      <c r="B50" s="483">
        <v>8140</v>
      </c>
      <c r="C50" s="467"/>
      <c r="D50" s="467">
        <v>35187</v>
      </c>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1898</v>
      </c>
      <c r="B52" s="483">
        <v>8160</v>
      </c>
      <c r="C52" s="477"/>
      <c r="D52" s="477"/>
      <c r="E52" s="477"/>
      <c r="F52" s="477"/>
      <c r="G52" s="477"/>
      <c r="H52" s="477"/>
      <c r="I52" s="477"/>
      <c r="J52" s="477"/>
      <c r="K52" s="1765">
        <f>D30</f>
        <v>0</v>
      </c>
      <c r="L52" s="524"/>
    </row>
    <row r="53" spans="1:12" s="485" customFormat="1" ht="26.25" x14ac:dyDescent="0.2">
      <c r="A53" s="1512" t="s">
        <v>1897</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v>13410</v>
      </c>
      <c r="E75" s="530"/>
      <c r="F75" s="532"/>
      <c r="G75" s="532"/>
      <c r="H75" s="532"/>
      <c r="I75" s="530"/>
      <c r="J75" s="530"/>
      <c r="K75" s="532"/>
      <c r="L75" s="524"/>
    </row>
    <row r="76" spans="1:12" s="485" customFormat="1" ht="14.25" thickTop="1" thickBot="1" x14ac:dyDescent="0.25">
      <c r="A76" s="2171" t="s">
        <v>460</v>
      </c>
      <c r="B76" s="2172"/>
      <c r="C76" s="1725">
        <f t="shared" ref="C76:K76" si="7">SUM(C47:C75)</f>
        <v>40563</v>
      </c>
      <c r="D76" s="1725">
        <f t="shared" si="7"/>
        <v>202097</v>
      </c>
      <c r="E76" s="1725">
        <f t="shared" si="7"/>
        <v>0</v>
      </c>
      <c r="F76" s="1725">
        <f t="shared" si="7"/>
        <v>0</v>
      </c>
      <c r="G76" s="1725">
        <f t="shared" si="7"/>
        <v>0</v>
      </c>
      <c r="H76" s="1725">
        <f t="shared" si="7"/>
        <v>0</v>
      </c>
      <c r="I76" s="1725">
        <f t="shared" si="7"/>
        <v>29436</v>
      </c>
      <c r="J76" s="1725">
        <f t="shared" si="7"/>
        <v>0</v>
      </c>
      <c r="K76" s="1725">
        <f t="shared" si="7"/>
        <v>0</v>
      </c>
      <c r="L76" s="524"/>
    </row>
    <row r="77" spans="1:12" ht="14.25" thickTop="1" thickBot="1" x14ac:dyDescent="0.25">
      <c r="A77" s="2173" t="s">
        <v>1239</v>
      </c>
      <c r="B77" s="2174"/>
      <c r="C77" s="1725">
        <f t="shared" ref="C77:K77" si="8">C44-C76</f>
        <v>114915</v>
      </c>
      <c r="D77" s="1725">
        <f t="shared" si="8"/>
        <v>-191900</v>
      </c>
      <c r="E77" s="1725">
        <f t="shared" si="8"/>
        <v>35187</v>
      </c>
      <c r="F77" s="1725">
        <f t="shared" si="8"/>
        <v>64738</v>
      </c>
      <c r="G77" s="1725">
        <f t="shared" si="8"/>
        <v>0</v>
      </c>
      <c r="H77" s="1725">
        <f t="shared" si="8"/>
        <v>0</v>
      </c>
      <c r="I77" s="1725">
        <f t="shared" si="8"/>
        <v>-29436</v>
      </c>
      <c r="J77" s="1725">
        <f t="shared" si="8"/>
        <v>13408</v>
      </c>
      <c r="K77" s="1725">
        <f t="shared" si="8"/>
        <v>0</v>
      </c>
      <c r="L77" s="347"/>
    </row>
    <row r="78" spans="1:12" ht="21.75" customHeight="1" thickTop="1" thickBot="1" x14ac:dyDescent="0.25">
      <c r="A78" s="2147" t="s">
        <v>618</v>
      </c>
      <c r="B78" s="2148"/>
      <c r="C78" s="1724">
        <f t="shared" ref="C78:K78" si="9">C20+C77</f>
        <v>1501045</v>
      </c>
      <c r="D78" s="1724">
        <f t="shared" si="9"/>
        <v>-34550</v>
      </c>
      <c r="E78" s="1724">
        <f t="shared" si="9"/>
        <v>-2127</v>
      </c>
      <c r="F78" s="1724">
        <f t="shared" si="9"/>
        <v>15461</v>
      </c>
      <c r="G78" s="1724">
        <f t="shared" si="9"/>
        <v>7181</v>
      </c>
      <c r="H78" s="1724">
        <f t="shared" si="9"/>
        <v>0</v>
      </c>
      <c r="I78" s="1724">
        <f t="shared" si="9"/>
        <v>0</v>
      </c>
      <c r="J78" s="1724">
        <f t="shared" si="9"/>
        <v>0</v>
      </c>
      <c r="K78" s="1724">
        <f t="shared" si="9"/>
        <v>0</v>
      </c>
      <c r="L78" s="533"/>
    </row>
    <row r="79" spans="1:12" ht="13.5" thickTop="1" x14ac:dyDescent="0.2">
      <c r="A79" s="1516" t="s">
        <v>2071</v>
      </c>
      <c r="B79" s="534"/>
      <c r="C79" s="478">
        <v>1450496</v>
      </c>
      <c r="D79" s="535">
        <v>479012</v>
      </c>
      <c r="E79" s="535">
        <v>2127</v>
      </c>
      <c r="F79" s="535">
        <v>0</v>
      </c>
      <c r="G79" s="535">
        <v>115322</v>
      </c>
      <c r="H79" s="535"/>
      <c r="I79" s="535">
        <v>0</v>
      </c>
      <c r="J79" s="535">
        <v>0</v>
      </c>
      <c r="K79" s="535">
        <v>7</v>
      </c>
      <c r="L79" s="347"/>
    </row>
    <row r="80" spans="1:12" x14ac:dyDescent="0.2">
      <c r="A80" s="2153" t="s">
        <v>1896</v>
      </c>
      <c r="B80" s="2154"/>
      <c r="C80" s="467"/>
      <c r="D80" s="467"/>
      <c r="E80" s="467"/>
      <c r="F80" s="467"/>
      <c r="G80" s="467"/>
      <c r="H80" s="467"/>
      <c r="I80" s="467"/>
      <c r="J80" s="467"/>
      <c r="K80" s="467"/>
      <c r="L80" s="347"/>
    </row>
    <row r="81" spans="1:12" ht="13.5" thickBot="1" x14ac:dyDescent="0.25">
      <c r="A81" s="2145" t="s">
        <v>2072</v>
      </c>
      <c r="B81" s="2146"/>
      <c r="C81" s="1710">
        <f>(SUM(C78:C80))</f>
        <v>2951541</v>
      </c>
      <c r="D81" s="1710">
        <f>SUM(D78:D80)</f>
        <v>444462</v>
      </c>
      <c r="E81" s="1710">
        <f t="shared" ref="E81:K81" si="10">SUM(E78:E80)</f>
        <v>0</v>
      </c>
      <c r="F81" s="1710">
        <f t="shared" si="10"/>
        <v>15461</v>
      </c>
      <c r="G81" s="1710">
        <f t="shared" si="10"/>
        <v>122503</v>
      </c>
      <c r="H81" s="1710">
        <f t="shared" si="10"/>
        <v>0</v>
      </c>
      <c r="I81" s="1710">
        <f t="shared" si="10"/>
        <v>0</v>
      </c>
      <c r="J81" s="1710">
        <f t="shared" si="10"/>
        <v>0</v>
      </c>
      <c r="K81" s="1710">
        <f t="shared" si="10"/>
        <v>7</v>
      </c>
      <c r="L81" s="347"/>
    </row>
    <row r="82" spans="1:12" ht="0.75" customHeight="1" thickTop="1" thickBot="1" x14ac:dyDescent="0.25">
      <c r="A82" s="536" t="s">
        <v>361</v>
      </c>
      <c r="B82" s="537"/>
      <c r="C82" s="538">
        <f>(C81-C79)</f>
        <v>1501045</v>
      </c>
      <c r="D82" s="538">
        <f t="shared" ref="D82:K82" si="11">(D81-D79)</f>
        <v>-34550</v>
      </c>
      <c r="E82" s="538">
        <f t="shared" si="11"/>
        <v>-2127</v>
      </c>
      <c r="F82" s="538">
        <f t="shared" si="11"/>
        <v>15461</v>
      </c>
      <c r="G82" s="538">
        <f t="shared" si="11"/>
        <v>7181</v>
      </c>
      <c r="H82" s="538">
        <f t="shared" si="11"/>
        <v>0</v>
      </c>
      <c r="I82" s="538">
        <f t="shared" si="11"/>
        <v>0</v>
      </c>
      <c r="J82" s="538">
        <f t="shared" si="11"/>
        <v>0</v>
      </c>
      <c r="K82" s="538">
        <f t="shared" si="11"/>
        <v>0</v>
      </c>
    </row>
    <row r="83" spans="1:12" ht="14.25" hidden="1" thickTop="1" thickBot="1" x14ac:dyDescent="0.25">
      <c r="A83" s="539" t="s">
        <v>362</v>
      </c>
      <c r="B83" s="464"/>
      <c r="C83" s="540">
        <f>C82/C81</f>
        <v>0.5085631539592369</v>
      </c>
      <c r="D83" s="540">
        <f t="shared" ref="D83:K83" si="12">D82/D81</f>
        <v>-7.7734429490035145E-2</v>
      </c>
      <c r="E83" s="540" t="e">
        <f t="shared" si="12"/>
        <v>#DIV/0!</v>
      </c>
      <c r="F83" s="540">
        <f t="shared" si="12"/>
        <v>1</v>
      </c>
      <c r="G83" s="540">
        <f t="shared" si="12"/>
        <v>5.8618972596589471E-2</v>
      </c>
      <c r="H83" s="540" t="e">
        <f t="shared" si="12"/>
        <v>#DIV/0!</v>
      </c>
      <c r="I83" s="540" t="e">
        <f t="shared" si="12"/>
        <v>#DIV/0!</v>
      </c>
      <c r="J83" s="540" t="e">
        <f t="shared" si="12"/>
        <v>#DIV/0!</v>
      </c>
      <c r="K83" s="540">
        <f t="shared" si="12"/>
        <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77:B7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 ref="A46:B46"/>
    <mergeCell ref="A76:B7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&amp;CThe notes to the financial statements are an integral part of this statement.
9</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9" t="s">
        <v>1903</v>
      </c>
      <c r="B1" s="452"/>
      <c r="C1" s="453" t="s">
        <v>445</v>
      </c>
      <c r="D1" s="453" t="s">
        <v>446</v>
      </c>
      <c r="E1" s="453" t="s">
        <v>447</v>
      </c>
      <c r="F1" s="453" t="s">
        <v>448</v>
      </c>
      <c r="G1" s="453" t="s">
        <v>449</v>
      </c>
      <c r="H1" s="453" t="s">
        <v>450</v>
      </c>
      <c r="I1" s="453" t="s">
        <v>451</v>
      </c>
      <c r="J1" s="453" t="s">
        <v>452</v>
      </c>
      <c r="K1" s="453" t="s">
        <v>780</v>
      </c>
    </row>
    <row r="2" spans="1:12" ht="36" x14ac:dyDescent="0.2">
      <c r="A2" s="2150"/>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1369861</v>
      </c>
      <c r="D5" s="481">
        <v>293808</v>
      </c>
      <c r="E5" s="466">
        <v>261888</v>
      </c>
      <c r="F5" s="548">
        <v>117524</v>
      </c>
      <c r="G5" s="466">
        <v>221318</v>
      </c>
      <c r="H5" s="466"/>
      <c r="I5" s="466">
        <v>29380</v>
      </c>
      <c r="J5" s="467">
        <v>60364</v>
      </c>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v>23505</v>
      </c>
      <c r="D7" s="466"/>
      <c r="E7" s="468"/>
      <c r="F7" s="467"/>
      <c r="G7" s="467"/>
      <c r="H7" s="467"/>
      <c r="I7" s="468"/>
      <c r="J7" s="468"/>
      <c r="K7" s="468"/>
    </row>
    <row r="8" spans="1:12" x14ac:dyDescent="0.2">
      <c r="A8" s="463" t="s">
        <v>433</v>
      </c>
      <c r="B8" s="470">
        <v>1150</v>
      </c>
      <c r="C8" s="475"/>
      <c r="D8" s="475"/>
      <c r="E8" s="477"/>
      <c r="F8" s="477"/>
      <c r="G8" s="481">
        <v>155928</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1393366</v>
      </c>
      <c r="D12" s="1729">
        <f t="shared" si="0"/>
        <v>293808</v>
      </c>
      <c r="E12" s="1729">
        <f t="shared" si="0"/>
        <v>261888</v>
      </c>
      <c r="F12" s="1729">
        <f t="shared" si="0"/>
        <v>117524</v>
      </c>
      <c r="G12" s="1729">
        <f t="shared" si="0"/>
        <v>377246</v>
      </c>
      <c r="H12" s="1729">
        <f t="shared" si="0"/>
        <v>0</v>
      </c>
      <c r="I12" s="1729">
        <f t="shared" si="0"/>
        <v>29380</v>
      </c>
      <c r="J12" s="1729">
        <f t="shared" si="0"/>
        <v>60364</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v>213771</v>
      </c>
      <c r="E16" s="466"/>
      <c r="F16" s="466"/>
      <c r="G16" s="466"/>
      <c r="H16" s="466"/>
      <c r="I16" s="466"/>
      <c r="J16" s="467"/>
      <c r="K16" s="466"/>
    </row>
    <row r="17" spans="1:11" ht="12.75" customHeight="1" x14ac:dyDescent="0.2">
      <c r="A17" s="463" t="s">
        <v>840</v>
      </c>
      <c r="B17" s="470">
        <v>1290</v>
      </c>
      <c r="C17" s="551">
        <v>250000</v>
      </c>
      <c r="D17" s="466">
        <v>567575</v>
      </c>
      <c r="E17" s="466"/>
      <c r="F17" s="466"/>
      <c r="G17" s="466"/>
      <c r="H17" s="466"/>
      <c r="I17" s="466"/>
      <c r="J17" s="467"/>
      <c r="K17" s="466"/>
    </row>
    <row r="18" spans="1:11" ht="12.75" customHeight="1" thickBot="1" x14ac:dyDescent="0.25">
      <c r="A18" s="1730" t="s">
        <v>558</v>
      </c>
      <c r="B18" s="1731"/>
      <c r="C18" s="1732">
        <f>SUM(C14:C17)</f>
        <v>250000</v>
      </c>
      <c r="D18" s="1732">
        <f t="shared" ref="D18:K18" si="1">SUM(D14:D17)</f>
        <v>781346</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37898</v>
      </c>
      <c r="D65" s="466">
        <v>1374</v>
      </c>
      <c r="E65" s="466">
        <v>24</v>
      </c>
      <c r="F65" s="467">
        <v>24</v>
      </c>
      <c r="G65" s="466">
        <v>505</v>
      </c>
      <c r="H65" s="466"/>
      <c r="I65" s="466">
        <v>56</v>
      </c>
      <c r="J65" s="467">
        <v>12</v>
      </c>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37898</v>
      </c>
      <c r="D67" s="1710">
        <f t="shared" ref="D67:K67" si="2">SUM(D65:D66)</f>
        <v>1374</v>
      </c>
      <c r="E67" s="1710">
        <f t="shared" si="2"/>
        <v>24</v>
      </c>
      <c r="F67" s="1710">
        <f t="shared" si="2"/>
        <v>24</v>
      </c>
      <c r="G67" s="1710">
        <f t="shared" si="2"/>
        <v>505</v>
      </c>
      <c r="H67" s="1710">
        <f t="shared" si="2"/>
        <v>0</v>
      </c>
      <c r="I67" s="1710">
        <f t="shared" si="2"/>
        <v>56</v>
      </c>
      <c r="J67" s="1710">
        <f t="shared" si="2"/>
        <v>12</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48612</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4177</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52789</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54759</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2775</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57534</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14252</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14252</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920</v>
      </c>
      <c r="D95" s="551"/>
      <c r="E95" s="521"/>
      <c r="F95" s="521"/>
      <c r="G95" s="521"/>
      <c r="H95" s="521"/>
      <c r="I95" s="521"/>
      <c r="J95" s="521"/>
      <c r="K95" s="521"/>
    </row>
    <row r="96" spans="1:11" ht="12.75" customHeight="1" x14ac:dyDescent="0.2">
      <c r="A96" s="463" t="s">
        <v>409</v>
      </c>
      <c r="B96" s="470">
        <v>1920</v>
      </c>
      <c r="C96" s="551">
        <v>27353</v>
      </c>
      <c r="D96" s="551">
        <v>11070</v>
      </c>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45605</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2950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199476</v>
      </c>
      <c r="D107" s="466"/>
      <c r="E107" s="466"/>
      <c r="F107" s="466"/>
      <c r="G107" s="466"/>
      <c r="H107" s="466"/>
      <c r="I107" s="466"/>
      <c r="J107" s="467"/>
      <c r="K107" s="466"/>
    </row>
    <row r="108" spans="1:12" ht="12.75" customHeight="1" thickBot="1" x14ac:dyDescent="0.25">
      <c r="A108" s="1730" t="s">
        <v>508</v>
      </c>
      <c r="B108" s="1734"/>
      <c r="C108" s="1729">
        <f>SUM(C95:C107)</f>
        <v>276304</v>
      </c>
      <c r="D108" s="1729">
        <f t="shared" ref="D108:K108" si="3">SUM(D95:D107)</f>
        <v>11070</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2082143</v>
      </c>
      <c r="D109" s="1737">
        <f t="shared" si="4"/>
        <v>1087598</v>
      </c>
      <c r="E109" s="1737">
        <f t="shared" si="4"/>
        <v>261912</v>
      </c>
      <c r="F109" s="1737">
        <f t="shared" si="4"/>
        <v>117548</v>
      </c>
      <c r="G109" s="1737">
        <f t="shared" si="4"/>
        <v>377751</v>
      </c>
      <c r="H109" s="1737">
        <f t="shared" si="4"/>
        <v>0</v>
      </c>
      <c r="I109" s="1737">
        <f t="shared" si="4"/>
        <v>29436</v>
      </c>
      <c r="J109" s="1737">
        <f t="shared" si="4"/>
        <v>60376</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v>38799</v>
      </c>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38799</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6497542</v>
      </c>
      <c r="D117" s="481"/>
      <c r="E117" s="466"/>
      <c r="F117" s="481"/>
      <c r="G117" s="481"/>
      <c r="H117" s="466"/>
      <c r="I117" s="468"/>
      <c r="J117" s="467"/>
      <c r="K117" s="466"/>
    </row>
    <row r="118" spans="1:11" ht="12.75" customHeight="1" x14ac:dyDescent="0.2">
      <c r="A118" s="463" t="s">
        <v>1900</v>
      </c>
      <c r="B118" s="562">
        <v>3002</v>
      </c>
      <c r="C118" s="551"/>
      <c r="D118" s="466"/>
      <c r="E118" s="466"/>
      <c r="F118" s="466"/>
      <c r="G118" s="466"/>
      <c r="H118" s="466"/>
      <c r="I118" s="468"/>
      <c r="J118" s="467"/>
      <c r="K118" s="466"/>
    </row>
    <row r="119" spans="1:11" ht="12.75" customHeight="1" x14ac:dyDescent="0.2">
      <c r="A119" s="463" t="s">
        <v>1901</v>
      </c>
      <c r="B119" s="562">
        <v>3005</v>
      </c>
      <c r="C119" s="551"/>
      <c r="D119" s="466"/>
      <c r="E119" s="466"/>
      <c r="F119" s="466"/>
      <c r="G119" s="466"/>
      <c r="H119" s="466"/>
      <c r="I119" s="468"/>
      <c r="J119" s="467"/>
      <c r="K119" s="466"/>
    </row>
    <row r="120" spans="1:11" x14ac:dyDescent="0.2">
      <c r="A120" s="1518" t="s">
        <v>1902</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6497542</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80121</v>
      </c>
      <c r="D125" s="561"/>
      <c r="E125" s="468"/>
      <c r="F125" s="466"/>
      <c r="G125" s="468"/>
      <c r="H125" s="468"/>
      <c r="I125" s="468"/>
      <c r="J125" s="468"/>
      <c r="K125" s="468"/>
    </row>
    <row r="126" spans="1:11" ht="12.75" customHeight="1" x14ac:dyDescent="0.2">
      <c r="A126" s="463" t="s">
        <v>922</v>
      </c>
      <c r="B126" s="562">
        <v>3110</v>
      </c>
      <c r="C126" s="551">
        <v>80916</v>
      </c>
      <c r="D126" s="466"/>
      <c r="E126" s="468"/>
      <c r="F126" s="466"/>
      <c r="G126" s="468"/>
      <c r="H126" s="468"/>
      <c r="I126" s="468"/>
      <c r="J126" s="468"/>
      <c r="K126" s="468"/>
    </row>
    <row r="127" spans="1:11" ht="12.75" customHeight="1" x14ac:dyDescent="0.2">
      <c r="A127" s="463" t="s">
        <v>107</v>
      </c>
      <c r="B127" s="562">
        <v>3120</v>
      </c>
      <c r="C127" s="466">
        <v>5203</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166240</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23995</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10453</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34448</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5891</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14768</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234467</v>
      </c>
      <c r="G151" s="467"/>
      <c r="H151" s="468"/>
      <c r="I151" s="468"/>
      <c r="J151" s="468"/>
      <c r="K151" s="468"/>
    </row>
    <row r="152" spans="1:11" ht="12.75" customHeight="1" x14ac:dyDescent="0.2">
      <c r="A152" s="463" t="s">
        <v>1117</v>
      </c>
      <c r="B152" s="562">
        <v>3510</v>
      </c>
      <c r="C152" s="551"/>
      <c r="D152" s="466"/>
      <c r="E152" s="561"/>
      <c r="F152" s="466">
        <v>160806</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395273</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v>79270</v>
      </c>
      <c r="D157" s="468"/>
      <c r="E157" s="561"/>
      <c r="F157" s="576"/>
      <c r="G157" s="576"/>
      <c r="H157" s="468"/>
      <c r="I157" s="468"/>
      <c r="J157" s="468"/>
      <c r="K157" s="468"/>
    </row>
    <row r="158" spans="1:11" ht="12.75" customHeight="1" thickTop="1" thickBot="1" x14ac:dyDescent="0.25">
      <c r="A158" s="1522" t="s">
        <v>1111</v>
      </c>
      <c r="B158" s="574">
        <v>3705</v>
      </c>
      <c r="C158" s="576">
        <v>503425</v>
      </c>
      <c r="D158" s="578"/>
      <c r="E158" s="561"/>
      <c r="F158" s="576"/>
      <c r="G158" s="576"/>
      <c r="H158" s="468"/>
      <c r="I158" s="468"/>
      <c r="J158" s="468"/>
      <c r="K158" s="468"/>
    </row>
    <row r="159" spans="1:11" ht="12.75" customHeight="1" thickTop="1" thickBot="1" x14ac:dyDescent="0.25">
      <c r="A159" s="1522" t="s">
        <v>39</v>
      </c>
      <c r="B159" s="574">
        <v>3715</v>
      </c>
      <c r="C159" s="576">
        <v>1574</v>
      </c>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32499</v>
      </c>
      <c r="D171" s="580"/>
      <c r="E171" s="580"/>
      <c r="F171" s="580"/>
      <c r="G171" s="581"/>
      <c r="H171" s="582"/>
      <c r="I171" s="581"/>
      <c r="J171" s="581"/>
      <c r="K171" s="582"/>
    </row>
    <row r="172" spans="1:11" ht="12.75" customHeight="1" thickTop="1" thickBot="1" x14ac:dyDescent="0.25">
      <c r="A172" s="2175" t="s">
        <v>418</v>
      </c>
      <c r="B172" s="2176"/>
      <c r="C172" s="1744">
        <f t="shared" ref="C172:K172" si="6">SUM(C131,C140,C144,C145:C149,C154,C155:C170,C171)</f>
        <v>838115</v>
      </c>
      <c r="D172" s="1744">
        <f t="shared" si="6"/>
        <v>0</v>
      </c>
      <c r="E172" s="1744">
        <f t="shared" si="6"/>
        <v>0</v>
      </c>
      <c r="F172" s="1744">
        <f t="shared" si="6"/>
        <v>395273</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7335657</v>
      </c>
      <c r="D173" s="1737">
        <f>SUM(D121,D172)</f>
        <v>0</v>
      </c>
      <c r="E173" s="1737">
        <f>SUM(E121,E172)</f>
        <v>0</v>
      </c>
      <c r="F173" s="1737">
        <f t="shared" ref="F173:K173" si="7">SUM(F121,F172)</f>
        <v>395273</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77" t="s">
        <v>1572</v>
      </c>
      <c r="B175" s="2178"/>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81" t="s">
        <v>1764</v>
      </c>
      <c r="B178" s="2182"/>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85" t="s">
        <v>1763</v>
      </c>
      <c r="B179" s="2186"/>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83" t="s">
        <v>818</v>
      </c>
      <c r="B184" s="2184"/>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9" t="s">
        <v>1904</v>
      </c>
      <c r="B185" s="2180"/>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36393</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36393</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279651</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56580</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v>21100</v>
      </c>
      <c r="D200" s="468"/>
      <c r="E200" s="561"/>
      <c r="F200" s="468"/>
      <c r="G200" s="585"/>
      <c r="H200" s="468"/>
      <c r="I200" s="468"/>
      <c r="J200" s="468"/>
      <c r="K200" s="468"/>
    </row>
    <row r="201" spans="1:11" ht="12.75" customHeight="1" thickBot="1" x14ac:dyDescent="0.25">
      <c r="A201" s="1730" t="s">
        <v>569</v>
      </c>
      <c r="B201" s="1731"/>
      <c r="C201" s="1710">
        <f>SUM(C193:C200)</f>
        <v>357331</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568843</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568843</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14400</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14400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v>2234</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2234</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v>3940</v>
      </c>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3940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58609</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11041</v>
      </c>
      <c r="D270" s="576"/>
      <c r="E270" s="468"/>
      <c r="F270" s="576"/>
      <c r="G270" s="576"/>
      <c r="H270" s="468"/>
      <c r="I270" s="468"/>
      <c r="J270" s="468"/>
      <c r="K270" s="468"/>
    </row>
    <row r="271" spans="1:11" ht="12.75" customHeight="1" thickTop="1" thickBot="1" x14ac:dyDescent="0.25">
      <c r="A271" s="463" t="s">
        <v>395</v>
      </c>
      <c r="B271" s="470">
        <v>4992</v>
      </c>
      <c r="C271" s="575">
        <v>42138</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1094929</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1094929</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10551528</v>
      </c>
      <c r="D275" s="1737">
        <f t="shared" si="12"/>
        <v>1087598</v>
      </c>
      <c r="E275" s="1737">
        <f t="shared" si="12"/>
        <v>261912</v>
      </c>
      <c r="F275" s="1737">
        <f t="shared" si="12"/>
        <v>512821</v>
      </c>
      <c r="G275" s="1737">
        <f t="shared" si="12"/>
        <v>377751</v>
      </c>
      <c r="H275" s="1737">
        <f t="shared" si="12"/>
        <v>0</v>
      </c>
      <c r="I275" s="1737">
        <f t="shared" si="12"/>
        <v>29436</v>
      </c>
      <c r="J275" s="1737">
        <f t="shared" si="12"/>
        <v>60376</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25" right="0.15" top="0.66" bottom="0.46" header="0.26" footer="0.17"/>
  <pageSetup scale="74" firstPageNumber="10" orientation="landscape" useFirstPageNumber="1" r:id="rId1"/>
  <headerFooter alignWithMargins="0">
    <oddHeader>&amp;L&amp;8Page &amp;P&amp;C&amp;"Arial,Bold"&amp;9STATEMENT OF REVENUES RECEIVED/REVENUES
FOR THE YEAR ENDING JUNE 30, 2018&amp;R&amp;8Page &amp;P</oddHeader>
    <oddFooter>&amp;CThe notes to the financial statements are an integral part of this statement.
15</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9" activePane="bottomLeft" state="frozen"/>
      <selection activeCell="A47" sqref="A47"/>
      <selection pane="bottomLeft" activeCell="A328" sqref="A328:L398"/>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9" t="s">
        <v>1903</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7"/>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3" t="s">
        <v>315</v>
      </c>
      <c r="B3" s="2194"/>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2511486</v>
      </c>
      <c r="D5" s="466">
        <f>633201+46994</f>
        <v>680195</v>
      </c>
      <c r="E5" s="466">
        <v>25110</v>
      </c>
      <c r="F5" s="466">
        <v>170311</v>
      </c>
      <c r="G5" s="466"/>
      <c r="H5" s="466"/>
      <c r="I5" s="467"/>
      <c r="J5" s="467"/>
      <c r="K5" s="1693">
        <f>SUM(C5:J5)</f>
        <v>3387102</v>
      </c>
      <c r="L5" s="466">
        <v>3387981</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212215</v>
      </c>
      <c r="D7" s="467">
        <v>64558</v>
      </c>
      <c r="E7" s="467"/>
      <c r="F7" s="467">
        <v>9408</v>
      </c>
      <c r="G7" s="467">
        <v>68070</v>
      </c>
      <c r="H7" s="467"/>
      <c r="I7" s="467"/>
      <c r="J7" s="467"/>
      <c r="K7" s="1693">
        <f t="shared" ref="K7:K32" si="0">SUM(C7:J7)</f>
        <v>354251</v>
      </c>
      <c r="L7" s="466">
        <v>346702</v>
      </c>
    </row>
    <row r="8" spans="1:14" x14ac:dyDescent="0.2">
      <c r="A8" s="1526" t="s">
        <v>166</v>
      </c>
      <c r="B8" s="615">
        <v>1200</v>
      </c>
      <c r="C8" s="466">
        <v>771365</v>
      </c>
      <c r="D8" s="466">
        <v>190058</v>
      </c>
      <c r="E8" s="466"/>
      <c r="F8" s="466"/>
      <c r="G8" s="466"/>
      <c r="H8" s="466"/>
      <c r="I8" s="467"/>
      <c r="J8" s="467"/>
      <c r="K8" s="1693">
        <f t="shared" si="0"/>
        <v>961423</v>
      </c>
      <c r="L8" s="466">
        <v>907496</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289146</v>
      </c>
      <c r="D10" s="466">
        <v>124784</v>
      </c>
      <c r="E10" s="466">
        <v>42241</v>
      </c>
      <c r="F10" s="466">
        <v>57164</v>
      </c>
      <c r="G10" s="466"/>
      <c r="H10" s="466"/>
      <c r="I10" s="467"/>
      <c r="J10" s="467"/>
      <c r="K10" s="1693">
        <f t="shared" si="0"/>
        <v>513335</v>
      </c>
      <c r="L10" s="466">
        <v>576893</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228194</v>
      </c>
      <c r="D13" s="466">
        <v>53445</v>
      </c>
      <c r="E13" s="466">
        <v>1017</v>
      </c>
      <c r="F13" s="466">
        <v>19072</v>
      </c>
      <c r="G13" s="466"/>
      <c r="H13" s="466"/>
      <c r="I13" s="467"/>
      <c r="J13" s="467"/>
      <c r="K13" s="1693">
        <f t="shared" si="0"/>
        <v>301728</v>
      </c>
      <c r="L13" s="466">
        <v>300798</v>
      </c>
    </row>
    <row r="14" spans="1:14" x14ac:dyDescent="0.2">
      <c r="A14" s="1526" t="s">
        <v>1020</v>
      </c>
      <c r="B14" s="615">
        <v>1500</v>
      </c>
      <c r="C14" s="466">
        <v>252156</v>
      </c>
      <c r="D14" s="466">
        <v>41129</v>
      </c>
      <c r="E14" s="466">
        <v>47511</v>
      </c>
      <c r="F14" s="466">
        <v>62656</v>
      </c>
      <c r="G14" s="466">
        <v>159</v>
      </c>
      <c r="H14" s="466"/>
      <c r="I14" s="467"/>
      <c r="J14" s="467"/>
      <c r="K14" s="1693">
        <f t="shared" si="0"/>
        <v>403611</v>
      </c>
      <c r="L14" s="466">
        <v>398700</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44645</v>
      </c>
      <c r="D17" s="467">
        <v>12315</v>
      </c>
      <c r="E17" s="467">
        <v>991</v>
      </c>
      <c r="F17" s="467">
        <v>3791</v>
      </c>
      <c r="G17" s="467"/>
      <c r="H17" s="467"/>
      <c r="I17" s="467"/>
      <c r="J17" s="467"/>
      <c r="K17" s="1693">
        <f t="shared" si="0"/>
        <v>61742</v>
      </c>
      <c r="L17" s="466">
        <v>61742</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v>2798</v>
      </c>
      <c r="G19" s="466"/>
      <c r="H19" s="466"/>
      <c r="I19" s="467"/>
      <c r="J19" s="467"/>
      <c r="K19" s="1693">
        <f t="shared" si="0"/>
        <v>2798</v>
      </c>
      <c r="L19" s="466">
        <v>2798</v>
      </c>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4309207</v>
      </c>
      <c r="D33" s="1692">
        <f t="shared" ref="D33:L33" si="1">SUM(D5:D32)</f>
        <v>1166484</v>
      </c>
      <c r="E33" s="1692">
        <f t="shared" si="1"/>
        <v>116870</v>
      </c>
      <c r="F33" s="1692">
        <f t="shared" si="1"/>
        <v>325200</v>
      </c>
      <c r="G33" s="1692">
        <f t="shared" si="1"/>
        <v>68229</v>
      </c>
      <c r="H33" s="1692">
        <f t="shared" si="1"/>
        <v>0</v>
      </c>
      <c r="I33" s="1692">
        <f t="shared" si="1"/>
        <v>0</v>
      </c>
      <c r="J33" s="1692">
        <f t="shared" si="1"/>
        <v>0</v>
      </c>
      <c r="K33" s="1692">
        <f t="shared" si="1"/>
        <v>5985990</v>
      </c>
      <c r="L33" s="1692">
        <f t="shared" si="1"/>
        <v>5983110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171028</v>
      </c>
      <c r="D36" s="481">
        <v>36019</v>
      </c>
      <c r="E36" s="481">
        <v>649</v>
      </c>
      <c r="F36" s="481">
        <v>306</v>
      </c>
      <c r="G36" s="481"/>
      <c r="H36" s="481"/>
      <c r="I36" s="467"/>
      <c r="J36" s="467"/>
      <c r="K36" s="1693">
        <f t="shared" ref="K36:K41" si="2">SUM(C36:J36)</f>
        <v>208002</v>
      </c>
      <c r="L36" s="466">
        <v>208002</v>
      </c>
    </row>
    <row r="37" spans="1:14" x14ac:dyDescent="0.2">
      <c r="A37" s="1526" t="s">
        <v>1151</v>
      </c>
      <c r="B37" s="615">
        <v>2120</v>
      </c>
      <c r="C37" s="466">
        <v>75161</v>
      </c>
      <c r="D37" s="466">
        <v>23127</v>
      </c>
      <c r="E37" s="466"/>
      <c r="F37" s="466">
        <v>3280</v>
      </c>
      <c r="G37" s="466"/>
      <c r="H37" s="466"/>
      <c r="I37" s="467"/>
      <c r="J37" s="467"/>
      <c r="K37" s="1693">
        <f t="shared" si="2"/>
        <v>101568</v>
      </c>
      <c r="L37" s="466">
        <v>101568</v>
      </c>
    </row>
    <row r="38" spans="1:14" x14ac:dyDescent="0.2">
      <c r="A38" s="1526" t="s">
        <v>207</v>
      </c>
      <c r="B38" s="615">
        <v>2130</v>
      </c>
      <c r="C38" s="466">
        <v>64285</v>
      </c>
      <c r="D38" s="466">
        <v>21505</v>
      </c>
      <c r="E38" s="466">
        <v>649</v>
      </c>
      <c r="F38" s="466">
        <v>543</v>
      </c>
      <c r="G38" s="466"/>
      <c r="H38" s="466"/>
      <c r="I38" s="467"/>
      <c r="J38" s="467"/>
      <c r="K38" s="1693">
        <f t="shared" si="2"/>
        <v>86982</v>
      </c>
      <c r="L38" s="466">
        <v>86982</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310474</v>
      </c>
      <c r="D42" s="1692">
        <f t="shared" ref="D42:L42" si="3">SUM(D36:D41)</f>
        <v>80651</v>
      </c>
      <c r="E42" s="1692">
        <f t="shared" si="3"/>
        <v>1298</v>
      </c>
      <c r="F42" s="1692">
        <f t="shared" si="3"/>
        <v>4129</v>
      </c>
      <c r="G42" s="1692">
        <f t="shared" si="3"/>
        <v>0</v>
      </c>
      <c r="H42" s="1692">
        <f t="shared" si="3"/>
        <v>0</v>
      </c>
      <c r="I42" s="1692">
        <f t="shared" si="3"/>
        <v>0</v>
      </c>
      <c r="J42" s="1692">
        <f t="shared" si="3"/>
        <v>0</v>
      </c>
      <c r="K42" s="1692">
        <f t="shared" si="3"/>
        <v>396552</v>
      </c>
      <c r="L42" s="1692">
        <f t="shared" si="3"/>
        <v>396552</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14475</v>
      </c>
      <c r="D44" s="481">
        <v>4278</v>
      </c>
      <c r="E44" s="481">
        <v>7325</v>
      </c>
      <c r="F44" s="481"/>
      <c r="G44" s="481"/>
      <c r="H44" s="481"/>
      <c r="I44" s="467"/>
      <c r="J44" s="467"/>
      <c r="K44" s="1694">
        <f>SUM(C44:J44)</f>
        <v>26078</v>
      </c>
      <c r="L44" s="481">
        <v>26078</v>
      </c>
    </row>
    <row r="45" spans="1:14" x14ac:dyDescent="0.2">
      <c r="A45" s="1526" t="s">
        <v>869</v>
      </c>
      <c r="B45" s="615">
        <v>2220</v>
      </c>
      <c r="C45" s="466">
        <v>83274</v>
      </c>
      <c r="D45" s="466">
        <v>34760</v>
      </c>
      <c r="E45" s="466"/>
      <c r="F45" s="466">
        <v>2795</v>
      </c>
      <c r="G45" s="466"/>
      <c r="H45" s="466"/>
      <c r="I45" s="467"/>
      <c r="J45" s="467"/>
      <c r="K45" s="1694">
        <f>SUM(C45:J45)</f>
        <v>120829</v>
      </c>
      <c r="L45" s="466">
        <v>120828</v>
      </c>
    </row>
    <row r="46" spans="1:14" x14ac:dyDescent="0.2">
      <c r="A46" s="1526" t="s">
        <v>870</v>
      </c>
      <c r="B46" s="615">
        <v>2230</v>
      </c>
      <c r="C46" s="466"/>
      <c r="D46" s="466"/>
      <c r="E46" s="466">
        <v>2694</v>
      </c>
      <c r="F46" s="466"/>
      <c r="G46" s="466"/>
      <c r="H46" s="466"/>
      <c r="I46" s="467"/>
      <c r="J46" s="467"/>
      <c r="K46" s="1694">
        <f>SUM(C46:J46)</f>
        <v>2694</v>
      </c>
      <c r="L46" s="466">
        <v>58893</v>
      </c>
    </row>
    <row r="47" spans="1:14" ht="12.75" customHeight="1" thickBot="1" x14ac:dyDescent="0.25">
      <c r="A47" s="1690" t="s">
        <v>582</v>
      </c>
      <c r="B47" s="1691" t="s">
        <v>32</v>
      </c>
      <c r="C47" s="1692">
        <f>SUM(C44:C46)</f>
        <v>97749</v>
      </c>
      <c r="D47" s="1692">
        <f t="shared" ref="D47:K47" si="4">SUM(D44:D46)</f>
        <v>39038</v>
      </c>
      <c r="E47" s="1692">
        <f t="shared" si="4"/>
        <v>10019</v>
      </c>
      <c r="F47" s="1692">
        <f t="shared" si="4"/>
        <v>2795</v>
      </c>
      <c r="G47" s="1692">
        <f t="shared" si="4"/>
        <v>0</v>
      </c>
      <c r="H47" s="1692">
        <f t="shared" si="4"/>
        <v>0</v>
      </c>
      <c r="I47" s="1692">
        <f t="shared" si="4"/>
        <v>0</v>
      </c>
      <c r="J47" s="1692">
        <f t="shared" si="4"/>
        <v>0</v>
      </c>
      <c r="K47" s="1692">
        <f t="shared" si="4"/>
        <v>149601</v>
      </c>
      <c r="L47" s="1692">
        <f>SUM(L44:L46)</f>
        <v>205799</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48560</v>
      </c>
      <c r="D49" s="481">
        <v>1552</v>
      </c>
      <c r="E49" s="481">
        <v>43972</v>
      </c>
      <c r="F49" s="481">
        <v>11766</v>
      </c>
      <c r="G49" s="481"/>
      <c r="H49" s="481"/>
      <c r="I49" s="467"/>
      <c r="J49" s="467"/>
      <c r="K49" s="1694">
        <f>SUM(C49:J49)</f>
        <v>105850</v>
      </c>
      <c r="L49" s="481">
        <v>55738</v>
      </c>
    </row>
    <row r="50" spans="1:14" x14ac:dyDescent="0.2">
      <c r="A50" s="1526" t="s">
        <v>872</v>
      </c>
      <c r="B50" s="615">
        <v>2320</v>
      </c>
      <c r="C50" s="466">
        <v>92778</v>
      </c>
      <c r="D50" s="466">
        <v>18516</v>
      </c>
      <c r="E50" s="466">
        <v>2365</v>
      </c>
      <c r="F50" s="466">
        <v>26277</v>
      </c>
      <c r="G50" s="466"/>
      <c r="H50" s="466"/>
      <c r="I50" s="467"/>
      <c r="J50" s="467"/>
      <c r="K50" s="1694">
        <f>SUM(C50:J50)</f>
        <v>139936</v>
      </c>
      <c r="L50" s="466">
        <v>139936</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141338</v>
      </c>
      <c r="D53" s="1692">
        <f t="shared" ref="D53:L53" si="5">SUM(D49:D52)</f>
        <v>20068</v>
      </c>
      <c r="E53" s="1692">
        <f t="shared" si="5"/>
        <v>46337</v>
      </c>
      <c r="F53" s="1692">
        <f t="shared" si="5"/>
        <v>38043</v>
      </c>
      <c r="G53" s="1692">
        <f t="shared" si="5"/>
        <v>0</v>
      </c>
      <c r="H53" s="1692">
        <f t="shared" si="5"/>
        <v>0</v>
      </c>
      <c r="I53" s="1692">
        <f t="shared" si="5"/>
        <v>0</v>
      </c>
      <c r="J53" s="1692">
        <f t="shared" si="5"/>
        <v>0</v>
      </c>
      <c r="K53" s="1692">
        <f t="shared" si="5"/>
        <v>245786</v>
      </c>
      <c r="L53" s="1692">
        <f t="shared" si="5"/>
        <v>195674</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304991</v>
      </c>
      <c r="D55" s="481">
        <v>68819</v>
      </c>
      <c r="E55" s="481">
        <v>3232</v>
      </c>
      <c r="F55" s="481">
        <v>4112</v>
      </c>
      <c r="G55" s="481"/>
      <c r="H55" s="481"/>
      <c r="I55" s="467"/>
      <c r="J55" s="467"/>
      <c r="K55" s="1694">
        <f>SUM(C55:J55)</f>
        <v>381154</v>
      </c>
      <c r="L55" s="481">
        <v>381155</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304991</v>
      </c>
      <c r="D57" s="1696">
        <f t="shared" ref="D57:K57" si="6">SUM(D55:D56)</f>
        <v>68819</v>
      </c>
      <c r="E57" s="1696">
        <f t="shared" si="6"/>
        <v>3232</v>
      </c>
      <c r="F57" s="1696">
        <f t="shared" si="6"/>
        <v>4112</v>
      </c>
      <c r="G57" s="1696">
        <f t="shared" si="6"/>
        <v>0</v>
      </c>
      <c r="H57" s="1696">
        <f t="shared" si="6"/>
        <v>0</v>
      </c>
      <c r="I57" s="1696">
        <f t="shared" si="6"/>
        <v>0</v>
      </c>
      <c r="J57" s="1696">
        <f t="shared" si="6"/>
        <v>0</v>
      </c>
      <c r="K57" s="1696">
        <f t="shared" si="6"/>
        <v>381154</v>
      </c>
      <c r="L57" s="1692">
        <f>SUM(L55:L56)</f>
        <v>381155</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40564</v>
      </c>
      <c r="D60" s="466">
        <v>7628</v>
      </c>
      <c r="E60" s="466">
        <v>14667</v>
      </c>
      <c r="F60" s="466">
        <v>1965</v>
      </c>
      <c r="G60" s="466"/>
      <c r="H60" s="466"/>
      <c r="I60" s="467"/>
      <c r="J60" s="467"/>
      <c r="K60" s="1694">
        <f t="shared" si="7"/>
        <v>64824</v>
      </c>
      <c r="L60" s="466">
        <v>64823</v>
      </c>
      <c r="M60" s="610"/>
      <c r="N60" s="610"/>
    </row>
    <row r="61" spans="1:14" s="343" customFormat="1" x14ac:dyDescent="0.2">
      <c r="A61" s="1526" t="s">
        <v>206</v>
      </c>
      <c r="B61" s="615">
        <v>2540</v>
      </c>
      <c r="C61" s="466">
        <v>484558</v>
      </c>
      <c r="D61" s="466">
        <v>74747</v>
      </c>
      <c r="E61" s="466">
        <v>92495</v>
      </c>
      <c r="F61" s="466">
        <v>17257</v>
      </c>
      <c r="G61" s="466"/>
      <c r="H61" s="466"/>
      <c r="I61" s="467"/>
      <c r="J61" s="467"/>
      <c r="K61" s="1694">
        <f t="shared" si="7"/>
        <v>669057</v>
      </c>
      <c r="L61" s="466">
        <v>668761</v>
      </c>
      <c r="M61" s="610"/>
      <c r="N61" s="610"/>
    </row>
    <row r="62" spans="1:14" s="343" customFormat="1" x14ac:dyDescent="0.2">
      <c r="A62" s="1526" t="s">
        <v>1010</v>
      </c>
      <c r="B62" s="615">
        <v>2550</v>
      </c>
      <c r="C62" s="466">
        <v>4230</v>
      </c>
      <c r="D62" s="466">
        <v>810</v>
      </c>
      <c r="E62" s="466">
        <v>16554</v>
      </c>
      <c r="F62" s="466"/>
      <c r="G62" s="466"/>
      <c r="H62" s="466"/>
      <c r="I62" s="467"/>
      <c r="J62" s="467"/>
      <c r="K62" s="1694">
        <f t="shared" si="7"/>
        <v>21594</v>
      </c>
      <c r="L62" s="466">
        <v>6291</v>
      </c>
      <c r="M62" s="610"/>
      <c r="N62" s="610"/>
    </row>
    <row r="63" spans="1:14" s="610" customFormat="1" x14ac:dyDescent="0.2">
      <c r="A63" s="1526" t="s">
        <v>102</v>
      </c>
      <c r="B63" s="615">
        <v>2560</v>
      </c>
      <c r="C63" s="466">
        <v>267524</v>
      </c>
      <c r="D63" s="466">
        <v>83337</v>
      </c>
      <c r="E63" s="466">
        <v>10499</v>
      </c>
      <c r="F63" s="466">
        <v>378248</v>
      </c>
      <c r="G63" s="466">
        <v>21100</v>
      </c>
      <c r="H63" s="466"/>
      <c r="I63" s="467"/>
      <c r="J63" s="467"/>
      <c r="K63" s="1694">
        <f t="shared" si="7"/>
        <v>760708</v>
      </c>
      <c r="L63" s="466">
        <v>760708</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796876</v>
      </c>
      <c r="D65" s="1692">
        <f t="shared" ref="D65:L65" si="8">SUM(D59:D64)</f>
        <v>166522</v>
      </c>
      <c r="E65" s="1692">
        <f t="shared" si="8"/>
        <v>134215</v>
      </c>
      <c r="F65" s="1692">
        <f t="shared" si="8"/>
        <v>397470</v>
      </c>
      <c r="G65" s="1692">
        <f t="shared" si="8"/>
        <v>21100</v>
      </c>
      <c r="H65" s="1692">
        <f t="shared" si="8"/>
        <v>0</v>
      </c>
      <c r="I65" s="1692">
        <f t="shared" si="8"/>
        <v>0</v>
      </c>
      <c r="J65" s="1692">
        <f t="shared" si="8"/>
        <v>0</v>
      </c>
      <c r="K65" s="1692">
        <f t="shared" si="8"/>
        <v>1516183</v>
      </c>
      <c r="L65" s="1692">
        <f t="shared" si="8"/>
        <v>1500583</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v>2265</v>
      </c>
      <c r="G73" s="573"/>
      <c r="H73" s="573"/>
      <c r="I73" s="531"/>
      <c r="J73" s="531"/>
      <c r="K73" s="1692">
        <f>SUM(C73:J73)</f>
        <v>2265</v>
      </c>
      <c r="L73" s="576">
        <v>2265</v>
      </c>
      <c r="M73" s="610"/>
      <c r="N73" s="610"/>
    </row>
    <row r="74" spans="1:14" ht="12.75" customHeight="1" thickTop="1" thickBot="1" x14ac:dyDescent="0.25">
      <c r="A74" s="1690" t="s">
        <v>865</v>
      </c>
      <c r="B74" s="1698">
        <v>2000</v>
      </c>
      <c r="C74" s="1699">
        <f>SUM(C42,C47,C53,C57,C65,C72,C73)</f>
        <v>1651428</v>
      </c>
      <c r="D74" s="1699">
        <f t="shared" ref="D74:K74" si="10">SUM(D42,D47,D53,D57,D65,D72,D73)</f>
        <v>375098</v>
      </c>
      <c r="E74" s="1699">
        <f t="shared" si="10"/>
        <v>195101</v>
      </c>
      <c r="F74" s="1699">
        <f t="shared" si="10"/>
        <v>448814</v>
      </c>
      <c r="G74" s="1699">
        <f t="shared" si="10"/>
        <v>21100</v>
      </c>
      <c r="H74" s="1699">
        <f t="shared" si="10"/>
        <v>0</v>
      </c>
      <c r="I74" s="1699">
        <f t="shared" si="10"/>
        <v>0</v>
      </c>
      <c r="J74" s="1699">
        <f t="shared" si="10"/>
        <v>0</v>
      </c>
      <c r="K74" s="1699">
        <f t="shared" si="10"/>
        <v>2691541</v>
      </c>
      <c r="L74" s="1699">
        <f>SUM(L42,L47,L53,L57,L65,L72,L73)</f>
        <v>2682028</v>
      </c>
    </row>
    <row r="75" spans="1:14" s="259" customFormat="1" ht="15.75" customHeight="1" thickTop="1" thickBot="1" x14ac:dyDescent="0.25">
      <c r="A75" s="1632" t="s">
        <v>49</v>
      </c>
      <c r="B75" s="1633" t="s">
        <v>596</v>
      </c>
      <c r="C75" s="573">
        <v>41446</v>
      </c>
      <c r="D75" s="573">
        <v>12896</v>
      </c>
      <c r="E75" s="573">
        <v>15000</v>
      </c>
      <c r="F75" s="573">
        <v>8076</v>
      </c>
      <c r="G75" s="573"/>
      <c r="H75" s="573"/>
      <c r="I75" s="531"/>
      <c r="J75" s="531"/>
      <c r="K75" s="1692">
        <f>SUM(C75:J75)</f>
        <v>77418</v>
      </c>
      <c r="L75" s="576">
        <v>73806</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v>157653</v>
      </c>
      <c r="I79" s="477"/>
      <c r="J79" s="477"/>
      <c r="K79" s="1693">
        <f t="shared" si="11"/>
        <v>157653</v>
      </c>
      <c r="L79" s="466">
        <v>161403</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157653</v>
      </c>
      <c r="I84" s="477"/>
      <c r="J84" s="477"/>
      <c r="K84" s="1692">
        <f>SUM(K78:K83)</f>
        <v>157653</v>
      </c>
      <c r="L84" s="1692">
        <f>SUM(L78:L83)</f>
        <v>161403</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157653</v>
      </c>
      <c r="I102" s="477"/>
      <c r="J102" s="477"/>
      <c r="K102" s="1699">
        <f>SUM(K84,K92,K100,K101)</f>
        <v>157653</v>
      </c>
      <c r="L102" s="1699">
        <f>SUM(L84,L92,L100,L101)</f>
        <v>161403</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v>252796</v>
      </c>
      <c r="I105" s="468"/>
      <c r="J105" s="468"/>
      <c r="K105" s="1693">
        <f>H105</f>
        <v>252796</v>
      </c>
      <c r="L105" s="481">
        <v>252796</v>
      </c>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252796</v>
      </c>
      <c r="I110" s="468"/>
      <c r="J110" s="468"/>
      <c r="K110" s="1692">
        <f>SUM(K105:K109)</f>
        <v>252796</v>
      </c>
      <c r="L110" s="1692">
        <f>SUM(L105:L109)</f>
        <v>252796</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252796</v>
      </c>
      <c r="I112" s="468"/>
      <c r="J112" s="468"/>
      <c r="K112" s="1692">
        <f>SUM(K110:K111)</f>
        <v>252796</v>
      </c>
      <c r="L112" s="1699">
        <f>SUM(L110,L111)</f>
        <v>252796</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6002081</v>
      </c>
      <c r="D114" s="1692">
        <f t="shared" ref="D114:K114" si="13">SUM(D33,D74,D75,D102,D112,D113)</f>
        <v>1554478</v>
      </c>
      <c r="E114" s="1692">
        <f t="shared" si="13"/>
        <v>326971</v>
      </c>
      <c r="F114" s="1692">
        <f t="shared" si="13"/>
        <v>782090</v>
      </c>
      <c r="G114" s="1692">
        <f t="shared" si="13"/>
        <v>89329</v>
      </c>
      <c r="H114" s="1692">
        <f>SUM(H33,H74,H75,H102,H112,H113)</f>
        <v>410449</v>
      </c>
      <c r="I114" s="1692">
        <f t="shared" si="13"/>
        <v>0</v>
      </c>
      <c r="J114" s="1692">
        <f t="shared" si="13"/>
        <v>0</v>
      </c>
      <c r="K114" s="1692">
        <f t="shared" si="13"/>
        <v>9165398</v>
      </c>
      <c r="L114" s="1692">
        <f>SUM(L33,L74,L75,L102,L112,L113)</f>
        <v>9153143</v>
      </c>
    </row>
    <row r="115" spans="1:14" ht="13.5" thickTop="1" x14ac:dyDescent="0.2">
      <c r="A115" s="2212" t="s">
        <v>1053</v>
      </c>
      <c r="B115" s="2213"/>
      <c r="C115" s="619"/>
      <c r="D115" s="619"/>
      <c r="E115" s="619"/>
      <c r="F115" s="619"/>
      <c r="G115" s="619"/>
      <c r="H115" s="619"/>
      <c r="I115" s="619"/>
      <c r="J115" s="619"/>
      <c r="K115" s="1706">
        <f>'Revenues 9-14'!C275-'Expenditures 15-22'!K114</f>
        <v>1386130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90" t="s">
        <v>314</v>
      </c>
      <c r="B117" s="2191"/>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c r="D124" s="466"/>
      <c r="E124" s="466">
        <v>330771</v>
      </c>
      <c r="F124" s="466">
        <v>541224</v>
      </c>
      <c r="G124" s="466">
        <v>58253</v>
      </c>
      <c r="H124" s="466"/>
      <c r="I124" s="467"/>
      <c r="J124" s="467"/>
      <c r="K124" s="1692">
        <f>SUM(C124:J124)</f>
        <v>930248</v>
      </c>
      <c r="L124" s="466">
        <v>930222</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330771</v>
      </c>
      <c r="F127" s="1692">
        <f t="shared" si="14"/>
        <v>541224</v>
      </c>
      <c r="G127" s="1692">
        <f t="shared" si="14"/>
        <v>58253</v>
      </c>
      <c r="H127" s="1692">
        <f t="shared" si="14"/>
        <v>0</v>
      </c>
      <c r="I127" s="1692">
        <f t="shared" si="14"/>
        <v>0</v>
      </c>
      <c r="J127" s="1692">
        <f t="shared" si="14"/>
        <v>0</v>
      </c>
      <c r="K127" s="1692">
        <f t="shared" si="14"/>
        <v>930248</v>
      </c>
      <c r="L127" s="1692">
        <f t="shared" si="14"/>
        <v>930222</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330771</v>
      </c>
      <c r="F129" s="1699">
        <f t="shared" si="15"/>
        <v>541224</v>
      </c>
      <c r="G129" s="1699">
        <f t="shared" si="15"/>
        <v>58253</v>
      </c>
      <c r="H129" s="1699">
        <f t="shared" si="15"/>
        <v>0</v>
      </c>
      <c r="I129" s="1699">
        <f t="shared" si="15"/>
        <v>0</v>
      </c>
      <c r="J129" s="1699">
        <f t="shared" si="15"/>
        <v>0</v>
      </c>
      <c r="K129" s="1699">
        <f t="shared" si="15"/>
        <v>930248</v>
      </c>
      <c r="L129" s="1699">
        <f t="shared" si="15"/>
        <v>930222</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1955</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202" t="s">
        <v>641</v>
      </c>
      <c r="B151" s="2184"/>
      <c r="C151" s="1692">
        <f>SUM(C129,C130,C139,C149,C150)</f>
        <v>0</v>
      </c>
      <c r="D151" s="1692">
        <f t="shared" ref="D151:K151" si="16">SUM(D129,D130,D139,D149,D150)</f>
        <v>0</v>
      </c>
      <c r="E151" s="1692">
        <f t="shared" si="16"/>
        <v>330771</v>
      </c>
      <c r="F151" s="1692">
        <f t="shared" si="16"/>
        <v>541224</v>
      </c>
      <c r="G151" s="1692">
        <f t="shared" si="16"/>
        <v>58253</v>
      </c>
      <c r="H151" s="1692">
        <f t="shared" si="16"/>
        <v>0</v>
      </c>
      <c r="I151" s="1692">
        <f t="shared" si="16"/>
        <v>0</v>
      </c>
      <c r="J151" s="1692">
        <f t="shared" si="16"/>
        <v>0</v>
      </c>
      <c r="K151" s="1692">
        <f t="shared" si="16"/>
        <v>930248</v>
      </c>
      <c r="L151" s="1692">
        <f>SUM(L129,L130,L139,L149,L150)</f>
        <v>930222</v>
      </c>
    </row>
    <row r="152" spans="1:14" ht="12.75" customHeight="1" thickTop="1" x14ac:dyDescent="0.2">
      <c r="A152" s="2205" t="s">
        <v>1240</v>
      </c>
      <c r="B152" s="2206"/>
      <c r="C152" s="619"/>
      <c r="D152" s="619"/>
      <c r="E152" s="619"/>
      <c r="F152" s="619"/>
      <c r="G152" s="619"/>
      <c r="H152" s="619"/>
      <c r="I152" s="619"/>
      <c r="J152" s="617"/>
      <c r="K152" s="1706">
        <f>'Revenues 9-14'!D275-'Expenditures 15-22'!K151</f>
        <v>157350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90" t="s">
        <v>642</v>
      </c>
      <c r="B154" s="2192"/>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1956</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1955</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1957</v>
      </c>
      <c r="C158" s="617"/>
      <c r="D158" s="617"/>
      <c r="E158" s="617"/>
      <c r="F158" s="617"/>
      <c r="G158" s="617"/>
      <c r="H158" s="467"/>
      <c r="I158" s="617"/>
      <c r="J158" s="617"/>
      <c r="K158" s="1693">
        <f>H158</f>
        <v>0</v>
      </c>
      <c r="L158" s="467"/>
      <c r="M158" s="620"/>
      <c r="N158" s="620"/>
    </row>
    <row r="159" spans="1:14" s="621" customFormat="1" ht="12" x14ac:dyDescent="0.2">
      <c r="A159" s="1849" t="s">
        <v>1958</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1959</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v>264400</v>
      </c>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264400</v>
      </c>
    </row>
    <row r="169" spans="1:14" ht="15.75" customHeight="1" thickTop="1" x14ac:dyDescent="0.2">
      <c r="A169" s="670" t="s">
        <v>85</v>
      </c>
      <c r="B169" s="671" t="s">
        <v>38</v>
      </c>
      <c r="C169" s="617"/>
      <c r="D169" s="617"/>
      <c r="E169" s="617"/>
      <c r="F169" s="617"/>
      <c r="G169" s="617"/>
      <c r="H169" s="657">
        <v>107026</v>
      </c>
      <c r="I169" s="617"/>
      <c r="J169" s="617"/>
      <c r="K169" s="1693">
        <f>SUM(C169:H169)</f>
        <v>107026</v>
      </c>
      <c r="L169" s="657">
        <v>34826</v>
      </c>
    </row>
    <row r="170" spans="1:14" ht="33.75" customHeight="1" x14ac:dyDescent="0.2">
      <c r="A170" s="670" t="s">
        <v>1769</v>
      </c>
      <c r="B170" s="672" t="s">
        <v>31</v>
      </c>
      <c r="C170" s="617"/>
      <c r="D170" s="617"/>
      <c r="E170" s="617"/>
      <c r="F170" s="617"/>
      <c r="G170" s="617"/>
      <c r="H170" s="569">
        <v>192200</v>
      </c>
      <c r="I170" s="617"/>
      <c r="J170" s="617"/>
      <c r="K170" s="1693">
        <f>SUM(C170:J170)</f>
        <v>192200</v>
      </c>
      <c r="L170" s="569">
        <v>299227</v>
      </c>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299226</v>
      </c>
      <c r="I172" s="639"/>
      <c r="J172" s="617"/>
      <c r="K172" s="1699">
        <f>SUM(K168,K169,K170,K171)</f>
        <v>299226</v>
      </c>
      <c r="L172" s="1699">
        <f>SUM(L168,L169,L170,L171)</f>
        <v>598453</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299226</v>
      </c>
      <c r="I174" s="639"/>
      <c r="J174" s="617"/>
      <c r="K174" s="1699">
        <f>SUM(K160,K172,K173)</f>
        <v>299226</v>
      </c>
      <c r="L174" s="1699">
        <f>SUM(L160,L172,L173)</f>
        <v>598453</v>
      </c>
    </row>
    <row r="175" spans="1:14" ht="13.5" thickTop="1" x14ac:dyDescent="0.2">
      <c r="A175" s="2212" t="s">
        <v>1053</v>
      </c>
      <c r="B175" s="2213"/>
      <c r="C175" s="617"/>
      <c r="D175" s="617"/>
      <c r="E175" s="617"/>
      <c r="F175" s="617"/>
      <c r="G175" s="617"/>
      <c r="H175" s="619"/>
      <c r="I175" s="617"/>
      <c r="J175" s="617"/>
      <c r="K175" s="1706">
        <f>'Revenues 9-14'!E275-'Expenditures 15-22'!K174</f>
        <v>-37314</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308070</v>
      </c>
      <c r="D182" s="466">
        <v>81727</v>
      </c>
      <c r="E182" s="466">
        <v>15139</v>
      </c>
      <c r="F182" s="466">
        <v>76454</v>
      </c>
      <c r="G182" s="466"/>
      <c r="H182" s="466"/>
      <c r="I182" s="467"/>
      <c r="J182" s="467"/>
      <c r="K182" s="1693">
        <f>SUM(C182:J182)</f>
        <v>481390</v>
      </c>
      <c r="L182" s="466">
        <v>496851</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308070</v>
      </c>
      <c r="D184" s="1699">
        <f t="shared" ref="D184:J184" si="17">SUM(D180,D182,D183)</f>
        <v>81727</v>
      </c>
      <c r="E184" s="1699">
        <f t="shared" si="17"/>
        <v>15139</v>
      </c>
      <c r="F184" s="1699">
        <f t="shared" si="17"/>
        <v>76454</v>
      </c>
      <c r="G184" s="1699">
        <f t="shared" si="17"/>
        <v>0</v>
      </c>
      <c r="H184" s="1699">
        <f t="shared" si="17"/>
        <v>0</v>
      </c>
      <c r="I184" s="1699">
        <f t="shared" si="17"/>
        <v>0</v>
      </c>
      <c r="J184" s="1699">
        <f t="shared" si="17"/>
        <v>0</v>
      </c>
      <c r="K184" s="1699">
        <f>SUM(K180,K182,K183)</f>
        <v>481390</v>
      </c>
      <c r="L184" s="1699">
        <f>SUM(L180, L182:L183)</f>
        <v>496851</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v>2947</v>
      </c>
      <c r="I205" s="617"/>
      <c r="J205" s="617"/>
      <c r="K205" s="1707">
        <f>SUM(H205)</f>
        <v>2947</v>
      </c>
      <c r="L205" s="535">
        <v>2947</v>
      </c>
    </row>
    <row r="206" spans="1:14" ht="30" customHeight="1" x14ac:dyDescent="0.2">
      <c r="A206" s="682" t="s">
        <v>1770</v>
      </c>
      <c r="B206" s="673" t="s">
        <v>31</v>
      </c>
      <c r="C206" s="617"/>
      <c r="D206" s="617"/>
      <c r="E206" s="617"/>
      <c r="F206" s="617"/>
      <c r="G206" s="617"/>
      <c r="H206" s="466">
        <v>77761</v>
      </c>
      <c r="I206" s="617"/>
      <c r="J206" s="617"/>
      <c r="K206" s="1693">
        <f>SUM(H206)</f>
        <v>77761</v>
      </c>
      <c r="L206" s="466">
        <v>77761</v>
      </c>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80708</v>
      </c>
      <c r="I208" s="617"/>
      <c r="J208" s="617"/>
      <c r="K208" s="1699">
        <f>SUM(K204,K205,K206,K207)</f>
        <v>80708</v>
      </c>
      <c r="L208" s="1699">
        <f>SUM(L204,L205,L206,L207)</f>
        <v>80708</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308070</v>
      </c>
      <c r="D210" s="1692">
        <f>SUM(D184,D185)</f>
        <v>81727</v>
      </c>
      <c r="E210" s="1692">
        <f>SUM(E184,E185,E196)</f>
        <v>15139</v>
      </c>
      <c r="F210" s="1692">
        <f>SUM(F184,F185)</f>
        <v>76454</v>
      </c>
      <c r="G210" s="1692">
        <f>SUM(G184,G185)</f>
        <v>0</v>
      </c>
      <c r="H210" s="1692">
        <f>SUM(H184,H185,H196,H208,H209)</f>
        <v>80708</v>
      </c>
      <c r="I210" s="1692">
        <f>SUM(I184,I185)</f>
        <v>0</v>
      </c>
      <c r="J210" s="1692">
        <f>SUM(J184,J185)</f>
        <v>0</v>
      </c>
      <c r="K210" s="1693">
        <f>SUM(K184,K185,K196,K208,K209)</f>
        <v>562098</v>
      </c>
      <c r="L210" s="1692">
        <f>SUM(L184,L185,L196,L208,L209)</f>
        <v>577559</v>
      </c>
    </row>
    <row r="211" spans="1:14" ht="13.5" thickTop="1" x14ac:dyDescent="0.2">
      <c r="A211" s="2212" t="s">
        <v>1053</v>
      </c>
      <c r="B211" s="2213"/>
      <c r="C211" s="619"/>
      <c r="D211" s="619"/>
      <c r="E211" s="619"/>
      <c r="F211" s="619"/>
      <c r="G211" s="619"/>
      <c r="H211" s="619"/>
      <c r="I211" s="617"/>
      <c r="J211" s="617"/>
      <c r="K211" s="1706">
        <f>'Revenues 9-14'!F275-'Expenditures 15-22'!K210</f>
        <v>-49277</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7" t="s">
        <v>1022</v>
      </c>
      <c r="B213" s="2208"/>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54769</v>
      </c>
      <c r="E215" s="617"/>
      <c r="F215" s="617"/>
      <c r="G215" s="617"/>
      <c r="H215" s="617"/>
      <c r="I215" s="617"/>
      <c r="J215" s="617"/>
      <c r="K215" s="1693">
        <f>D215</f>
        <v>54769</v>
      </c>
      <c r="L215" s="466">
        <v>54639</v>
      </c>
    </row>
    <row r="216" spans="1:14" x14ac:dyDescent="0.2">
      <c r="A216" s="1526" t="s">
        <v>165</v>
      </c>
      <c r="B216" s="615" t="s">
        <v>1024</v>
      </c>
      <c r="C216" s="617"/>
      <c r="D216" s="467">
        <v>638</v>
      </c>
      <c r="E216" s="617"/>
      <c r="F216" s="617"/>
      <c r="G216" s="617"/>
      <c r="H216" s="617"/>
      <c r="I216" s="617"/>
      <c r="J216" s="617"/>
      <c r="K216" s="1693">
        <f t="shared" ref="K216:K228" si="19">D216</f>
        <v>638</v>
      </c>
      <c r="L216" s="466">
        <v>638</v>
      </c>
    </row>
    <row r="217" spans="1:14" x14ac:dyDescent="0.2">
      <c r="A217" s="1526" t="s">
        <v>166</v>
      </c>
      <c r="B217" s="615">
        <v>1200</v>
      </c>
      <c r="C217" s="617"/>
      <c r="D217" s="466">
        <v>48185</v>
      </c>
      <c r="E217" s="617"/>
      <c r="F217" s="617"/>
      <c r="G217" s="617"/>
      <c r="H217" s="617"/>
      <c r="I217" s="617"/>
      <c r="J217" s="617"/>
      <c r="K217" s="1693">
        <f t="shared" si="19"/>
        <v>48185</v>
      </c>
      <c r="L217" s="466">
        <v>39948</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345</v>
      </c>
      <c r="E219" s="617"/>
      <c r="F219" s="617"/>
      <c r="G219" s="617"/>
      <c r="H219" s="617"/>
      <c r="I219" s="617"/>
      <c r="J219" s="617"/>
      <c r="K219" s="1693">
        <f t="shared" si="19"/>
        <v>345</v>
      </c>
      <c r="L219" s="466">
        <v>784</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4905</v>
      </c>
      <c r="E222" s="617"/>
      <c r="F222" s="617"/>
      <c r="G222" s="617"/>
      <c r="H222" s="617"/>
      <c r="I222" s="617"/>
      <c r="J222" s="617"/>
      <c r="K222" s="1693">
        <f t="shared" si="19"/>
        <v>4905</v>
      </c>
      <c r="L222" s="466">
        <v>4905</v>
      </c>
    </row>
    <row r="223" spans="1:14" x14ac:dyDescent="0.2">
      <c r="A223" s="1526" t="s">
        <v>1020</v>
      </c>
      <c r="B223" s="615">
        <v>1500</v>
      </c>
      <c r="C223" s="617"/>
      <c r="D223" s="466">
        <v>11419</v>
      </c>
      <c r="E223" s="617"/>
      <c r="F223" s="617"/>
      <c r="G223" s="617"/>
      <c r="H223" s="617"/>
      <c r="I223" s="617"/>
      <c r="J223" s="617"/>
      <c r="K223" s="1693">
        <f t="shared" si="19"/>
        <v>11419</v>
      </c>
      <c r="L223" s="466">
        <v>11419</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v>540</v>
      </c>
      <c r="E226" s="617"/>
      <c r="F226" s="617"/>
      <c r="G226" s="617"/>
      <c r="H226" s="617"/>
      <c r="I226" s="617"/>
      <c r="J226" s="617"/>
      <c r="K226" s="1693">
        <f t="shared" si="19"/>
        <v>540</v>
      </c>
      <c r="L226" s="466">
        <v>540</v>
      </c>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120801</v>
      </c>
      <c r="E229" s="617"/>
      <c r="F229" s="617"/>
      <c r="G229" s="617"/>
      <c r="H229" s="617"/>
      <c r="I229" s="617"/>
      <c r="J229" s="617"/>
      <c r="K229" s="1692">
        <f>SUM(K215:K228)</f>
        <v>120801</v>
      </c>
      <c r="L229" s="1692">
        <f>SUM(L215:L228)</f>
        <v>112873</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21566</v>
      </c>
      <c r="E232" s="617"/>
      <c r="F232" s="617"/>
      <c r="G232" s="617"/>
      <c r="H232" s="617"/>
      <c r="I232" s="617"/>
      <c r="J232" s="617"/>
      <c r="K232" s="1693">
        <f t="shared" ref="K232:K237" si="20">D232</f>
        <v>21566</v>
      </c>
      <c r="L232" s="466">
        <v>21566</v>
      </c>
    </row>
    <row r="233" spans="1:12" x14ac:dyDescent="0.2">
      <c r="A233" s="1526" t="s">
        <v>1151</v>
      </c>
      <c r="B233" s="615">
        <v>2120</v>
      </c>
      <c r="C233" s="617"/>
      <c r="D233" s="466">
        <v>5286</v>
      </c>
      <c r="E233" s="617"/>
      <c r="F233" s="617"/>
      <c r="G233" s="617"/>
      <c r="H233" s="617"/>
      <c r="I233" s="617"/>
      <c r="J233" s="617"/>
      <c r="K233" s="1693">
        <f t="shared" si="20"/>
        <v>5286</v>
      </c>
      <c r="L233" s="466">
        <v>5286</v>
      </c>
    </row>
    <row r="234" spans="1:12" x14ac:dyDescent="0.2">
      <c r="A234" s="1526" t="s">
        <v>207</v>
      </c>
      <c r="B234" s="615">
        <v>2130</v>
      </c>
      <c r="C234" s="617"/>
      <c r="D234" s="466">
        <v>4083</v>
      </c>
      <c r="E234" s="617"/>
      <c r="F234" s="617"/>
      <c r="G234" s="617"/>
      <c r="H234" s="617"/>
      <c r="I234" s="617"/>
      <c r="J234" s="617"/>
      <c r="K234" s="1693">
        <f t="shared" si="20"/>
        <v>4083</v>
      </c>
      <c r="L234" s="466">
        <v>4084</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30935</v>
      </c>
      <c r="E238" s="617"/>
      <c r="F238" s="617"/>
      <c r="G238" s="617"/>
      <c r="H238" s="617"/>
      <c r="I238" s="617"/>
      <c r="J238" s="617"/>
      <c r="K238" s="1692">
        <f>SUM(K232:K237)</f>
        <v>30935</v>
      </c>
      <c r="L238" s="1692">
        <f>SUM(L232:L237)</f>
        <v>30936</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58</v>
      </c>
      <c r="E240" s="617"/>
      <c r="F240" s="617"/>
      <c r="G240" s="617"/>
      <c r="H240" s="617"/>
      <c r="I240" s="617"/>
      <c r="J240" s="617"/>
      <c r="K240" s="1694">
        <f>D240</f>
        <v>58</v>
      </c>
      <c r="L240" s="481">
        <v>58</v>
      </c>
    </row>
    <row r="241" spans="1:12" x14ac:dyDescent="0.2">
      <c r="A241" s="1526" t="s">
        <v>869</v>
      </c>
      <c r="B241" s="615">
        <v>2220</v>
      </c>
      <c r="C241" s="617"/>
      <c r="D241" s="466">
        <v>644</v>
      </c>
      <c r="E241" s="617"/>
      <c r="F241" s="617"/>
      <c r="G241" s="617"/>
      <c r="H241" s="617"/>
      <c r="I241" s="617"/>
      <c r="J241" s="617"/>
      <c r="K241" s="1694">
        <f>D241</f>
        <v>644</v>
      </c>
      <c r="L241" s="466">
        <v>644</v>
      </c>
    </row>
    <row r="242" spans="1:12" x14ac:dyDescent="0.2">
      <c r="A242" s="1526" t="s">
        <v>870</v>
      </c>
      <c r="B242" s="615">
        <v>2230</v>
      </c>
      <c r="C242" s="617"/>
      <c r="D242" s="466"/>
      <c r="E242" s="617"/>
      <c r="F242" s="617"/>
      <c r="G242" s="617"/>
      <c r="H242" s="617"/>
      <c r="I242" s="617"/>
      <c r="J242" s="617"/>
      <c r="K242" s="1694">
        <f>D242</f>
        <v>0</v>
      </c>
      <c r="L242" s="466" t="s">
        <v>2132</v>
      </c>
    </row>
    <row r="243" spans="1:12" ht="12.75" customHeight="1" thickBot="1" x14ac:dyDescent="0.25">
      <c r="A243" s="1716" t="s">
        <v>582</v>
      </c>
      <c r="B243" s="1717">
        <v>2200</v>
      </c>
      <c r="C243" s="617"/>
      <c r="D243" s="1692">
        <f>SUM(D240:D242)</f>
        <v>702</v>
      </c>
      <c r="E243" s="617"/>
      <c r="F243" s="617"/>
      <c r="G243" s="617"/>
      <c r="H243" s="617"/>
      <c r="I243" s="617"/>
      <c r="J243" s="617"/>
      <c r="K243" s="1692">
        <f>SUM(K240:K242)</f>
        <v>702</v>
      </c>
      <c r="L243" s="1692">
        <f>SUM(L240:L242)</f>
        <v>702</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0</v>
      </c>
      <c r="E245" s="617"/>
      <c r="F245" s="617"/>
      <c r="G245" s="617"/>
      <c r="H245" s="617"/>
      <c r="I245" s="617"/>
      <c r="J245" s="617"/>
      <c r="K245" s="1694">
        <f>D245</f>
        <v>0</v>
      </c>
      <c r="L245" s="481"/>
    </row>
    <row r="246" spans="1:12" x14ac:dyDescent="0.2">
      <c r="A246" s="1526" t="s">
        <v>872</v>
      </c>
      <c r="B246" s="615">
        <v>2320</v>
      </c>
      <c r="C246" s="617"/>
      <c r="D246" s="466">
        <v>7971</v>
      </c>
      <c r="E246" s="617"/>
      <c r="F246" s="617"/>
      <c r="G246" s="617"/>
      <c r="H246" s="617"/>
      <c r="I246" s="617"/>
      <c r="J246" s="617"/>
      <c r="K246" s="1694">
        <f t="shared" ref="K246:K256" si="21">D246</f>
        <v>7971</v>
      </c>
      <c r="L246" s="466">
        <v>7971</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1906</v>
      </c>
      <c r="B249" s="684" t="s">
        <v>300</v>
      </c>
      <c r="C249" s="617"/>
      <c r="D249" s="474"/>
      <c r="E249" s="617"/>
      <c r="F249" s="617"/>
      <c r="G249" s="617"/>
      <c r="H249" s="617"/>
      <c r="I249" s="617"/>
      <c r="J249" s="617"/>
      <c r="K249" s="1694">
        <f t="shared" si="21"/>
        <v>0</v>
      </c>
      <c r="L249" s="466"/>
    </row>
    <row r="250" spans="1:12" x14ac:dyDescent="0.2">
      <c r="A250" s="1527" t="s">
        <v>1907</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7971</v>
      </c>
      <c r="E257" s="617"/>
      <c r="F257" s="617"/>
      <c r="G257" s="617"/>
      <c r="H257" s="617"/>
      <c r="I257" s="617"/>
      <c r="J257" s="617"/>
      <c r="K257" s="1692">
        <f>SUM(K245:K256)</f>
        <v>7971</v>
      </c>
      <c r="L257" s="1692">
        <f>SUM(L245:L256)</f>
        <v>7971</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19904</v>
      </c>
      <c r="E259" s="617"/>
      <c r="F259" s="617"/>
      <c r="G259" s="617"/>
      <c r="H259" s="617"/>
      <c r="I259" s="617"/>
      <c r="J259" s="617"/>
      <c r="K259" s="1694">
        <f>D259</f>
        <v>19904</v>
      </c>
      <c r="L259" s="481">
        <v>19904</v>
      </c>
    </row>
    <row r="260" spans="1:14" s="598" customFormat="1" x14ac:dyDescent="0.2">
      <c r="A260" s="1544" t="s">
        <v>1905</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19904</v>
      </c>
      <c r="E261" s="617"/>
      <c r="F261" s="617"/>
      <c r="G261" s="617"/>
      <c r="H261" s="617"/>
      <c r="I261" s="617"/>
      <c r="J261" s="617"/>
      <c r="K261" s="1692">
        <f>SUM(K259:K260)</f>
        <v>19904</v>
      </c>
      <c r="L261" s="1692">
        <f>SUM(L259:L260)</f>
        <v>19904</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7225</v>
      </c>
      <c r="E264" s="617"/>
      <c r="F264" s="617"/>
      <c r="G264" s="617"/>
      <c r="H264" s="617"/>
      <c r="I264" s="617"/>
      <c r="J264" s="617"/>
      <c r="K264" s="1694">
        <f t="shared" ref="K264:K269" si="22">D264</f>
        <v>7225</v>
      </c>
      <c r="L264" s="466">
        <v>7225</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77285</v>
      </c>
      <c r="E266" s="617"/>
      <c r="F266" s="617"/>
      <c r="G266" s="617"/>
      <c r="H266" s="617"/>
      <c r="I266" s="617"/>
      <c r="J266" s="617"/>
      <c r="K266" s="1694">
        <f t="shared" si="22"/>
        <v>77285</v>
      </c>
      <c r="L266" s="466">
        <v>77285</v>
      </c>
    </row>
    <row r="267" spans="1:14" x14ac:dyDescent="0.2">
      <c r="A267" s="1526" t="s">
        <v>1010</v>
      </c>
      <c r="B267" s="615">
        <v>2550</v>
      </c>
      <c r="C267" s="617"/>
      <c r="D267" s="466">
        <v>58419</v>
      </c>
      <c r="E267" s="617"/>
      <c r="F267" s="617"/>
      <c r="G267" s="617"/>
      <c r="H267" s="617"/>
      <c r="I267" s="617"/>
      <c r="J267" s="617"/>
      <c r="K267" s="1694">
        <f t="shared" si="22"/>
        <v>58419</v>
      </c>
      <c r="L267" s="466">
        <v>58309</v>
      </c>
    </row>
    <row r="268" spans="1:14" x14ac:dyDescent="0.2">
      <c r="A268" s="1526" t="s">
        <v>102</v>
      </c>
      <c r="B268" s="615">
        <v>2560</v>
      </c>
      <c r="C268" s="617"/>
      <c r="D268" s="466">
        <v>47313</v>
      </c>
      <c r="E268" s="617"/>
      <c r="F268" s="617"/>
      <c r="G268" s="617"/>
      <c r="H268" s="617"/>
      <c r="I268" s="617"/>
      <c r="J268" s="617"/>
      <c r="K268" s="1694">
        <f t="shared" si="22"/>
        <v>47313</v>
      </c>
      <c r="L268" s="466">
        <v>47313</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190242</v>
      </c>
      <c r="E270" s="617"/>
      <c r="F270" s="617"/>
      <c r="G270" s="617"/>
      <c r="H270" s="617"/>
      <c r="I270" s="617"/>
      <c r="J270" s="617"/>
      <c r="K270" s="1692">
        <f>SUM(K263:K269)</f>
        <v>190242</v>
      </c>
      <c r="L270" s="1692">
        <f>SUM(L263:L269)</f>
        <v>190132</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249754</v>
      </c>
      <c r="E279" s="617"/>
      <c r="F279" s="617"/>
      <c r="G279" s="617"/>
      <c r="H279" s="617"/>
      <c r="I279" s="617"/>
      <c r="J279" s="617"/>
      <c r="K279" s="1699">
        <f>SUM(K238,K243,K257,K261,K270,K277,K278)</f>
        <v>249754</v>
      </c>
      <c r="L279" s="1699">
        <f>SUM(L238,L243,L257,L261,L270,L277,L278)</f>
        <v>249645</v>
      </c>
    </row>
    <row r="280" spans="1:12" ht="15.75" customHeight="1" thickTop="1" thickBot="1" x14ac:dyDescent="0.25">
      <c r="A280" s="1646" t="s">
        <v>930</v>
      </c>
      <c r="B280" s="1635">
        <v>3000</v>
      </c>
      <c r="C280" s="617"/>
      <c r="D280" s="576">
        <v>15</v>
      </c>
      <c r="E280" s="617"/>
      <c r="F280" s="617"/>
      <c r="G280" s="617"/>
      <c r="H280" s="617"/>
      <c r="I280" s="617"/>
      <c r="J280" s="617"/>
      <c r="K280" s="1701">
        <f>D280</f>
        <v>15</v>
      </c>
      <c r="L280" s="576">
        <v>15</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1955</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203" t="s">
        <v>526</v>
      </c>
      <c r="B295" s="2204"/>
      <c r="C295" s="617"/>
      <c r="D295" s="1692">
        <f>SUM(D229,D279,D280,D285)</f>
        <v>370570</v>
      </c>
      <c r="E295" s="617"/>
      <c r="F295" s="617"/>
      <c r="G295" s="617"/>
      <c r="H295" s="1692">
        <f>H293</f>
        <v>0</v>
      </c>
      <c r="I295" s="617"/>
      <c r="J295" s="617"/>
      <c r="K295" s="1692">
        <f>SUM(K229,K279,K280,K285,K293,K294)</f>
        <v>370570</v>
      </c>
      <c r="L295" s="1692">
        <f>SUM(L229,L279,L280,L285,L293,L294)</f>
        <v>362533</v>
      </c>
    </row>
    <row r="296" spans="1:14" ht="13.5" thickTop="1" x14ac:dyDescent="0.2">
      <c r="A296" s="2212" t="s">
        <v>1053</v>
      </c>
      <c r="B296" s="2213"/>
      <c r="C296" s="617"/>
      <c r="D296" s="619"/>
      <c r="E296" s="617"/>
      <c r="F296" s="617"/>
      <c r="G296" s="617"/>
      <c r="H296" s="688"/>
      <c r="I296" s="617"/>
      <c r="J296" s="617"/>
      <c r="K296" s="1706">
        <f>'Revenues 9-14'!G275-'Expenditures 15-22'!K295</f>
        <v>7181</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5" t="s">
        <v>145</v>
      </c>
      <c r="B298" s="2189"/>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1960</v>
      </c>
      <c r="B306" s="691" t="s">
        <v>1955</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200" t="s">
        <v>295</v>
      </c>
      <c r="B312" s="2201"/>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96" t="s">
        <v>1053</v>
      </c>
      <c r="B313" s="2197"/>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9" t="s">
        <v>151</v>
      </c>
      <c r="B315" s="2210"/>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1" t="s">
        <v>954</v>
      </c>
      <c r="B317" s="2210"/>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1906</v>
      </c>
      <c r="B320" s="699" t="s">
        <v>300</v>
      </c>
      <c r="C320" s="467"/>
      <c r="D320" s="467"/>
      <c r="E320" s="467">
        <v>47232</v>
      </c>
      <c r="F320" s="467"/>
      <c r="G320" s="467"/>
      <c r="H320" s="467"/>
      <c r="I320" s="467"/>
      <c r="J320" s="467"/>
      <c r="K320" s="1693">
        <f t="shared" ref="K320:K327" si="24">SUM(C320:J320)</f>
        <v>47232</v>
      </c>
      <c r="L320" s="467">
        <v>47232</v>
      </c>
      <c r="M320" s="666"/>
      <c r="N320" s="666"/>
    </row>
    <row r="321" spans="1:14" s="675" customFormat="1" x14ac:dyDescent="0.2">
      <c r="A321" s="1541" t="s">
        <v>318</v>
      </c>
      <c r="B321" s="698" t="s">
        <v>301</v>
      </c>
      <c r="C321" s="467"/>
      <c r="D321" s="467"/>
      <c r="E321" s="467">
        <v>26552</v>
      </c>
      <c r="F321" s="467"/>
      <c r="G321" s="467"/>
      <c r="H321" s="467"/>
      <c r="I321" s="467"/>
      <c r="J321" s="467"/>
      <c r="K321" s="1693">
        <f t="shared" si="24"/>
        <v>26552</v>
      </c>
      <c r="L321" s="467">
        <v>26552</v>
      </c>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73784</v>
      </c>
      <c r="F330" s="1692">
        <f t="shared" si="25"/>
        <v>0</v>
      </c>
      <c r="G330" s="1692">
        <f t="shared" si="25"/>
        <v>0</v>
      </c>
      <c r="H330" s="1692">
        <f t="shared" si="25"/>
        <v>0</v>
      </c>
      <c r="I330" s="1692">
        <f t="shared" si="25"/>
        <v>0</v>
      </c>
      <c r="J330" s="1692">
        <f t="shared" si="25"/>
        <v>0</v>
      </c>
      <c r="K330" s="1692">
        <f>SUM(K319:K329)</f>
        <v>73784</v>
      </c>
      <c r="L330" s="1692">
        <f>SUM(L319:L329)</f>
        <v>73784</v>
      </c>
      <c r="M330" s="666"/>
      <c r="N330" s="666"/>
    </row>
    <row r="331" spans="1:14" s="675" customFormat="1" ht="12.75" customHeight="1" thickTop="1" x14ac:dyDescent="0.2">
      <c r="A331" s="1854" t="s">
        <v>1961</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1955</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1957</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1962</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73784</v>
      </c>
      <c r="F342" s="1692">
        <f>SUM(F330)</f>
        <v>0</v>
      </c>
      <c r="G342" s="1692">
        <f>SUM(G330)</f>
        <v>0</v>
      </c>
      <c r="H342" s="1692">
        <f>SUM(H330,H334,H340)</f>
        <v>0</v>
      </c>
      <c r="I342" s="1692">
        <f>SUM(I330)</f>
        <v>0</v>
      </c>
      <c r="J342" s="1692">
        <f>SUM(J330)</f>
        <v>0</v>
      </c>
      <c r="K342" s="1692">
        <f>SUM(K330,K334,K340)</f>
        <v>73784</v>
      </c>
      <c r="L342" s="1699">
        <f>SUM(L330,L340,L341)</f>
        <v>73784</v>
      </c>
    </row>
    <row r="343" spans="1:14" ht="12.75" customHeight="1" thickTop="1" x14ac:dyDescent="0.2">
      <c r="A343" s="2198" t="s">
        <v>1053</v>
      </c>
      <c r="B343" s="2199"/>
      <c r="C343" s="617"/>
      <c r="D343" s="617"/>
      <c r="E343" s="617"/>
      <c r="F343" s="617"/>
      <c r="G343" s="617"/>
      <c r="H343" s="617"/>
      <c r="I343" s="617"/>
      <c r="J343" s="617"/>
      <c r="K343" s="1706">
        <f>'Revenues 9-14'!J275-'Expenditures 15-22'!K342</f>
        <v>-13408</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8" t="s">
        <v>1023</v>
      </c>
      <c r="B345" s="2189"/>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1963</v>
      </c>
      <c r="B354" s="684" t="s">
        <v>1955</v>
      </c>
      <c r="C354" s="617"/>
      <c r="D354" s="617"/>
      <c r="E354" s="617"/>
      <c r="F354" s="617"/>
      <c r="G354" s="617"/>
      <c r="H354" s="474"/>
      <c r="I354" s="702"/>
      <c r="J354" s="617"/>
      <c r="K354" s="1721">
        <f>H354</f>
        <v>0</v>
      </c>
      <c r="L354" s="471"/>
    </row>
    <row r="355" spans="1:14" ht="12.75" customHeight="1" x14ac:dyDescent="0.2">
      <c r="A355" s="1535" t="s">
        <v>1964</v>
      </c>
      <c r="B355" s="691" t="s">
        <v>1957</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212" t="s">
        <v>1053</v>
      </c>
      <c r="B368" s="2213"/>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0" firstPageNumber="15" fitToWidth="0" fitToHeight="0" orientation="landscape" useFirstPageNumber="1" r:id="rId1"/>
  <headerFooter alignWithMargins="0">
    <oddHeader>&amp;C&amp;"Arial,Bold"&amp;9STATEMENT OF EXPENDITURES DISBURSED/EXPENDITURES, BUDGET TO ACTUAL
FOR THE YEAR ENDING JUNE 30, 2018&amp;R&amp;8]</oddHeader>
    <oddFooter>&amp;CThe notes to the financial statements are an integral part of this statement.
23</oddFooter>
  </headerFooter>
  <rowBreaks count="1" manualBreakCount="1">
    <brk id="187" max="11"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18</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'Expenditures 15-22'!Print_Area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2018-09-07T14:27:54Z</cp:lastPrinted>
  <dcterms:created xsi:type="dcterms:W3CDTF">2003-10-29T19:06:34Z</dcterms:created>
  <dcterms:modified xsi:type="dcterms:W3CDTF">2018-12-03T19:25:17Z</dcterms:modified>
</cp:coreProperties>
</file>