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24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SEFA'!$B$11:$M$83</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28">'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57" i="179" l="1"/>
  <c r="I58" i="179" s="1"/>
  <c r="G57" i="179"/>
  <c r="G58" i="179" s="1"/>
  <c r="F57" i="179"/>
  <c r="F58" i="179" s="1"/>
  <c r="E57" i="179"/>
  <c r="M48" i="179"/>
  <c r="L48" i="179"/>
  <c r="I48" i="179"/>
  <c r="G48" i="179"/>
  <c r="F48" i="179"/>
  <c r="E48" i="179"/>
  <c r="E58" i="179" s="1"/>
  <c r="L42" i="179"/>
  <c r="I42" i="179"/>
  <c r="G42" i="179"/>
  <c r="F42" i="179"/>
  <c r="E42" i="179"/>
  <c r="L36" i="179"/>
  <c r="I36" i="179"/>
  <c r="F36" i="179"/>
  <c r="M33" i="179"/>
  <c r="M60" i="179" s="1"/>
  <c r="L33" i="179"/>
  <c r="K33" i="179"/>
  <c r="K60" i="179" s="1"/>
  <c r="I33" i="179"/>
  <c r="G33" i="179" l="1"/>
  <c r="F33" i="179"/>
  <c r="F60" i="179" s="1"/>
  <c r="E33" i="179"/>
  <c r="E60" i="179" s="1"/>
  <c r="I22" i="179"/>
  <c r="I60" i="179" s="1"/>
  <c r="G22" i="179"/>
  <c r="G60" i="179" s="1"/>
  <c r="F22" i="179"/>
  <c r="E22" i="179"/>
  <c r="E45" i="29" l="1"/>
  <c r="C8" i="29"/>
  <c r="E5" i="29"/>
  <c r="F73" i="29"/>
  <c r="E73" i="29"/>
  <c r="H86" i="29"/>
  <c r="F75" i="29"/>
  <c r="D75" i="29"/>
  <c r="C75" i="29"/>
  <c r="G45" i="29"/>
  <c r="F45" i="29"/>
  <c r="D45" i="29"/>
  <c r="C45" i="29"/>
  <c r="D44" i="29"/>
  <c r="C44" i="29"/>
  <c r="C38" i="29"/>
  <c r="F37" i="29"/>
  <c r="D37" i="29"/>
  <c r="C37" i="29"/>
  <c r="C36" i="29"/>
  <c r="H14" i="29"/>
  <c r="G14" i="29"/>
  <c r="C14" i="29"/>
  <c r="F14" i="29"/>
  <c r="E14" i="29"/>
  <c r="D14" i="29"/>
  <c r="F10" i="29"/>
  <c r="E10" i="29"/>
  <c r="D10" i="29"/>
  <c r="C10" i="29"/>
  <c r="F8" i="29"/>
  <c r="E8" i="29"/>
  <c r="D8" i="29"/>
  <c r="F5" i="29"/>
  <c r="D5" i="29"/>
  <c r="C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E39" i="181"/>
  <c r="F39" i="181" s="1"/>
  <c r="G39" i="181" s="1"/>
  <c r="E38" i="181"/>
  <c r="F38" i="181" s="1"/>
  <c r="G38" i="181" s="1"/>
  <c r="F37" i="181"/>
  <c r="G37" i="181" s="1"/>
  <c r="E37" i="181"/>
  <c r="F36" i="181"/>
  <c r="G36" i="181" s="1"/>
  <c r="E36" i="181"/>
  <c r="F35" i="181"/>
  <c r="G35" i="181" s="1"/>
  <c r="E35" i="181"/>
  <c r="F34" i="181"/>
  <c r="G34" i="181" s="1"/>
  <c r="E34" i="181"/>
  <c r="E33" i="181"/>
  <c r="F33" i="181" s="1"/>
  <c r="G33" i="181" s="1"/>
  <c r="E32" i="181"/>
  <c r="F32" i="181" s="1"/>
  <c r="G32" i="181" s="1"/>
  <c r="E31" i="181"/>
  <c r="F31" i="181" s="1"/>
  <c r="G31" i="181" s="1"/>
  <c r="E30" i="181"/>
  <c r="F30" i="181" s="1"/>
  <c r="G30" i="181" s="1"/>
  <c r="E29" i="181"/>
  <c r="F29" i="181" s="1"/>
  <c r="G29" i="181" s="1"/>
  <c r="F28" i="181"/>
  <c r="G28" i="181" s="1"/>
  <c r="E28" i="181"/>
  <c r="E27" i="181"/>
  <c r="F27" i="181" s="1"/>
  <c r="G27" i="181" s="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63" i="179" l="1"/>
  <c r="L62" i="179"/>
  <c r="L57" i="179"/>
  <c r="L58" i="179" s="1"/>
  <c r="L56" i="179"/>
  <c r="L21" i="179"/>
  <c r="L20" i="179"/>
  <c r="L19" i="179"/>
  <c r="L18" i="179"/>
  <c r="L16" i="179"/>
  <c r="L15" i="179"/>
  <c r="L14" i="179"/>
  <c r="L13" i="179"/>
  <c r="L12" i="179"/>
  <c r="L11" i="179"/>
  <c r="L22" i="179" l="1"/>
  <c r="L60"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B2" i="174" l="1"/>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31" i="108"/>
  <c r="F36" i="108"/>
  <c r="F37" i="108"/>
  <c r="G28" i="108"/>
  <c r="G30" i="108"/>
  <c r="D31" i="108"/>
  <c r="D36" i="108"/>
  <c r="D37" i="108"/>
  <c r="E31" i="108"/>
  <c r="G31" i="108"/>
  <c r="E33" i="108"/>
  <c r="G33" i="108"/>
  <c r="E34" i="108"/>
  <c r="G34" i="108"/>
  <c r="E35" i="108"/>
  <c r="G35" i="108"/>
  <c r="E36" i="108"/>
  <c r="G36" i="108"/>
  <c r="E37" i="108"/>
  <c r="G37"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11" i="37"/>
  <c r="D22" i="37"/>
  <c r="H22" i="37"/>
  <c r="J22" i="37"/>
  <c r="L22" i="37"/>
  <c r="D24" i="37"/>
  <c r="B4270" i="106" s="1"/>
  <c r="D4270" i="106" s="1"/>
  <c r="L5" i="11"/>
  <c r="B2056" i="106" s="1"/>
  <c r="D2056" i="106" s="1"/>
  <c r="D13" i="7"/>
  <c r="B3726" i="106" s="1"/>
  <c r="D3726" i="106" s="1"/>
  <c r="B5770" i="106"/>
  <c r="D5770" i="106" s="1"/>
  <c r="F130" i="34"/>
  <c r="F127" i="34"/>
  <c r="B5847" i="106"/>
  <c r="D5847" i="106" s="1"/>
  <c r="B5752" i="106"/>
  <c r="D5752" i="106" s="1"/>
  <c r="B5599" i="106"/>
  <c r="D5599" i="106" s="1"/>
  <c r="H173" i="5"/>
  <c r="B5906" i="106" s="1"/>
  <c r="D5906" i="106" s="1"/>
  <c r="F106" i="34"/>
  <c r="D17" i="7"/>
  <c r="B4104" i="106" s="1"/>
  <c r="D4104" i="106" s="1"/>
  <c r="K173" i="5" l="1"/>
  <c r="K6" i="4" s="1"/>
  <c r="B3570" i="106" s="1"/>
  <c r="D3570" i="106" s="1"/>
  <c r="E109" i="5"/>
  <c r="E4" i="4" s="1"/>
  <c r="B2630" i="106" s="1"/>
  <c r="D2630" i="106" s="1"/>
  <c r="D15" i="7"/>
  <c r="B1772" i="106" s="1"/>
  <c r="D1772" i="106" s="1"/>
  <c r="H6" i="4"/>
  <c r="B2656" i="106" s="1"/>
  <c r="D2656" i="106" s="1"/>
  <c r="D109" i="5"/>
  <c r="B5356" i="106" s="1"/>
  <c r="D5356" i="106" s="1"/>
  <c r="K274" i="5"/>
  <c r="F111" i="34"/>
  <c r="F128" i="34"/>
  <c r="F131" i="34"/>
  <c r="D9" i="7"/>
  <c r="B1767" i="106" s="1"/>
  <c r="D1767" i="106" s="1"/>
  <c r="D5" i="7"/>
  <c r="B1761" i="106" s="1"/>
  <c r="D1761" i="106" s="1"/>
  <c r="I173" i="5"/>
  <c r="B4216" i="106" s="1"/>
  <c r="D4216" i="106" s="1"/>
  <c r="F172" i="5"/>
  <c r="B5644" i="106" s="1"/>
  <c r="D5644" i="106" s="1"/>
  <c r="B5513" i="106"/>
  <c r="D5513" i="106" s="1"/>
  <c r="L367" i="29"/>
  <c r="B7235" i="106"/>
  <c r="D7235" i="106" s="1"/>
  <c r="B3621" i="106"/>
  <c r="D3621" i="106" s="1"/>
  <c r="C367" i="29"/>
  <c r="G15" i="145"/>
  <c r="F136" i="34"/>
  <c r="K24" i="12"/>
  <c r="B7733" i="106" s="1"/>
  <c r="D7733" i="106" s="1"/>
  <c r="D6103" i="106"/>
  <c r="K76" i="4"/>
  <c r="B3586" i="106" s="1"/>
  <c r="D3586" i="106" s="1"/>
  <c r="K285" i="29"/>
  <c r="E174" i="29"/>
  <c r="B1309" i="106" s="1"/>
  <c r="D1309" i="106" s="1"/>
  <c r="D52" i="36"/>
  <c r="D31" i="36"/>
  <c r="H29" i="118"/>
  <c r="K26" i="12"/>
  <c r="B7743" i="106" s="1"/>
  <c r="D7743" i="106" s="1"/>
  <c r="F19" i="7"/>
  <c r="B1807" i="106" s="1"/>
  <c r="D1807" i="106" s="1"/>
  <c r="L342" i="29"/>
  <c r="E38" i="108"/>
  <c r="E30" i="108"/>
  <c r="E28" i="108"/>
  <c r="D26" i="108"/>
  <c r="B1126" i="106"/>
  <c r="D1126" i="106" s="1"/>
  <c r="F26" i="108"/>
  <c r="F34" i="34"/>
  <c r="F28" i="108"/>
  <c r="B1329" i="106"/>
  <c r="D1329" i="106" s="1"/>
  <c r="F61" i="34"/>
  <c r="G29" i="108"/>
  <c r="G210" i="29"/>
  <c r="E29" i="108"/>
  <c r="K184" i="29"/>
  <c r="F13" i="4" s="1"/>
  <c r="B2596" i="106" s="1"/>
  <c r="D2596" i="106" s="1"/>
  <c r="F72" i="34"/>
  <c r="B1410" i="106"/>
  <c r="D1410" i="106" s="1"/>
  <c r="B3649" i="106"/>
  <c r="D3649" i="106" s="1"/>
  <c r="G367" i="29"/>
  <c r="K352" i="29"/>
  <c r="K13" i="4" s="1"/>
  <c r="B3572" i="106" s="1"/>
  <c r="D3572" i="106" s="1"/>
  <c r="D12" i="7"/>
  <c r="B1769" i="106" s="1"/>
  <c r="D1769" i="106" s="1"/>
  <c r="D11" i="7"/>
  <c r="B1768" i="106" s="1"/>
  <c r="D1768" i="106" s="1"/>
  <c r="H109" i="5"/>
  <c r="G109" i="5"/>
  <c r="D7" i="7"/>
  <c r="B1763" i="106" s="1"/>
  <c r="D1763" i="106" s="1"/>
  <c r="B1746" i="106"/>
  <c r="D1746" i="106" s="1"/>
  <c r="D4" i="4"/>
  <c r="B2564" i="106" s="1"/>
  <c r="D2564" i="106" s="1"/>
  <c r="C172" i="5"/>
  <c r="B5214" i="106" s="1"/>
  <c r="D5214" i="106" s="1"/>
  <c r="F94" i="34"/>
  <c r="C109" i="5"/>
  <c r="B5121" i="106" s="1"/>
  <c r="D5121" i="106" s="1"/>
  <c r="D4" i="7"/>
  <c r="B1760" i="106" s="1"/>
  <c r="D1760" i="106" s="1"/>
  <c r="L13" i="11"/>
  <c r="B2060" i="106" s="1"/>
  <c r="D2060" i="106" s="1"/>
  <c r="L15" i="11"/>
  <c r="B3459" i="106" s="1"/>
  <c r="D3459" i="106" s="1"/>
  <c r="K28" i="118"/>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B7270" i="106"/>
  <c r="H275" i="5" l="1"/>
  <c r="F275" i="5"/>
  <c r="F73" i="34"/>
  <c r="G15" i="4"/>
  <c r="B6032" i="106" s="1"/>
  <c r="D6032" i="106" s="1"/>
  <c r="H367" i="29"/>
  <c r="B3660" i="106" s="1"/>
  <c r="D3660" i="106" s="1"/>
  <c r="K342" i="29"/>
  <c r="F13" i="34" s="1"/>
  <c r="L114" i="29"/>
  <c r="F41" i="108"/>
  <c r="G43" i="108" s="1"/>
  <c r="C114" i="29"/>
  <c r="B757" i="106" s="1"/>
  <c r="D757" i="106" s="1"/>
  <c r="B1317" i="106"/>
  <c r="D1317" i="106" s="1"/>
  <c r="B1381" i="106"/>
  <c r="D1381" i="106" s="1"/>
  <c r="B1365" i="106"/>
  <c r="D1365" i="106" s="1"/>
  <c r="F65" i="34"/>
  <c r="B6025" i="106"/>
  <c r="D6025" i="106" s="1"/>
  <c r="H4" i="4"/>
  <c r="D19" i="7"/>
  <c r="B1775" i="106" s="1"/>
  <c r="D1775" i="106" s="1"/>
  <c r="B6024" i="106"/>
  <c r="D6024" i="106" s="1"/>
  <c r="G4" i="4"/>
  <c r="B2603" i="106" s="1"/>
  <c r="D2603" i="106" s="1"/>
  <c r="C173" i="5"/>
  <c r="B5223" i="106" s="1"/>
  <c r="D5223"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E41" i="108" l="1"/>
  <c r="E44" i="108" s="1"/>
  <c r="E45" i="108" s="1"/>
  <c r="G41" i="108"/>
  <c r="G44" i="108" s="1"/>
  <c r="G45" i="108" s="1"/>
  <c r="B2655" i="106"/>
  <c r="D2655" i="106" s="1"/>
  <c r="H8" i="4"/>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<sst xmlns="http://schemas.openxmlformats.org/spreadsheetml/2006/main" count="5260" uniqueCount="2263">
  <si>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</si>
  <si>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</si>
  <si>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</si>
  <si>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</si>
  <si>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</si>
  <si>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</si>
  <si>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</si>
  <si>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</si>
  <si>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</si>
  <si>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</si>
  <si>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</si>
  <si>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</si>
  <si>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</si>
  <si>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</si>
  <si>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</si>
  <si>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</si>
  <si>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</si>
  <si>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</si>
  <si>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</si>
  <si>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</si>
  <si>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</si>
  <si>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</si>
  <si>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</si>
  <si>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</si>
  <si>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</si>
  <si>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</si>
  <si>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</si>
  <si>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</si>
  <si>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</si>
  <si>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</si>
  <si>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</si>
  <si>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</si>
  <si>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</si>
  <si>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</si>
  <si>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</si>
  <si>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</si>
  <si>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</si>
  <si>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</si>
  <si>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</si>
  <si>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</si>
  <si>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</si>
  <si>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</si>
  <si>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</si>
  <si>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</si>
  <si>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</si>
  <si>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</si>
  <si>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</si>
  <si>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</si>
  <si>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</si>
  <si>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</si>
  <si>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</si>
  <si>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</si>
  <si>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</si>
  <si>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</si>
  <si>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</si>
  <si>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</si>
  <si>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</si>
  <si>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</si>
  <si>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</si>
  <si>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</si>
  <si>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</si>
  <si>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</si>
  <si>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</si>
  <si>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</si>
  <si>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</si>
  <si>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</si>
  <si>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</si>
  <si>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</si>
  <si>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</si>
  <si>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</si>
  <si>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</si>
  <si>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</si>
  <si>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</si>
  <si>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</si>
  <si>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</si>
  <si>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</si>
  <si>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</si>
  <si>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</si>
  <si>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</si>
  <si>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</si>
  <si>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</si>
  <si>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</si>
  <si>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</si>
  <si>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</si>
  <si>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</si>
  <si>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</si>
  <si>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</si>
  <si>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</si>
  <si>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</si>
  <si>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</si>
  <si>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</si>
  <si>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</si>
  <si>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</si>
  <si>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</si>
  <si>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</si>
  <si>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</si>
  <si>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</si>
  <si>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</si>
  <si>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</si>
  <si>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</si>
  <si>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</si>
  <si>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</si>
  <si>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</si>
  <si>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</si>
  <si>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</si>
  <si>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</si>
  <si>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</si>
  <si>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</si>
  <si>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</si>
  <si>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</si>
  <si>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</si>
  <si>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</si>
  <si>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</si>
  <si>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</si>
  <si>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</si>
  <si>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</si>
  <si>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</si>
  <si>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</si>
  <si>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</si>
  <si>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</si>
  <si>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</si>
  <si>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</si>
  <si>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</si>
  <si>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</si>
  <si>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</si>
  <si>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</si>
  <si>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</si>
  <si>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</si>
  <si>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</si>
  <si>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</si>
  <si>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</si>
  <si>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</si>
  <si>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</si>
  <si>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</si>
  <si>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</si>
  <si>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</si>
  <si>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</si>
  <si>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</si>
  <si>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</si>
  <si>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</si>
  <si>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</si>
  <si>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</si>
  <si>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</si>
  <si>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</si>
  <si>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</si>
  <si>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</si>
  <si>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</si>
  <si>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</si>
  <si>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</si>
  <si>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</si>
  <si>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</si>
  <si>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</si>
  <si>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</si>
  <si>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</si>
  <si>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</si>
  <si>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</si>
  <si>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</si>
  <si>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</si>
  <si>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</si>
  <si>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</si>
  <si>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</si>
  <si>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</si>
  <si>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</si>
  <si>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</si>
  <si>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</si>
  <si>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</si>
  <si>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</si>
  <si>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</si>
  <si>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</si>
  <si>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</si>
  <si>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</si>
  <si>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</si>
  <si>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</si>
  <si>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</si>
  <si>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</si>
  <si>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</si>
  <si>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</si>
  <si>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</si>
  <si>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</si>
  <si>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</si>
  <si>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</si>
  <si>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</si>
  <si>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</si>
  <si>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</si>
  <si>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</si>
  <si>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</si>
  <si>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</si>
  <si>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</si>
  <si>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</si>
  <si>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</si>
  <si>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</si>
  <si>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</si>
  <si>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</si>
  <si>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</si>
  <si>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</si>
  <si>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</si>
  <si>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</si>
  <si>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</si>
  <si>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</si>
  <si>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</si>
  <si>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</si>
  <si>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</si>
  <si>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</si>
  <si>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</si>
  <si>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</si>
  <si>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</si>
  <si>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</si>
  <si>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</si>
  <si>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</si>
  <si>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</si>
  <si>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</si>
  <si>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</si>
  <si>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</si>
  <si>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</si>
  <si>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</si>
  <si>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</si>
  <si>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</si>
  <si>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</si>
  <si>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</si>
  <si>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</si>
  <si>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</si>
  <si>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</si>
  <si>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</si>
  <si>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</si>
  <si>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</si>
  <si>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</si>
  <si>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</si>
  <si>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</si>
  <si>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</si>
  <si>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</si>
  <si>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</si>
  <si>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</si>
  <si>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</si>
  <si>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</si>
  <si>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</si>
  <si>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</si>
  <si>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</si>
  <si>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</si>
  <si>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</si>
  <si>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</si>
  <si>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</si>
  <si>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</si>
  <si>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</si>
  <si>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</si>
  <si>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</si>
  <si>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</si>
  <si>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</si>
  <si>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</si>
  <si>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</si>
  <si>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</si>
  <si>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</si>
  <si>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</si>
  <si>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</si>
  <si>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</si>
  <si>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</si>
  <si>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</si>
  <si>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</si>
  <si>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</si>
  <si>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</si>
  <si>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</si>
  <si>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</si>
  <si>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</si>
  <si>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</si>
  <si>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</si>
  <si>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</si>
  <si>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</si>
  <si>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</si>
  <si>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</si>
  <si>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</si>
  <si>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</si>
  <si>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</si>
  <si>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</si>
  <si>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</si>
  <si>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</si>
  <si>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</si>
  <si>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</si>
  <si>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</si>
  <si>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</si>
  <si>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</si>
  <si>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</si>
  <si>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</si>
  <si>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</si>
  <si>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</si>
  <si>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</si>
  <si>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</si>
  <si>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</si>
  <si>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</si>
  <si>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</si>
  <si>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</si>
  <si>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</si>
  <si>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</si>
  <si>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</si>
  <si>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</si>
  <si>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</si>
  <si>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</si>
  <si>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</si>
  <si>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</si>
  <si>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</si>
  <si>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</si>
  <si>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</si>
  <si>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</si>
  <si>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</si>
  <si>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</si>
  <si>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</si>
  <si>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</si>
  <si>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</si>
  <si>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</si>
  <si>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</si>
  <si>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</si>
  <si>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</si>
  <si>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</si>
  <si>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</si>
  <si>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</si>
  <si>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</si>
  <si>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</si>
  <si>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</si>
  <si>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</si>
  <si>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</si>
  <si>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</si>
  <si>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</si>
  <si>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</si>
  <si>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</si>
  <si>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</si>
  <si>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</si>
  <si>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</si>
  <si>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</si>
  <si>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</si>
  <si>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</si>
  <si>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</si>
  <si>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</si>
  <si>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</si>
  <si>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</si>
  <si>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</si>
  <si>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</si>
  <si>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</si>
  <si>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</si>
  <si>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</si>
  <si>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</si>
  <si>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</si>
  <si>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</si>
  <si>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</si>
  <si>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</si>
  <si>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</si>
  <si>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</si>
  <si>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</si>
  <si>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</si>
  <si>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</si>
  <si>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</si>
  <si>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</si>
  <si>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</si>
  <si>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</si>
  <si>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</si>
  <si>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</si>
  <si>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</si>
  <si>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</si>
  <si>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</si>
  <si>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</si>
  <si>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</si>
  <si>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</si>
  <si>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</si>
  <si>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</si>
  <si>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</si>
  <si>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</si>
  <si>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</si>
  <si>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</si>
  <si>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</si>
  <si>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</si>
  <si>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</si>
  <si>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</si>
  <si>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</si>
  <si>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</si>
  <si>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</si>
  <si>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</si>
  <si>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</si>
  <si>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</si>
  <si>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</si>
  <si>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</si>
  <si>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</si>
  <si>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</si>
  <si>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</si>
  <si>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</si>
  <si>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</si>
  <si>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</si>
  <si>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</si>
  <si>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</si>
  <si>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</si>
  <si>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</si>
  <si>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</si>
  <si>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</si>
  <si>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</si>
  <si>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</si>
  <si>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</si>
  <si>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</si>
  <si>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</si>
  <si>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</si>
  <si>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</si>
  <si>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</si>
  <si>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</si>
  <si>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</si>
  <si>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</si>
  <si>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</si>
  <si>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</si>
  <si>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</si>
  <si>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</si>
  <si>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</si>
  <si>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</si>
  <si>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</si>
  <si>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</si>
  <si>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</si>
  <si>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</si>
  <si>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</si>
  <si>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</si>
  <si>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</si>
  <si>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</si>
  <si>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</si>
  <si>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</si>
  <si>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</si>
  <si>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</si>
  <si>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</si>
  <si>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</si>
  <si>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</si>
  <si>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</si>
  <si>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</si>
  <si>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</si>
  <si>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</si>
  <si>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</si>
  <si>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</si>
  <si>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</si>
  <si>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</si>
  <si>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</si>
  <si>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</si>
  <si>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</si>
  <si>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</si>
  <si>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</si>
  <si>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</si>
  <si>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</si>
  <si>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</si>
  <si>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</si>
  <si>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</si>
  <si>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</si>
  <si>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</si>
  <si>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</si>
  <si>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</si>
  <si>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</si>
  <si>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</si>
  <si>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</si>
  <si>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</si>
  <si>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</si>
  <si>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</si>
  <si>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</si>
  <si>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</si>
  <si>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</si>
  <si>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</si>
  <si>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</si>
  <si>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</si>
  <si>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</si>
  <si>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</si>
  <si>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</si>
  <si>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</si>
  <si>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</si>
  <si>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</si>
  <si>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</si>
  <si>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</si>
  <si>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</si>
  <si>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</si>
  <si>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</si>
  <si>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</si>
  <si>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</si>
  <si>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</si>
  <si>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</si>
  <si>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</si>
  <si>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</si>
  <si>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</si>
  <si>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</si>
  <si>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</si>
  <si>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</si>
  <si>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</si>
  <si>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</si>
  <si>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</si>
  <si>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</si>
  <si>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</si>
  <si>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</si>
  <si>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</si>
  <si>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</si>
  <si>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</si>
  <si>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</si>
  <si>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</si>
  <si>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</si>
  <si>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</si>
  <si>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</si>
  <si>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</si>
  <si>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</si>
  <si>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</si>
  <si>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</si>
  <si>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</si>
  <si>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</si>
  <si>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</si>
  <si>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</si>
  <si>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</si>
  <si>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</si>
  <si>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</si>
  <si>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</si>
  <si>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</si>
  <si>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</si>
  <si>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</si>
  <si>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</si>
  <si>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</si>
  <si>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</si>
  <si>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</si>
  <si>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</si>
  <si>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</si>
  <si>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</si>
  <si>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</si>
  <si>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</si>
  <si>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</si>
  <si>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</si>
  <si>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</si>
  <si>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</si>
  <si>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</si>
  <si>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</si>
  <si>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</si>
  <si>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</si>
  <si>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</si>
  <si>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</si>
  <si>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</si>
  <si>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</si>
  <si>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</si>
  <si>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</si>
  <si>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</si>
  <si>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</si>
  <si>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</si>
  <si>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</si>
  <si>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</si>
  <si>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</si>
  <si>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</si>
  <si>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</si>
  <si>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</si>
  <si>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</si>
  <si>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</si>
  <si>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</si>
  <si>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</si>
  <si>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</si>
  <si>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</si>
  <si>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</si>
  <si>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</si>
  <si>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</si>
  <si>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</si>
  <si>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</si>
  <si>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</si>
  <si>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</si>
  <si>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</si>
  <si>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</si>
  <si>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</si>
  <si>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</si>
  <si>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</si>
  <si>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</si>
  <si>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</si>
  <si>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</si>
  <si>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</si>
  <si>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</si>
  <si>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</si>
  <si>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</si>
  <si>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</si>
  <si>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</si>
  <si>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</si>
  <si>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</si>
  <si>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</si>
  <si>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</si>
  <si>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</si>
  <si>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</si>
  <si>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</si>
  <si>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</si>
  <si>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</si>
  <si>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</si>
  <si>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</si>
  <si>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</si>
  <si>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</si>
  <si>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</si>
  <si>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</si>
  <si>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</si>
  <si>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</si>
  <si>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</si>
  <si>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</si>
  <si>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</si>
  <si>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</si>
  <si>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</si>
  <si>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</si>
  <si>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</si>
  <si>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</si>
  <si>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</si>
  <si>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</si>
  <si>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</si>
  <si>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</si>
  <si>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</si>
  <si>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</si>
  <si>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</si>
  <si>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</si>
  <si>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</si>
  <si>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</si>
  <si>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</si>
  <si>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</si>
  <si>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</si>
  <si>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</si>
  <si>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</si>
  <si>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</si>
  <si>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</si>
  <si>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</si>
  <si>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</si>
  <si>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</si>
  <si>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</si>
  <si>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</si>
  <si>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</si>
  <si>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</si>
  <si>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</si>
  <si>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</si>
  <si>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</si>
  <si>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</si>
  <si>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</si>
  <si>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</si>
  <si>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</si>
  <si>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</si>
  <si>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</si>
  <si>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</si>
  <si>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</si>
  <si>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</si>
  <si>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</si>
  <si>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</si>
  <si>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</si>
  <si>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</si>
  <si>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</si>
  <si>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</si>
  <si>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</si>
  <si>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</si>
  <si>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</si>
  <si>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</si>
  <si>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</si>
  <si>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</si>
  <si>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</si>
  <si>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</si>
  <si>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</si>
  <si>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</si>
  <si>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</si>
  <si>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</si>
  <si>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</si>
  <si>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</si>
  <si>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</si>
  <si>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</si>
  <si>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</si>
  <si>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</si>
  <si>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</si>
  <si>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</si>
  <si>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</si>
  <si>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</si>
  <si>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</si>
  <si>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</si>
  <si>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</si>
  <si>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</si>
  <si>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</si>
  <si>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</si>
  <si>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</si>
  <si>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</si>
  <si>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</si>
  <si>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</si>
  <si>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</si>
  <si>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</si>
  <si>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</si>
  <si>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</si>
  <si>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</si>
  <si>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</si>
  <si>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</si>
  <si>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</si>
  <si>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</si>
  <si>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</si>
  <si>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</si>
  <si>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</si>
  <si>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</si>
  <si>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</si>
  <si>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</si>
  <si>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</si>
  <si>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</si>
  <si>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</si>
  <si>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</si>
  <si>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</si>
  <si>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</si>
  <si>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</si>
  <si>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</si>
  <si>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</si>
  <si>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</si>
  <si>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</si>
  <si>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</si>
  <si>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</si>
  <si>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</si>
  <si>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</si>
  <si>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</si>
  <si>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</si>
  <si>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</si>
  <si>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</si>
  <si>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</si>
  <si>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</si>
  <si>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</si>
  <si>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</si>
  <si>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</si>
  <si>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</si>
  <si>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</si>
  <si>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</si>
  <si>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</si>
  <si>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</si>
  <si>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</si>
  <si>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</si>
  <si>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</si>
  <si>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</si>
  <si>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</si>
  <si>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</si>
  <si>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</si>
  <si>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</si>
  <si>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</si>
  <si>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</si>
  <si>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</si>
  <si>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</si>
  <si>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</si>
  <si>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</si>
  <si>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</si>
  <si>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</si>
  <si>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</si>
  <si>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</si>
  <si>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</si>
  <si>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</si>
  <si>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</si>
  <si>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</si>
  <si>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</si>
  <si>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</si>
  <si>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</si>
  <si>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</si>
  <si>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</si>
  <si>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</si>
  <si>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</si>
  <si>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</si>
  <si>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</si>
  <si>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</si>
  <si>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</si>
  <si>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</si>
  <si>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</si>
  <si>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</si>
  <si>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</si>
  <si>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</si>
  <si>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</si>
  <si>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</si>
  <si>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</si>
  <si>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</si>
  <si>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</si>
  <si>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</si>
  <si>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</si>
  <si>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</si>
  <si>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</si>
  <si>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</si>
  <si>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</si>
  <si>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</si>
  <si>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</si>
  <si>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</si>
  <si>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</si>
  <si>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</si>
  <si>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</si>
  <si>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</si>
  <si>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</si>
  <si>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</si>
  <si>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</si>
  <si>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</si>
  <si>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</si>
  <si>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</si>
  <si>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</si>
  <si>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</si>
  <si>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</si>
  <si>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</si>
  <si>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</si>
  <si>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</si>
  <si>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</si>
  <si>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</si>
  <si>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</si>
  <si>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</si>
  <si>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</si>
  <si>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</si>
  <si>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</si>
  <si>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</si>
  <si>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</si>
  <si>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</si>
  <si>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</si>
  <si>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</si>
  <si>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</si>
  <si>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</si>
  <si>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</si>
  <si>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</si>
  <si>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</si>
  <si>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</si>
  <si>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</si>
  <si>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</si>
  <si>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</si>
  <si>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</si>
  <si>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</si>
  <si>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</si>
  <si>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</si>
  <si>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</si>
  <si>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</si>
  <si>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</si>
  <si>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</si>
  <si>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</si>
  <si>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</si>
  <si>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</si>
  <si>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</si>
  <si>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</si>
  <si>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</si>
  <si>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</si>
  <si>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</si>
  <si>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</si>
  <si>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</si>
  <si>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</si>
  <si>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</si>
  <si>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</si>
  <si>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</si>
  <si>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</si>
  <si>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</si>
  <si>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</si>
  <si>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</si>
  <si>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</si>
  <si>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</si>
  <si>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</si>
  <si>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</si>
  <si>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</si>
  <si>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</si>
  <si>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</si>
  <si>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</si>
  <si>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</si>
  <si>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</si>
  <si>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</si>
  <si>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</si>
  <si>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</si>
  <si>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</si>
  <si>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</si>
  <si>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</si>
  <si>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</si>
  <si>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</si>
  <si>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</si>
  <si>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</si>
  <si>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</si>
  <si>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</si>
  <si>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</si>
  <si>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</si>
  <si>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</si>
  <si>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</si>
  <si>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</si>
  <si>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</si>
  <si>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</si>
  <si>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</si>
  <si>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</si>
  <si>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</si>
  <si>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</si>
  <si>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</si>
  <si>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</si>
  <si>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</si>
  <si>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</si>
  <si>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</si>
  <si>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</si>
  <si>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</si>
  <si>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</si>
  <si>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</si>
  <si>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</si>
  <si>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</si>
  <si>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</si>
  <si>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</si>
  <si>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</si>
  <si>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</si>
  <si>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</si>
  <si>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</si>
  <si>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</si>
  <si>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</si>
  <si>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</si>
  <si>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</si>
  <si>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</si>
  <si>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</si>
  <si>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</si>
  <si>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</si>
  <si>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</si>
  <si>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</si>
  <si>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</si>
  <si>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</si>
  <si>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</si>
  <si>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</si>
  <si>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</si>
  <si>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</si>
  <si>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</si>
  <si>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</si>
  <si>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</si>
  <si>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</si>
  <si>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</si>
  <si>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</si>
  <si>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</si>
  <si>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</si>
  <si>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</si>
  <si>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</si>
  <si>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</si>
  <si>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</si>
  <si>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</si>
  <si>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</si>
  <si>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</si>
  <si>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</si>
  <si>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</si>
  <si>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</si>
  <si>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</si>
  <si>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</si>
  <si>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</si>
  <si>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</si>
  <si>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</si>
  <si>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</si>
  <si>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</si>
  <si>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</si>
  <si>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</si>
  <si>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</si>
  <si>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</si>
  <si>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</si>
  <si>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</si>
  <si>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</si>
  <si>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</si>
  <si>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</si>
  <si>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</si>
  <si>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</si>
  <si>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</si>
  <si>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</si>
  <si>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</si>
  <si>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</si>
  <si>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</si>
  <si>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</si>
  <si>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</si>
  <si>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</si>
  <si>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</si>
  <si>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</si>
  <si>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</si>
  <si>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</si>
  <si>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</si>
  <si>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</si>
  <si>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</si>
  <si>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</si>
  <si>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</si>
  <si>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</si>
  <si>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</si>
  <si>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</si>
  <si>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</si>
  <si>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</si>
  <si>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</si>
  <si>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</si>
  <si>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</si>
  <si>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</si>
  <si>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</si>
  <si>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</si>
  <si>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</si>
  <si>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</si>
  <si>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</si>
  <si>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</si>
  <si>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</si>
  <si>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</si>
  <si>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</si>
  <si>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</si>
  <si>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</si>
  <si>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</si>
  <si>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</si>
  <si>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</si>
  <si>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</si>
  <si>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</si>
  <si>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</si>
  <si>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</si>
  <si>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</si>
  <si>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</si>
  <si>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</si>
  <si>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</si>
  <si>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</si>
  <si>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</si>
  <si>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</si>
  <si>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</si>
  <si>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</si>
  <si>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</si>
  <si>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</si>
  <si>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</si>
  <si>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</si>
  <si>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</si>
  <si>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</si>
  <si>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</si>
  <si>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</si>
  <si>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</si>
  <si>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</si>
  <si>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</si>
  <si>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</si>
  <si>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</si>
  <si>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</si>
  <si>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</si>
  <si>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</si>
  <si>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</si>
  <si>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</si>
  <si>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</si>
  <si>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</si>
  <si>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</si>
  <si>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</si>
  <si>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</si>
  <si>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</si>
  <si>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</si>
  <si>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</si>
  <si>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</si>
  <si>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</si>
  <si>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</si>
  <si>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</si>
  <si>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</si>
  <si>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</si>
  <si>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</si>
  <si>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</si>
  <si>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</si>
  <si>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</si>
  <si>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</si>
  <si>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</si>
  <si>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</si>
  <si>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</si>
  <si>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</si>
  <si>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</si>
  <si>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</si>
  <si>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</si>
  <si>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</si>
  <si>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</si>
  <si>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</si>
  <si>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</si>
  <si>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</si>
  <si>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</si>
  <si>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</si>
  <si>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</si>
  <si>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</si>
  <si>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</si>
  <si>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</si>
  <si>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</si>
  <si>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</si>
  <si>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</si>
  <si>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</si>
  <si>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</si>
  <si>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</si>
  <si>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</si>
  <si>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</si>
  <si>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</si>
  <si>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</si>
  <si>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</si>
  <si>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</si>
  <si>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</si>
  <si>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</si>
  <si>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</si>
  <si>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</si>
  <si>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</si>
  <si>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</si>
  <si>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</si>
  <si>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</si>
  <si>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</si>
  <si>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</si>
  <si>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</si>
  <si>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</si>
  <si>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</si>
  <si>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</si>
  <si>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</si>
  <si>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</si>
  <si>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</si>
  <si>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</si>
  <si>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</si>
  <si>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</si>
  <si>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</si>
  <si>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</si>
  <si>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</si>
  <si>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</si>
  <si>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</si>
  <si>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</si>
  <si>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</si>
  <si>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</si>
  <si>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</si>
  <si>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</si>
  <si>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</si>
  <si>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</si>
  <si>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</si>
  <si>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</si>
  <si>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</si>
  <si>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</si>
  <si>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</si>
  <si>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</si>
  <si>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</si>
  <si>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</si>
  <si>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</si>
  <si>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</si>
  <si>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</si>
  <si>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</si>
  <si>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</si>
  <si>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</si>
  <si>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</si>
  <si>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</si>
  <si>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</si>
  <si>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</si>
  <si>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</si>
  <si>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</si>
  <si>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</si>
  <si>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</si>
  <si>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</si>
  <si>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</si>
  <si>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</si>
  <si>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</si>
  <si>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</si>
  <si>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</si>
  <si>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</si>
  <si>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</si>
  <si>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</si>
  <si>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</si>
  <si>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</si>
  <si>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</si>
  <si>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</si>
  <si>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</si>
  <si>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</si>
  <si>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</si>
  <si>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</si>
  <si>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</si>
  <si>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</si>
  <si>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</si>
  <si>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</si>
  <si>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</si>
  <si>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</si>
  <si>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</si>
  <si>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</si>
  <si>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</si>
  <si>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</si>
  <si>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</si>
  <si>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</si>
  <si>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</si>
  <si>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</si>
  <si>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</si>
  <si>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</si>
  <si>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</si>
  <si>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</si>
  <si>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</si>
  <si>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</si>
  <si>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</si>
  <si>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</si>
  <si>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</si>
  <si>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</si>
  <si>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</si>
  <si>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</si>
  <si>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</si>
  <si>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</si>
  <si>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</si>
  <si>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</si>
  <si>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</si>
  <si>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</si>
  <si>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</si>
  <si>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</si>
  <si>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</si>
  <si>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</si>
  <si>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</si>
  <si>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</si>
  <si>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</si>
  <si>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</si>
  <si>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</si>
  <si>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</si>
  <si>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</si>
  <si>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</si>
  <si>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</si>
  <si>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</si>
  <si>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</si>
  <si>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</si>
  <si>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</si>
  <si>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</si>
  <si>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</si>
  <si>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</si>
  <si>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</si>
  <si>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</si>
  <si>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</si>
  <si>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</si>
  <si>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</si>
  <si>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</si>
  <si>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</si>
  <si>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</si>
  <si>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</si>
  <si>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</si>
  <si>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</si>
  <si>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</si>
  <si>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</si>
  <si>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</si>
  <si>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</si>
  <si>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</si>
  <si>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</si>
  <si>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</si>
  <si>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</si>
  <si>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</si>
  <si>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</si>
  <si>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</si>
  <si>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</si>
  <si>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</si>
  <si>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</si>
  <si>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</si>
  <si>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</si>
  <si>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</si>
  <si>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</si>
  <si>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</si>
  <si>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</si>
  <si>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</si>
  <si>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</si>
  <si>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</si>
  <si>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</si>
  <si>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</si>
  <si>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</si>
  <si>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</si>
  <si>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</si>
  <si>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</si>
  <si>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</si>
  <si>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</si>
  <si>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</si>
  <si>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</si>
  <si>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</si>
  <si>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</si>
  <si>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</si>
  <si>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</si>
  <si>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</si>
  <si>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</si>
  <si>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</si>
  <si>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</si>
  <si>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</si>
  <si>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</si>
  <si>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</si>
  <si>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</si>
  <si>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</si>
  <si>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</si>
  <si>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</si>
  <si>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</si>
  <si>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</si>
  <si>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</si>
  <si>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</si>
  <si>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</si>
  <si>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</si>
  <si>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</si>
  <si>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</si>
  <si>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</si>
  <si>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</si>
  <si>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</si>
  <si>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</si>
  <si>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</si>
  <si>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</si>
  <si>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</si>
  <si>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</si>
  <si>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</si>
  <si>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</si>
  <si>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</si>
  <si>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</si>
  <si>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</si>
  <si>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</si>
  <si>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</si>
  <si>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</si>
  <si>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</si>
  <si>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</si>
  <si>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</si>
  <si>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</si>
  <si>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</si>
  <si>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</si>
  <si>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</si>
  <si>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</si>
  <si>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</si>
  <si>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</si>
  <si>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</si>
  <si>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</si>
  <si>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</si>
  <si>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</si>
  <si>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</si>
  <si>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</si>
  <si>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</si>
  <si>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</si>
  <si>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</si>
  <si>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</si>
  <si>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</si>
  <si>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</si>
  <si>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</si>
  <si>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</si>
  <si>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</si>
  <si>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</si>
  <si>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</si>
  <si>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</si>
  <si>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</si>
  <si>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</si>
  <si>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</si>
  <si>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</si>
  <si>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</si>
  <si>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</si>
  <si>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</si>
  <si>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</si>
  <si>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</si>
  <si>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</si>
  <si>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</si>
  <si>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</si>
  <si>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</si>
  <si>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</si>
  <si>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</si>
  <si>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</si>
  <si>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</si>
  <si>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</si>
  <si>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</si>
  <si>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</si>
  <si>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</si>
  <si>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</si>
  <si>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</si>
  <si>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</si>
  <si>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</si>
  <si>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</si>
  <si>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</si>
  <si>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</si>
  <si>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</si>
  <si>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</si>
  <si>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</si>
  <si>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</si>
  <si>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</si>
  <si>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</si>
  <si>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</si>
  <si>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</si>
  <si>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</si>
  <si>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</si>
  <si>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</si>
  <si>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</si>
  <si>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</si>
  <si>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</si>
  <si>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</si>
  <si>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</si>
  <si>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</si>
  <si>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</si>
  <si>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</si>
  <si>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</si>
  <si>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</si>
  <si>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</si>
  <si>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</si>
  <si>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</si>
  <si>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</si>
  <si>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</si>
  <si>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</si>
  <si>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</si>
  <si>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</si>
  <si>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</si>
  <si>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</si>
  <si>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</si>
  <si>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</si>
  <si>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</si>
  <si>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</si>
  <si>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</si>
  <si>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</si>
  <si>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</si>
  <si>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</si>
  <si>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</si>
  <si>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</si>
  <si>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</si>
  <si>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</si>
  <si>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</si>
  <si>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</si>
  <si>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</si>
  <si>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</si>
  <si>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</si>
  <si>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</si>
  <si>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</si>
  <si>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</si>
  <si>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</si>
  <si>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</si>
  <si>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</si>
  <si>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</si>
  <si>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</si>
  <si>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</si>
  <si>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</si>
  <si>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</si>
  <si>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</si>
  <si>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</si>
  <si>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</si>
  <si>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</si>
  <si>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</si>
  <si>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</si>
  <si>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</si>
  <si>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</si>
  <si>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</si>
  <si>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</si>
  <si>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</si>
  <si>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</si>
  <si>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</si>
  <si>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</si>
  <si>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</si>
  <si>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</si>
  <si>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</si>
  <si>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</si>
  <si>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</si>
  <si>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</si>
  <si>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</si>
  <si>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</si>
  <si>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</si>
  <si>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</si>
  <si>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</si>
  <si>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</si>
  <si>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</si>
  <si>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</si>
  <si>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</si>
  <si>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</si>
  <si>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</si>
  <si>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</si>
  <si>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</si>
  <si>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</si>
  <si>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</si>
  <si>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</si>
  <si>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</si>
  <si>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</si>
  <si>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</si>
  <si>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</si>
  <si>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</si>
  <si>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</si>
  <si>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</si>
  <si>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</si>
  <si>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</si>
  <si>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</si>
  <si>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</si>
  <si>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</si>
  <si>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</si>
  <si>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</si>
  <si>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</si>
  <si>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</si>
  <si>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</si>
  <si>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</si>
  <si>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</si>
  <si>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</si>
  <si>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</si>
  <si>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</si>
  <si>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</si>
  <si>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</si>
  <si>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</si>
  <si>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</si>
  <si>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</si>
  <si>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</si>
  <si>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</si>
  <si>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</si>
  <si>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</si>
  <si>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</si>
  <si>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</si>
  <si>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</si>
  <si>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</si>
  <si>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</si>
  <si>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</si>
  <si>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</si>
  <si>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</si>
  <si>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</si>
  <si>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</si>
  <si>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</si>
  <si>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</si>
  <si>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</si>
  <si>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</si>
  <si>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</si>
  <si>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</si>
  <si>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</si>
  <si>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</si>
  <si>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</si>
  <si>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</si>
  <si>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</si>
  <si>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</si>
  <si>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</si>
  <si>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</si>
  <si>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</si>
  <si>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</si>
  <si>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</si>
  <si>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</si>
  <si>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</si>
  <si>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</si>
  <si>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</si>
  <si>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</si>
  <si>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</si>
  <si>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</si>
  <si>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</si>
  <si>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</si>
  <si>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</si>
  <si>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</si>
  <si>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</si>
  <si>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</si>
  <si>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</si>
  <si>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</si>
  <si>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</si>
  <si>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</si>
  <si>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</si>
  <si>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</si>
  <si>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</si>
  <si>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</si>
  <si>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</si>
  <si>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</si>
  <si>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</si>
  <si>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</si>
  <si>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</si>
  <si>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</si>
  <si>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</si>
  <si>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</si>
  <si>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</si>
  <si>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</si>
  <si>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</si>
  <si>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</si>
  <si>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</si>
  <si>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</si>
  <si>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</si>
  <si>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</si>
  <si>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</si>
  <si>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</si>
  <si>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</si>
  <si>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</si>
  <si>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</si>
  <si>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</si>
  <si>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</si>
  <si>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</si>
  <si>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</si>
  <si>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</si>
  <si>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</si>
  <si>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</si>
  <si>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</si>
  <si>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</si>
  <si>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</si>
  <si>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</si>
  <si>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</si>
  <si>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</si>
  <si>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</si>
  <si>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</si>
  <si>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</si>
  <si>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</si>
  <si>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</si>
  <si>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</si>
  <si>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</si>
  <si>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</si>
  <si>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</si>
  <si>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</si>
  <si>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</si>
  <si>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</si>
  <si>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</si>
  <si>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</si>
  <si>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</si>
  <si>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</si>
  <si>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</si>
  <si>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</si>
  <si>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</si>
  <si>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</si>
  <si>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</si>
  <si>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</si>
  <si>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</si>
  <si>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</si>
  <si>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</si>
  <si>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</si>
  <si>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</si>
  <si>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</si>
  <si>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</si>
  <si>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</si>
  <si>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</si>
  <si>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</si>
  <si>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</si>
  <si>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</si>
  <si>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</si>
  <si>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</si>
  <si>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</si>
  <si>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</si>
  <si>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</si>
  <si>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</si>
  <si>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</si>
  <si>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</si>
  <si>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</si>
  <si>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</si>
  <si>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</si>
  <si>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</si>
  <si>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</si>
  <si>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</si>
  <si>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</si>
  <si>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</si>
  <si>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</si>
  <si>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</si>
  <si>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</si>
  <si>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</si>
  <si>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</si>
  <si>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</si>
  <si>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</si>
  <si>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</si>
  <si>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</si>
  <si>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</si>
  <si>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</si>
  <si>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</si>
  <si>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</si>
  <si>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</si>
  <si>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</si>
  <si>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</si>
  <si>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</si>
  <si>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</si>
  <si>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</si>
  <si>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</si>
  <si>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</si>
  <si>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</si>
  <si>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</si>
  <si>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</si>
  <si>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</si>
  <si>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</si>
  <si>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</si>
  <si>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</si>
  <si>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</si>
  <si>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</si>
  <si>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</si>
  <si>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</si>
  <si>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</si>
  <si>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</si>
  <si>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</si>
  <si>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</si>
  <si>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</si>
  <si>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</si>
  <si>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</si>
  <si>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</si>
  <si>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</si>
  <si>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</si>
  <si>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</si>
  <si>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</si>
  <si>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</si>
  <si>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</si>
  <si>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</si>
  <si>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</si>
  <si>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</si>
  <si>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</si>
  <si>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</si>
  <si>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</si>
  <si>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</si>
  <si>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</si>
  <si>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</si>
  <si>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</si>
  <si>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</si>
  <si>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</si>
  <si>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</si>
  <si>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</si>
  <si>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</si>
  <si>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</si>
  <si>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</si>
  <si>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</si>
  <si>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</si>
  <si>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</si>
  <si>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</si>
  <si>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</si>
  <si>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</si>
  <si>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</si>
  <si>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</si>
  <si>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</si>
  <si>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</si>
  <si>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</si>
  <si>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</si>
  <si>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</si>
  <si>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</si>
  <si>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</si>
  <si>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</si>
  <si>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</si>
  <si>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</si>
  <si>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</si>
  <si>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</si>
  <si>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</si>
  <si>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</si>
  <si>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</si>
  <si>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</si>
  <si>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</si>
  <si>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</si>
  <si>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</si>
  <si>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</si>
  <si>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</si>
  <si>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</si>
  <si>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</si>
  <si>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</si>
  <si>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</si>
  <si>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</si>
  <si>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</si>
  <si>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</si>
  <si>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</si>
  <si>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</si>
  <si>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</si>
  <si>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</si>
  <si>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</si>
  <si>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</si>
  <si>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</si>
  <si>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</si>
  <si>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</si>
  <si>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</si>
  <si>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</si>
  <si>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</si>
  <si>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</si>
  <si>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</si>
  <si>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</si>
  <si>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</si>
  <si>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</si>
  <si>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</si>
  <si>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</si>
  <si>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</si>
  <si>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</si>
  <si>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</si>
  <si>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</si>
  <si>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</si>
  <si>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</si>
  <si>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</si>
  <si>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</si>
  <si>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</si>
  <si>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</si>
  <si>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</si>
  <si>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</si>
  <si>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</si>
  <si>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</si>
  <si>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</si>
  <si>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</si>
  <si>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</si>
  <si>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</si>
  <si>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</si>
  <si>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</si>
  <si>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</si>
  <si>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</si>
  <si>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</si>
  <si>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</si>
  <si>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</si>
  <si>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</si>
  <si>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</si>
  <si>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</si>
  <si>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</si>
  <si>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</si>
  <si>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</si>
  <si>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</si>
  <si>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</si>
  <si>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</si>
  <si>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</si>
  <si>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</si>
  <si>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</si>
  <si>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</si>
  <si>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</si>
  <si>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</si>
  <si>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</si>
  <si>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</si>
  <si>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</si>
  <si>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</si>
  <si>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</si>
  <si>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</si>
  <si>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</si>
  <si>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</si>
  <si>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</si>
  <si>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</si>
  <si>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</si>
  <si>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</si>
  <si>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</si>
  <si>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</si>
  <si>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</si>
  <si>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</si>
  <si>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</si>
  <si>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</si>
  <si>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</si>
  <si>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</si>
  <si>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</si>
  <si>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</si>
  <si>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</si>
  <si>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</si>
  <si>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</si>
  <si>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</si>
  <si>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</si>
  <si>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</si>
  <si>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</si>
  <si>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</si>
  <si>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</si>
  <si>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</si>
  <si>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</si>
  <si>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</si>
  <si>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</si>
  <si>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</si>
  <si>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</si>
  <si>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</si>
  <si>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</si>
  <si>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</si>
  <si>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</si>
  <si>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</si>
  <si>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</si>
  <si>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</si>
  <si>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</si>
  <si>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</si>
  <si>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</si>
  <si>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</si>
  <si>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</si>
  <si>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</si>
  <si>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</si>
  <si>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</si>
  <si>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</si>
  <si>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</si>
  <si>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</si>
  <si>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</si>
  <si>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</si>
  <si>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</si>
  <si>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</si>
  <si>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</si>
  <si>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</si>
  <si>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</si>
  <si>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</si>
  <si>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</si>
  <si>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</si>
  <si>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</si>
  <si>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</si>
  <si>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</si>
  <si>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</si>
  <si>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</si>
  <si>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</si>
  <si>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</si>
  <si>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</si>
  <si>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</si>
  <si>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</si>
  <si>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</si>
  <si>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</si>
  <si>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</si>
  <si>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</si>
  <si>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</si>
  <si>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</si>
  <si>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</si>
  <si>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</si>
  <si>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</si>
  <si>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</si>
  <si>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</si>
  <si>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</si>
  <si>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</si>
  <si>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</si>
  <si>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</si>
  <si>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</si>
  <si>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</si>
  <si>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</si>
  <si>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</si>
  <si>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</si>
  <si>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</si>
  <si>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</si>
  <si>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</si>
  <si>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</si>
  <si>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</si>
  <si>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</si>
  <si>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</si>
  <si>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</si>
  <si>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</si>
  <si>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</si>
  <si>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</si>
  <si>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</si>
  <si>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</si>
  <si>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</si>
  <si>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</si>
  <si>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</si>
  <si>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</si>
  <si>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</si>
  <si>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</si>
  <si>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</si>
  <si>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</si>
  <si>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</si>
  <si>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</si>
  <si>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</si>
  <si>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</si>
  <si>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</si>
  <si>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</si>
  <si>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</si>
  <si>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</si>
  <si>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</si>
  <si>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</si>
  <si>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</si>
  <si>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</si>
  <si>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</si>
  <si>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</si>
  <si>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</si>
  <si>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</si>
  <si>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</si>
  <si>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</si>
  <si>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</si>
  <si>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</si>
  <si>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</si>
  <si>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</si>
  <si>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</si>
  <si>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</si>
  <si>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</si>
  <si>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</si>
  <si>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</si>
  <si>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</si>
  <si>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</si>
  <si>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</si>
  <si>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</si>
  <si>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</si>
  <si>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</si>
  <si>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</si>
  <si>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</si>
  <si>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</si>
  <si>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</si>
  <si>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</si>
  <si>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</si>
  <si>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</si>
  <si>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</si>
  <si>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</si>
  <si>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</si>
  <si>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</si>
  <si>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</si>
  <si>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</si>
  <si>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</si>
  <si>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</si>
  <si>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</si>
  <si>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</si>
  <si>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</si>
  <si>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</si>
  <si>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</si>
  <si>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</si>
  <si>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</si>
  <si>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</si>
  <si>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</si>
  <si>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</si>
  <si>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</si>
  <si>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</si>
  <si>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</si>
  <si>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</si>
  <si>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</si>
  <si>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</si>
  <si>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</si>
  <si>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</si>
  <si>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</si>
  <si>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</si>
  <si>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</si>
  <si>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</si>
  <si>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</si>
  <si>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</si>
  <si>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</si>
  <si>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</si>
  <si>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</si>
  <si>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</si>
  <si>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</si>
  <si>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</si>
  <si>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</si>
  <si>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</si>
  <si>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</si>
  <si>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</si>
  <si>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</si>
  <si>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</si>
  <si>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</si>
  <si>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</si>
  <si>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</si>
  <si>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</si>
  <si>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</si>
  <si>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</si>
  <si>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</si>
  <si>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</si>
  <si>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</si>
  <si>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</si>
  <si>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</si>
  <si>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</si>
  <si>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</si>
  <si>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</si>
  <si>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</si>
  <si>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</si>
  <si>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</si>
  <si>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</si>
  <si>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</si>
  <si>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</si>
  <si>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</si>
  <si>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</si>
  <si>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</si>
  <si>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</si>
  <si>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</si>
  <si>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</si>
  <si>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</si>
  <si>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</si>
  <si>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</si>
  <si>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</si>
  <si>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</si>
  <si>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</si>
  <si>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</si>
  <si>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</si>
  <si>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</si>
  <si>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</si>
  <si>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</si>
  <si>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</si>
  <si>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</si>
  <si>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</si>
  <si>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</si>
  <si>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</si>
  <si>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</si>
  <si>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</si>
  <si>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</si>
  <si>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</si>
  <si>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</si>
  <si>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</si>
  <si>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</si>
  <si>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</si>
  <si>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</si>
  <si>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</si>
  <si>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</si>
  <si>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</si>
  <si>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</si>
  <si>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</si>
  <si>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</si>
  <si>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</si>
  <si>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</si>
  <si>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</si>
  <si>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</si>
  <si>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</si>
  <si>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</si>
  <si>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</si>
  <si>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</si>
  <si>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</si>
  <si>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</si>
  <si>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</si>
  <si>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</si>
  <si>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</si>
  <si>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</si>
  <si>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</si>
  <si>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</si>
  <si>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</si>
  <si>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</si>
  <si>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</si>
  <si>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</si>
  <si>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</si>
  <si>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</si>
  <si>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</si>
  <si>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</si>
  <si>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</si>
  <si>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</si>
  <si>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</si>
  <si>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</si>
  <si>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</si>
  <si>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</si>
  <si>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</si>
  <si>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</si>
  <si>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</si>
  <si>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</si>
  <si>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</si>
  <si>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</si>
  <si>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</si>
  <si>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</si>
  <si>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</si>
  <si>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</si>
  <si>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</si>
  <si>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</si>
  <si>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</si>
  <si>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</si>
  <si>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</si>
  <si>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</si>
  <si>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</si>
  <si>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</si>
  <si>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</si>
  <si>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</si>
  <si>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</si>
  <si>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</si>
  <si>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</si>
  <si>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</si>
  <si>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</si>
  <si>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</si>
  <si>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</si>
  <si>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</si>
  <si>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</si>
  <si>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</si>
  <si>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</si>
  <si>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</si>
  <si>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</si>
  <si>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</si>
  <si>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</si>
  <si>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</si>
  <si>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</si>
  <si>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</si>
  <si>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</si>
  <si>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</si>
  <si>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</si>
  <si>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</si>
  <si>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</si>
  <si>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</si>
  <si>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</si>
  <si>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</si>
  <si>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</si>
  <si>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</si>
  <si>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</si>
  <si>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</si>
  <si>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</si>
  <si>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</si>
  <si>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</si>
  <si>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</si>
  <si>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</si>
  <si>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</si>
  <si>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</si>
  <si>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</si>
  <si>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</si>
  <si>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</si>
  <si>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</si>
  <si>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</si>
  <si>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</si>
  <si>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</si>
  <si>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</si>
  <si>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School bonds, Series 2009</t>
  </si>
  <si>
    <t>School bonds, Series2011</t>
  </si>
  <si>
    <t>School bonds, Series 2016B</t>
  </si>
  <si>
    <t>School bonds, Series 2016C</t>
  </si>
  <si>
    <t>Education-Copier Lease</t>
  </si>
  <si>
    <t>Driver's ED Vehicle</t>
  </si>
  <si>
    <t>ED-Pupil Services-Athletic officals</t>
  </si>
  <si>
    <t>10-2100-300</t>
  </si>
  <si>
    <t>20-2540-300</t>
  </si>
  <si>
    <t>O&amp;M-Plant services-Water/Sewer</t>
  </si>
  <si>
    <t>O&amp;M-Plant Services-Telephone</t>
  </si>
  <si>
    <t>20-2450-300</t>
  </si>
  <si>
    <t>Honeywell International</t>
  </si>
  <si>
    <t>O&amp;M-Plant Services-Electricity</t>
  </si>
  <si>
    <t>Ameren Illinois</t>
  </si>
  <si>
    <t>Various athletic officials</t>
  </si>
  <si>
    <t>Verizon</t>
  </si>
  <si>
    <t>O&amp;M-Plant Services-Extermination</t>
  </si>
  <si>
    <t>Terminex</t>
  </si>
  <si>
    <t>O&amp;M-Plant services- Sanitation</t>
  </si>
  <si>
    <t>Bulldog Systems INC</t>
  </si>
  <si>
    <t>O&amp;M-Plant services-System Maint.</t>
  </si>
  <si>
    <t>City of Harrisburg</t>
  </si>
  <si>
    <t>O&amp;M-Plant Services-Security</t>
  </si>
  <si>
    <t>Sonitrol Security Systems</t>
  </si>
  <si>
    <t>TRANS-Transportation- Bus services</t>
  </si>
  <si>
    <t>40-2550-300</t>
  </si>
  <si>
    <t>Robinson Transport Inc</t>
  </si>
  <si>
    <t>TORT-General admin-Liability insurance</t>
  </si>
  <si>
    <t>80-2300-300</t>
  </si>
  <si>
    <t>IL Counties Risk Mgt Trust</t>
  </si>
  <si>
    <t>TORT-General admin-Legal</t>
  </si>
  <si>
    <t>Clayborne, Sabo, and Wagner</t>
  </si>
  <si>
    <t>ED-Pupil Services-Copier support</t>
  </si>
  <si>
    <t>Tri State Business Equip Inc</t>
  </si>
  <si>
    <t>10-1100-300</t>
  </si>
  <si>
    <t>Renaissance Learning</t>
  </si>
  <si>
    <t>ED-Instruction-On line teaching</t>
  </si>
  <si>
    <t>ED-Instruction staff- Teachers' workshops</t>
  </si>
  <si>
    <t>10-2200-300</t>
  </si>
  <si>
    <t>Various Non-District Instructors</t>
  </si>
  <si>
    <t>ED-Gen Admin-On-line services</t>
  </si>
  <si>
    <t>10-2300-300</t>
  </si>
  <si>
    <t>Speedlink</t>
  </si>
  <si>
    <t>Specialized Data Systems Inc</t>
  </si>
  <si>
    <t>American Fidelity Admin Services</t>
  </si>
  <si>
    <t>ED-Gen Admin-On-Audit</t>
  </si>
  <si>
    <t>Donohoo, McCalley &amp; Assoicates</t>
  </si>
  <si>
    <t>ED-Gen Admin-Finger printing</t>
  </si>
  <si>
    <t>Illinois State Police</t>
  </si>
  <si>
    <t>ED-Food Services-Repairs</t>
  </si>
  <si>
    <t>10-2560-300</t>
  </si>
  <si>
    <t>Brad Crick Refrigeration</t>
  </si>
  <si>
    <t>ED-Food Services-Sanitation</t>
  </si>
  <si>
    <t>ED--Community Services-Mental health</t>
  </si>
  <si>
    <t>10-3000-300</t>
  </si>
  <si>
    <t>Egyptian Public &amp; Mental health</t>
  </si>
  <si>
    <t>`</t>
  </si>
  <si>
    <t>pg 10 ED Fund(10) line 17 Acct #1290 $1,018 is cash payments in lieu of taxes.</t>
  </si>
  <si>
    <t xml:space="preserve">pg 11 ED Fund (10) line 74 Acct #1690 $24,826 is made up of $8,700 a Sharing the Strength grant, </t>
  </si>
  <si>
    <t xml:space="preserve">      $9,850 is for activity events food service, $1,292 is Pepsi revenue, and $4,984 is from sales in summer food program.</t>
  </si>
  <si>
    <t>pg 13 ED Fund (10) line 171 Acct #3999 $61,298 is money received from various state grants.</t>
  </si>
  <si>
    <t>pg 15 ED Fund (10) line 272 Acct #4999  $488,127 is the money from the FED AWARE grant.</t>
  </si>
  <si>
    <t xml:space="preserve">      $1,752 from an insurance damage payment and $232 from reimbursements.</t>
  </si>
  <si>
    <t xml:space="preserve">       bond principal payment and $562,538 in bond interest payments.</t>
  </si>
  <si>
    <t>pg 17 ED Fund (10) line 83 Acct 4190 $1,780 is for high school vocational training.</t>
  </si>
  <si>
    <t>Pg 17 ED Fund (10) line 73 Acct #2900 $527,181 is  made up of $526,114 in Fed AWARE  grant spending</t>
  </si>
  <si>
    <t xml:space="preserve">The debt service autocheck is inaccurate and shows an error because debt is paid by two funds </t>
  </si>
  <si>
    <t xml:space="preserve">      refunds and reimbursements, and $536 is from a teacher reimbursement.</t>
  </si>
  <si>
    <t xml:space="preserve">pg 12 ED Fund (10) line 106 Acct #1993 $26,282  is made up of $13,577 in After-Care fees, $12,169 in various </t>
  </si>
  <si>
    <t>pg 12 O&amp;M Fund (20) line 107 Acct #1999 $18,023 is made up of $15,379 Erate grant, $660 from selling scrap.</t>
  </si>
  <si>
    <t>pg 12 CP Fund (60) line 107 Acct #1999 $23,061 is from various reimbursements.</t>
  </si>
  <si>
    <t>pg 12 TF Fund (80) line 107 Acct #1999 $4,029 is from various refunds and reimbursements.</t>
  </si>
  <si>
    <t xml:space="preserve">pg 22 CP Fund (60) line 301 Acct #2530 $832,537 in other objects is made up of $270,000 a </t>
  </si>
  <si>
    <t>pg 21 MR Fund (50) line 260  Acct #2490 $413 is add't FICA for a temporary worker.</t>
  </si>
  <si>
    <t>pg 21 MR Fund (50) line 279 Acct #2900 $4,840 is money for benefits for a worker funded by the FED AWARE grant.</t>
  </si>
  <si>
    <t>pg 19 DS Fund (30) line 171 $1,742 are admin bond costs.</t>
  </si>
  <si>
    <t>pg 17 ED Fund (10) line 56 Acct # 2490 $5,400 is security officer salary.</t>
  </si>
  <si>
    <t xml:space="preserve">         and $1,067 in supplies for the homeless.</t>
  </si>
  <si>
    <t>x</t>
  </si>
  <si>
    <t>See below</t>
  </si>
  <si>
    <t>Ohio &amp; Wabash VOC Tech</t>
  </si>
  <si>
    <t>Special Education Cooperatives (WOVSED):  Edwards County CUSD #1, Gallatin County CUSD #7, Hamilton County CUSD #10, Pope County CUSD #1,</t>
  </si>
  <si>
    <t>Carrier-Mills-Stonefort CUSD #2, Galatia CUSD #1, Wabash CUSD #348, Fairfield PSD #112, Fairfield High School District #225, Geff CUSD #14, Jasper CUSD #17,</t>
  </si>
  <si>
    <t>New Hope CUSD #16, North Wayne CUSFD #200, Carmi-Whitlow CUSD #5, Garyville Community CUSD #7</t>
  </si>
  <si>
    <t>Other:  The district purchases school paper in concert with several other districts.</t>
  </si>
  <si>
    <t>Greg McCalley and Associates PC</t>
  </si>
  <si>
    <t>Saline</t>
  </si>
  <si>
    <t>Greg McCalley</t>
  </si>
  <si>
    <t>855 E Ferguson</t>
  </si>
  <si>
    <t>Wood River</t>
  </si>
  <si>
    <t xml:space="preserve">IL </t>
  </si>
  <si>
    <t xml:space="preserve">40 South Main </t>
  </si>
  <si>
    <t xml:space="preserve">Harrisburg </t>
  </si>
  <si>
    <t>(618) 254-8188</t>
  </si>
  <si>
    <t>(618) 254-8680</t>
  </si>
  <si>
    <t>kwren@harrisburg3.org</t>
  </si>
  <si>
    <t>greg@dmacpa.com</t>
  </si>
  <si>
    <t>Michael Gauch</t>
  </si>
  <si>
    <t>mgauch@harrisburg3.org</t>
  </si>
  <si>
    <t>(618) 253-7637</t>
  </si>
  <si>
    <t>(618) 252-7384</t>
  </si>
  <si>
    <t xml:space="preserve">US DEPARTMENT OF AGRICULTURE </t>
  </si>
  <si>
    <t>PASSED THROUGH IL STATE BOARD OF ED (ISBE)</t>
  </si>
  <si>
    <t>N/A</t>
  </si>
  <si>
    <t>Fresh Fruit &amp; Vegetables (M)</t>
  </si>
  <si>
    <t>Non Cash Commodities (M)</t>
  </si>
  <si>
    <t>National School Lunch Program (M)</t>
  </si>
  <si>
    <t>17-4210-00</t>
  </si>
  <si>
    <t>18-4210-00</t>
  </si>
  <si>
    <t>National School Breakfast Program (M)</t>
  </si>
  <si>
    <t>17-4220-00</t>
  </si>
  <si>
    <t>18-4220-00</t>
  </si>
  <si>
    <t>Summer Food Service Program (M)</t>
  </si>
  <si>
    <t>17-4225-00</t>
  </si>
  <si>
    <t>TOTAL CHILD NUTRITION CLUSTER FROM  DEPARTMENT OF AGRICULTURE PASSED THROUGH IL STATE BOARD OF ED (ISBE)</t>
  </si>
  <si>
    <t>FED-SP ED-IDEA</t>
  </si>
  <si>
    <t xml:space="preserve">DEPARTMENT OF EDUCATION </t>
  </si>
  <si>
    <t>84.027A</t>
  </si>
  <si>
    <t>17-4625-00</t>
  </si>
  <si>
    <t>84.424A</t>
  </si>
  <si>
    <t>18-4400-00</t>
  </si>
  <si>
    <t>Title I Low Income (M)</t>
  </si>
  <si>
    <t>84.010A</t>
  </si>
  <si>
    <t>17-4300-00</t>
  </si>
  <si>
    <t>Title 1 Low Income (M)</t>
  </si>
  <si>
    <t>18-4300-00</t>
  </si>
  <si>
    <t xml:space="preserve">Title II Teacher Quality </t>
  </si>
  <si>
    <t>84.367A</t>
  </si>
  <si>
    <t>17-4932-00</t>
  </si>
  <si>
    <t>18-4932-00</t>
  </si>
  <si>
    <t>84.358B</t>
  </si>
  <si>
    <t>17-4107-00</t>
  </si>
  <si>
    <t>18-4107-00</t>
  </si>
  <si>
    <t xml:space="preserve"> Title V Rural Education Initiative</t>
  </si>
  <si>
    <t>Title V Rural Education Initiative</t>
  </si>
  <si>
    <t>TOTAL DEPARTMENT OF EDUCATION PASSED THROUGH  IL STATE BOARD OF EDUCATION (ISBE)</t>
  </si>
  <si>
    <t>TOTAL DEPARTMENT OF EDUCATION PASSED THROUGH  OHIO &amp; WABASH SPECIAL ED DIST.</t>
  </si>
  <si>
    <t>18-4620-00</t>
  </si>
  <si>
    <t>IDEA Flow-Through</t>
  </si>
  <si>
    <t>TOTAL DEPSARTMENT OF EDUCATION  PASSED THROUHGH OHIO &amp; WABASH SPECIAL ED DIST.</t>
  </si>
  <si>
    <t>VOC ED Perkins Title IIE Tech Prep</t>
  </si>
  <si>
    <t>17-4770-00</t>
  </si>
  <si>
    <t>18-4770-00</t>
  </si>
  <si>
    <t>DEPARTMENT OF EDUCATION PASSED</t>
  </si>
  <si>
    <t xml:space="preserve"> THROUGH OHIO &amp; WABASH Regional VOC SYSTEM</t>
  </si>
  <si>
    <t>US DEPARTMENT OF HEALTHCARE</t>
  </si>
  <si>
    <t>AND FAMILY SERVICES PASSED THRU ISBE</t>
  </si>
  <si>
    <t>Other Federal Programs SAMHSA, IL-AWARE</t>
  </si>
  <si>
    <t>17-4998-00</t>
  </si>
  <si>
    <t>18-4998-00</t>
  </si>
  <si>
    <t>TOTAL US DEPARTMENT OF HEALTHCARE</t>
  </si>
  <si>
    <t>AND FAMILY SERVICES PASSED THROUGH ISBE</t>
  </si>
  <si>
    <t xml:space="preserve">US DEPARTMENT OF HEALTHCARE </t>
  </si>
  <si>
    <t>AND FAMILY SERVICES PASSED THROUGH</t>
  </si>
  <si>
    <t>IL DEP OF HEALTHCRE AND FAMILY SERVICES</t>
  </si>
  <si>
    <t>Medicaid Matching-Administrative Outreach</t>
  </si>
  <si>
    <t>17-4991</t>
  </si>
  <si>
    <t>18-4991</t>
  </si>
  <si>
    <t>AAND FAMILY SERVICES PASSED THROUGH</t>
  </si>
  <si>
    <t>IL DEP OF HEALTHCARE AND FAMILY SERVICES</t>
  </si>
  <si>
    <t>TOTAL US DEPARTMENT OF EDUCATION</t>
  </si>
  <si>
    <t>PASSED THROUGH OHIO &amp; WABASH REG VOC SYS</t>
  </si>
  <si>
    <t>TOTAL FEDERAL AWARDS</t>
  </si>
  <si>
    <t>Title IVA  Student Support &amp;Academic Enrichment</t>
  </si>
  <si>
    <r>
      <t xml:space="preserve">The accompanying Schedule of Expenditures of Federal Awards includes the federal grant activity of Harrisburg CUSD #3 and is presented on the om the Modfied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 xml:space="preserve">General-Purpose </t>
    </r>
    <r>
      <rPr>
        <sz val="9"/>
        <rFont val="Calibri"/>
        <family val="2"/>
        <scheme val="minor"/>
      </rPr>
      <t>financial statements.</t>
    </r>
  </si>
  <si>
    <t>Of the federal expenditures presented in the schedule, Harrisburg CUSD #3 provided federal awards to subrecipients as follows:</t>
  </si>
  <si>
    <t>NONE</t>
  </si>
  <si>
    <t>ADVERSE</t>
  </si>
  <si>
    <t xml:space="preserve">UNMODIFIED </t>
  </si>
  <si>
    <t>X</t>
  </si>
  <si>
    <t>10.555, 10.553, 10.559</t>
  </si>
  <si>
    <t>Child Nutrition Cluster</t>
  </si>
  <si>
    <t>84.101A</t>
  </si>
  <si>
    <t>Title I Low Income</t>
  </si>
  <si>
    <t>ED-General admin-Communication</t>
  </si>
  <si>
    <t>Aert Systems Inc</t>
  </si>
  <si>
    <t>MR-General admin-Insurance</t>
  </si>
  <si>
    <t>50-2300-300</t>
  </si>
  <si>
    <t>American Fidelity Assurance Company</t>
  </si>
  <si>
    <t>CP-Plant Services-Architecture</t>
  </si>
  <si>
    <t>60-2540-300</t>
  </si>
  <si>
    <t>Baysinger Architects LLC</t>
  </si>
  <si>
    <t>ED-Gen Admin-Security</t>
  </si>
  <si>
    <t>Maxitrol Security Systems</t>
  </si>
  <si>
    <t xml:space="preserve">         the debt service fund and the capital projects fund and the AFR does not allow .</t>
  </si>
  <si>
    <t xml:space="preserve">         the payment of $270,000 in debt principal out of the capital project's fund be shown </t>
  </si>
  <si>
    <t xml:space="preserve">         correctly on the AFR.</t>
  </si>
  <si>
    <t>Harrisburg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</si>
</sst>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bottom style="thin">
        <color indexed="64"/>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9">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4" fillId="0" borderId="158" xfId="17" applyFont="1" applyBorder="1" applyAlignment="1" applyProtection="1">
      <alignment horizontal="left" vertical="top" wrapText="1"/>
      <protection locked="0"/>
    </xf>
    <xf numFmtId="49" fontId="4"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center"/>
      <protection locked="0"/>
    </xf>
    <xf numFmtId="3" fontId="63" fillId="0" borderId="8" xfId="3" applyNumberFormat="1" applyFont="1" applyBorder="1" applyAlignment="1" applyProtection="1">
      <alignment horizontal="left" vertical="center" wrapText="1"/>
      <protection locked="0"/>
    </xf>
    <xf numFmtId="3" fontId="63" fillId="0" borderId="166" xfId="3" applyNumberFormat="1" applyFont="1" applyBorder="1" applyAlignment="1" applyProtection="1">
      <alignment horizontal="left" vertical="center" wrapText="1"/>
      <protection locked="0"/>
    </xf>
    <xf numFmtId="169" fontId="63" fillId="0" borderId="166" xfId="3" applyNumberFormat="1" applyFont="1" applyBorder="1" applyAlignment="1" applyProtection="1">
      <alignment horizontal="center"/>
      <protection locked="0"/>
    </xf>
    <xf numFmtId="1" fontId="63" fillId="0" borderId="166"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left" vertical="center" wrapText="1"/>
      <protection locked="0"/>
    </xf>
    <xf numFmtId="169" fontId="63" fillId="0" borderId="168" xfId="3" applyNumberFormat="1" applyFont="1" applyBorder="1" applyAlignment="1" applyProtection="1">
      <alignment horizontal="center"/>
      <protection locked="0"/>
    </xf>
    <xf numFmtId="1" fontId="63" fillId="0" borderId="168"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0</xdr:row>
          <xdr:rowOff>38100</xdr:rowOff>
        </xdr:from>
        <xdr:to>
          <xdr:col>1</xdr:col>
          <xdr:colOff>1866900</xdr:colOff>
          <xdr:row>4</xdr:row>
          <xdr:rowOff>76200</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9525</xdr:rowOff>
        </xdr:from>
        <xdr:to>
          <xdr:col>1</xdr:col>
          <xdr:colOff>790575</xdr:colOff>
          <xdr:row>11</xdr:row>
          <xdr:rowOff>47625</xdr:rowOff>
        </xdr:to>
        <xdr:sp macro="" textlink="">
          <xdr:nvSpPr>
            <xdr:cNvPr id="51204" name="Object 4" hidden="1">
              <a:extLst>
                <a:ext uri="{63B3BB69-23CF-44E3-9099-C40C66FF867C}">
                  <a14:compatExt spid="_x0000_s5120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15" t="s">
        <v>425</v>
      </c>
      <c r="J1" s="2016"/>
      <c r="K1" s="2016"/>
      <c r="L1" s="2016"/>
      <c r="M1" s="2016"/>
      <c r="N1" s="2016"/>
      <c r="O1" s="2016"/>
      <c r="P1" s="2016"/>
      <c r="Q1" s="2016"/>
      <c r="R1" s="2016"/>
      <c r="S1" s="2016"/>
    </row>
    <row r="2" spans="1:28" ht="12" customHeight="1" x14ac:dyDescent="0.2">
      <c r="A2" s="47" t="s">
        <v>1683</v>
      </c>
      <c r="D2" s="48"/>
      <c r="I2" s="2017" t="s">
        <v>1036</v>
      </c>
      <c r="J2" s="2016"/>
      <c r="K2" s="2016"/>
      <c r="L2" s="2016"/>
      <c r="M2" s="2016"/>
      <c r="N2" s="2016"/>
      <c r="O2" s="2016"/>
      <c r="P2" s="2016"/>
      <c r="Q2" s="2016"/>
      <c r="R2" s="2016"/>
      <c r="S2" s="2016"/>
    </row>
    <row r="3" spans="1:28" ht="12" customHeight="1" x14ac:dyDescent="0.2">
      <c r="A3" s="155" t="s">
        <v>1684</v>
      </c>
      <c r="B3" s="156"/>
      <c r="C3" s="156"/>
      <c r="D3" s="157"/>
      <c r="I3" s="2017" t="s">
        <v>54</v>
      </c>
      <c r="J3" s="2016"/>
      <c r="K3" s="2016"/>
      <c r="L3" s="2016"/>
      <c r="M3" s="2016"/>
      <c r="N3" s="2016"/>
      <c r="O3" s="2016"/>
      <c r="P3" s="2016"/>
      <c r="Q3" s="2016"/>
      <c r="R3" s="2016"/>
      <c r="S3" s="2016"/>
    </row>
    <row r="4" spans="1:28" ht="12" customHeight="1" x14ac:dyDescent="0.2">
      <c r="A4" s="37"/>
      <c r="I4" s="2017" t="s">
        <v>545</v>
      </c>
      <c r="J4" s="2016"/>
      <c r="K4" s="2016"/>
      <c r="L4" s="2016"/>
      <c r="M4" s="2016"/>
      <c r="N4" s="2016"/>
      <c r="O4" s="2016"/>
      <c r="P4" s="2016"/>
      <c r="Q4" s="2016"/>
      <c r="R4" s="2016"/>
      <c r="S4" s="2016"/>
    </row>
    <row r="5" spans="1:28" ht="14.1" customHeight="1" x14ac:dyDescent="0.2">
      <c r="B5" s="104" t="s">
        <v>2153</v>
      </c>
      <c r="C5" s="26" t="s">
        <v>966</v>
      </c>
      <c r="D5" s="84"/>
      <c r="E5" s="84"/>
      <c r="H5" s="38"/>
      <c r="I5" s="2025" t="s">
        <v>701</v>
      </c>
      <c r="J5" s="2024"/>
      <c r="K5" s="2024"/>
      <c r="L5" s="2024"/>
      <c r="M5" s="2024"/>
      <c r="N5" s="2024"/>
      <c r="O5" s="2024"/>
      <c r="P5" s="2024"/>
      <c r="Q5" s="2024"/>
      <c r="R5" s="2024"/>
      <c r="S5" s="2024"/>
    </row>
    <row r="6" spans="1:28" ht="14.1" customHeight="1" x14ac:dyDescent="0.2">
      <c r="B6" s="104"/>
      <c r="C6" s="26" t="s">
        <v>967</v>
      </c>
      <c r="D6" s="84"/>
      <c r="E6" s="84"/>
      <c r="I6" s="2023" t="s">
        <v>938</v>
      </c>
      <c r="J6" s="2024"/>
      <c r="K6" s="2024"/>
      <c r="L6" s="2024"/>
      <c r="M6" s="2024"/>
      <c r="N6" s="2024"/>
      <c r="O6" s="2024"/>
      <c r="P6" s="2024"/>
      <c r="Q6" s="2024"/>
      <c r="R6" s="2024"/>
      <c r="S6" s="2024"/>
    </row>
    <row r="7" spans="1:28" ht="12.2"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695</v>
      </c>
      <c r="J9" s="2021"/>
      <c r="K9" s="2021"/>
      <c r="L9" s="2021"/>
      <c r="M9" s="2021"/>
      <c r="N9" s="2021"/>
      <c r="O9" s="2021"/>
      <c r="P9" s="2021"/>
      <c r="Q9" s="2021"/>
      <c r="R9" s="2021"/>
      <c r="S9" s="2022"/>
      <c r="T9" s="2036" t="s">
        <v>554</v>
      </c>
      <c r="U9" s="2037"/>
      <c r="V9" s="2037"/>
      <c r="W9" s="2037"/>
      <c r="X9" s="2037"/>
      <c r="Y9" s="2037"/>
      <c r="Z9" s="2037"/>
      <c r="AA9" s="2038"/>
    </row>
    <row r="10" spans="1:28" ht="13.5" customHeight="1" x14ac:dyDescent="0.2">
      <c r="A10" s="2043" t="s">
        <v>696</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1012</v>
      </c>
      <c r="B11" s="2047"/>
      <c r="C11" s="2047"/>
      <c r="D11" s="2047"/>
      <c r="E11" s="2047"/>
      <c r="F11" s="2047"/>
      <c r="G11" s="2047"/>
      <c r="H11" s="2048"/>
      <c r="I11" s="27"/>
      <c r="J11" s="74"/>
      <c r="K11" s="27"/>
      <c r="O11" s="148" t="s">
        <v>2153</v>
      </c>
      <c r="P11" s="100" t="s">
        <v>210</v>
      </c>
      <c r="Q11" s="30"/>
      <c r="R11" s="28"/>
      <c r="S11" s="27"/>
      <c r="T11" s="2040"/>
      <c r="U11" s="2041"/>
      <c r="V11" s="2041"/>
      <c r="W11" s="2041"/>
      <c r="X11" s="2041"/>
      <c r="Y11" s="2041"/>
      <c r="Z11" s="2041"/>
      <c r="AA11" s="204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0">
        <v>20083003026</v>
      </c>
      <c r="B13" s="2051"/>
      <c r="C13" s="2051"/>
      <c r="D13" s="2051"/>
      <c r="E13" s="2051"/>
      <c r="F13" s="2051"/>
      <c r="G13" s="2051"/>
      <c r="H13" s="2052"/>
      <c r="I13" s="31"/>
      <c r="J13" s="30"/>
      <c r="K13" s="28"/>
      <c r="L13" s="30"/>
      <c r="M13" s="30"/>
      <c r="N13" s="30"/>
      <c r="O13" s="30"/>
      <c r="P13" s="30"/>
      <c r="Q13" s="30"/>
      <c r="R13" s="30"/>
      <c r="S13" s="30"/>
      <c r="T13" s="2055" t="s">
        <v>2160</v>
      </c>
      <c r="U13" s="2056"/>
      <c r="V13" s="2056"/>
      <c r="W13" s="2056"/>
      <c r="X13" s="2056"/>
      <c r="Y13" s="2057"/>
      <c r="Z13" s="2057"/>
      <c r="AA13" s="2058"/>
    </row>
    <row r="14" spans="1:28" ht="14.1" customHeight="1" x14ac:dyDescent="0.2">
      <c r="A14" s="85" t="s">
        <v>737</v>
      </c>
      <c r="B14" s="76"/>
      <c r="C14" s="76"/>
      <c r="D14" s="76"/>
      <c r="E14" s="76"/>
      <c r="F14" s="76"/>
      <c r="G14" s="76"/>
      <c r="H14" s="53"/>
      <c r="I14" s="116"/>
      <c r="S14" s="48"/>
      <c r="T14" s="85" t="s">
        <v>1395</v>
      </c>
      <c r="U14" s="51"/>
      <c r="V14" s="51"/>
      <c r="W14" s="51"/>
      <c r="X14" s="51"/>
      <c r="Y14" s="45"/>
      <c r="Z14" s="45"/>
      <c r="AA14" s="46"/>
    </row>
    <row r="15" spans="1:28" ht="13.5" customHeight="1" x14ac:dyDescent="0.2">
      <c r="A15" s="2049" t="s">
        <v>2161</v>
      </c>
      <c r="B15" s="2053"/>
      <c r="C15" s="2053"/>
      <c r="D15" s="2053"/>
      <c r="E15" s="2053"/>
      <c r="F15" s="2053"/>
      <c r="G15" s="2053"/>
      <c r="H15" s="2054"/>
      <c r="T15" s="2059" t="s">
        <v>2162</v>
      </c>
      <c r="U15" s="2003"/>
      <c r="V15" s="2003"/>
      <c r="W15" s="2003"/>
      <c r="X15" s="2003"/>
      <c r="Y15" s="2060"/>
      <c r="Z15" s="2060"/>
      <c r="AA15" s="20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9" t="s">
        <v>2262</v>
      </c>
      <c r="B17" s="2010"/>
      <c r="C17" s="2010"/>
      <c r="D17" s="2010"/>
      <c r="E17" s="2010"/>
      <c r="F17" s="2010"/>
      <c r="G17" s="2010"/>
      <c r="H17" s="2035"/>
      <c r="T17" s="2066" t="s">
        <v>2163</v>
      </c>
      <c r="U17" s="2067"/>
      <c r="V17" s="2067"/>
      <c r="W17" s="2067"/>
      <c r="X17" s="2067"/>
      <c r="Y17" s="2067"/>
      <c r="Z17" s="2067"/>
      <c r="AA17" s="2068"/>
    </row>
    <row r="18" spans="1:27" ht="13.5" customHeight="1" x14ac:dyDescent="0.2">
      <c r="A18" s="85" t="s">
        <v>551</v>
      </c>
      <c r="B18" s="76"/>
      <c r="C18" s="72"/>
      <c r="D18" s="76"/>
      <c r="E18" s="76"/>
      <c r="F18" s="76"/>
      <c r="G18" s="76"/>
      <c r="H18" s="56"/>
      <c r="I18" s="2034" t="s">
        <v>697</v>
      </c>
      <c r="J18" s="1985"/>
      <c r="K18" s="1985"/>
      <c r="L18" s="1985"/>
      <c r="M18" s="1985"/>
      <c r="N18" s="1985"/>
      <c r="O18" s="1985"/>
      <c r="P18" s="1985"/>
      <c r="Q18" s="1985"/>
      <c r="R18" s="1985"/>
      <c r="S18" s="1986"/>
      <c r="T18" s="85" t="s">
        <v>735</v>
      </c>
      <c r="U18" s="51"/>
      <c r="V18" s="72"/>
      <c r="W18" s="50"/>
      <c r="X18" s="85" t="s">
        <v>284</v>
      </c>
      <c r="Y18" s="81"/>
      <c r="Z18" s="159" t="s">
        <v>698</v>
      </c>
      <c r="AA18" s="46"/>
    </row>
    <row r="19" spans="1:27" ht="13.5" customHeight="1" x14ac:dyDescent="0.2">
      <c r="A19" s="2049" t="s">
        <v>2166</v>
      </c>
      <c r="B19" s="1995"/>
      <c r="C19" s="1995"/>
      <c r="D19" s="1995"/>
      <c r="E19" s="1995"/>
      <c r="F19" s="1995"/>
      <c r="G19" s="1995"/>
      <c r="H19" s="1975"/>
      <c r="I19" s="30"/>
      <c r="J19" s="99"/>
      <c r="K19" s="40"/>
      <c r="L19" s="38"/>
      <c r="M19" s="112" t="s">
        <v>333</v>
      </c>
      <c r="P19" s="27"/>
      <c r="Q19" s="27"/>
      <c r="R19" s="27"/>
      <c r="S19" s="31"/>
      <c r="T19" s="2049" t="s">
        <v>2164</v>
      </c>
      <c r="U19" s="1974"/>
      <c r="V19" s="1974"/>
      <c r="W19" s="1975"/>
      <c r="X19" s="2064" t="s">
        <v>2165</v>
      </c>
      <c r="Y19" s="2065"/>
      <c r="Z19" s="2062">
        <v>62095</v>
      </c>
      <c r="AA19" s="20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3" t="s">
        <v>2167</v>
      </c>
      <c r="B21" s="1974"/>
      <c r="C21" s="1974"/>
      <c r="D21" s="1974"/>
      <c r="E21" s="1974"/>
      <c r="F21" s="1974"/>
      <c r="G21" s="1974"/>
      <c r="H21" s="1975"/>
      <c r="I21" s="2029" t="s">
        <v>699</v>
      </c>
      <c r="J21" s="2024"/>
      <c r="K21" s="2024"/>
      <c r="L21" s="2024"/>
      <c r="M21" s="2024"/>
      <c r="N21" s="2024"/>
      <c r="O21" s="2024"/>
      <c r="P21" s="2024"/>
      <c r="Q21" s="2024"/>
      <c r="R21" s="2024"/>
      <c r="S21" s="2030"/>
      <c r="T21" s="2073" t="s">
        <v>2168</v>
      </c>
      <c r="U21" s="2074"/>
      <c r="V21" s="2074"/>
      <c r="W21" s="2074"/>
      <c r="X21" s="2079" t="s">
        <v>2169</v>
      </c>
      <c r="Y21" s="2080"/>
      <c r="Z21" s="2080"/>
      <c r="AA21" s="2081"/>
    </row>
    <row r="22" spans="1:27" ht="13.5" customHeight="1" x14ac:dyDescent="0.2">
      <c r="A22" s="87" t="s">
        <v>552</v>
      </c>
      <c r="B22" s="59"/>
      <c r="C22" s="59"/>
      <c r="D22" s="59"/>
      <c r="E22" s="59"/>
      <c r="F22" s="59"/>
      <c r="G22" s="59"/>
      <c r="H22" s="60"/>
      <c r="I22" s="2031" t="s">
        <v>1503</v>
      </c>
      <c r="J22" s="2032"/>
      <c r="K22" s="2032"/>
      <c r="L22" s="2032"/>
      <c r="M22" s="2032"/>
      <c r="N22" s="2032"/>
      <c r="O22" s="2032"/>
      <c r="P22" s="2032"/>
      <c r="Q22" s="2032"/>
      <c r="R22" s="2032"/>
      <c r="S22" s="2033"/>
      <c r="T22" s="85" t="s">
        <v>1595</v>
      </c>
      <c r="U22" s="51"/>
      <c r="V22" s="72"/>
      <c r="W22" s="51"/>
      <c r="X22" s="160" t="s">
        <v>1384</v>
      </c>
      <c r="Z22" s="45"/>
      <c r="AA22" s="46"/>
    </row>
    <row r="23" spans="1:27" ht="13.5" customHeight="1" x14ac:dyDescent="0.2">
      <c r="A23" s="2026" t="s">
        <v>2170</v>
      </c>
      <c r="B23" s="2027"/>
      <c r="C23" s="2027"/>
      <c r="D23" s="2027"/>
      <c r="E23" s="2027"/>
      <c r="F23" s="2027"/>
      <c r="G23" s="2027"/>
      <c r="H23" s="2028"/>
      <c r="T23" s="2009">
        <v>60.009546999999998</v>
      </c>
      <c r="U23" s="2072"/>
      <c r="V23" s="2072"/>
      <c r="W23" s="2072"/>
      <c r="X23" s="2076">
        <v>43434</v>
      </c>
      <c r="Y23" s="2077"/>
      <c r="Z23" s="2077"/>
      <c r="AA23" s="2078"/>
    </row>
    <row r="24" spans="1:27" ht="14.1" customHeight="1" x14ac:dyDescent="0.2">
      <c r="A24" s="88" t="s">
        <v>698</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552</v>
      </c>
      <c r="U24" s="106"/>
      <c r="V24" s="106"/>
      <c r="W24" s="106"/>
      <c r="X24" s="107"/>
      <c r="Y24" s="107"/>
      <c r="Z24" s="107"/>
      <c r="AA24" s="108"/>
    </row>
    <row r="25" spans="1:27" ht="14.1" customHeight="1" x14ac:dyDescent="0.2">
      <c r="A25" s="1973">
        <v>62946</v>
      </c>
      <c r="B25" s="1974"/>
      <c r="C25" s="1974"/>
      <c r="D25" s="1974"/>
      <c r="E25" s="1974"/>
      <c r="F25" s="1974"/>
      <c r="G25" s="1974"/>
      <c r="H25" s="1975"/>
      <c r="I25" s="113"/>
      <c r="J25" s="1998"/>
      <c r="K25" s="1998"/>
      <c r="L25" s="1998"/>
      <c r="M25" s="1998"/>
      <c r="N25" s="1998"/>
      <c r="O25" s="1998"/>
      <c r="P25" s="1998"/>
      <c r="Q25" s="1998"/>
      <c r="R25" s="1998"/>
      <c r="S25" s="1999"/>
      <c r="T25" s="2069" t="s">
        <v>2171</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4" t="s">
        <v>1590</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1382</v>
      </c>
      <c r="G29" s="114"/>
      <c r="I29" s="54"/>
      <c r="J29" s="148" t="s">
        <v>2153</v>
      </c>
      <c r="K29" s="28" t="s">
        <v>597</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2153</v>
      </c>
      <c r="C30" s="124" t="s">
        <v>1226</v>
      </c>
      <c r="D30" s="28"/>
      <c r="E30" s="28"/>
      <c r="F30" s="140"/>
      <c r="G30" s="114"/>
      <c r="H30" s="114"/>
      <c r="I30" s="54"/>
      <c r="J30" s="148" t="s">
        <v>2153</v>
      </c>
      <c r="K30" s="28" t="s">
        <v>597</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2153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9" t="s">
        <v>2172</v>
      </c>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552</v>
      </c>
      <c r="B39" s="1980"/>
      <c r="C39" s="72"/>
      <c r="D39" s="69"/>
      <c r="E39" s="69"/>
      <c r="F39" s="79"/>
      <c r="G39" s="69"/>
      <c r="H39" s="56"/>
      <c r="I39" s="1979" t="s">
        <v>552</v>
      </c>
      <c r="J39" s="1980"/>
      <c r="K39" s="1980"/>
      <c r="L39" s="1980"/>
      <c r="M39" s="1980"/>
      <c r="N39" s="67"/>
      <c r="O39" s="72"/>
      <c r="P39" s="72"/>
      <c r="Q39" s="78"/>
      <c r="R39" s="72"/>
      <c r="S39" s="56"/>
      <c r="T39" s="72" t="s">
        <v>552</v>
      </c>
      <c r="U39" s="51"/>
      <c r="V39" s="72"/>
      <c r="W39" s="50"/>
      <c r="X39" s="78"/>
      <c r="Y39" s="45"/>
      <c r="Z39" s="45"/>
      <c r="AA39" s="46"/>
    </row>
    <row r="40" spans="1:27" ht="13.5" customHeight="1" x14ac:dyDescent="0.2">
      <c r="A40" s="1987" t="s">
        <v>2173</v>
      </c>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1" t="s">
        <v>2174</v>
      </c>
      <c r="B42" s="1993"/>
      <c r="C42" s="1994"/>
      <c r="D42" s="1992" t="s">
        <v>2175</v>
      </c>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&amp;C91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0" sqref="A20"/>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5" t="s">
        <v>1902</v>
      </c>
      <c r="B2" s="1550" t="s">
        <v>2032</v>
      </c>
      <c r="C2" s="715" t="s">
        <v>1907</v>
      </c>
      <c r="D2" s="715" t="s">
        <v>1908</v>
      </c>
      <c r="E2" s="715" t="s">
        <v>1909</v>
      </c>
      <c r="F2" s="715" t="s">
        <v>1910</v>
      </c>
    </row>
    <row r="3" spans="1:6" ht="12" customHeight="1" x14ac:dyDescent="0.2">
      <c r="A3" s="2216"/>
      <c r="B3" s="1547"/>
      <c r="C3" s="1548"/>
      <c r="D3" s="1549" t="s">
        <v>274</v>
      </c>
      <c r="E3" s="1548"/>
      <c r="F3" s="1549" t="s">
        <v>275</v>
      </c>
    </row>
    <row r="4" spans="1:6" ht="13.7" customHeight="1" x14ac:dyDescent="0.2">
      <c r="A4" s="716" t="s">
        <v>1217</v>
      </c>
      <c r="B4" s="1771">
        <f>'Revenues 9-14'!C5</f>
        <v>2590376</v>
      </c>
      <c r="C4" s="1546"/>
      <c r="D4" s="1774">
        <f>B4-C4</f>
        <v>2590376</v>
      </c>
      <c r="E4" s="1546">
        <v>2638363</v>
      </c>
      <c r="F4" s="1774">
        <f>E4-C4</f>
        <v>2638363</v>
      </c>
    </row>
    <row r="5" spans="1:6" ht="13.7" customHeight="1" x14ac:dyDescent="0.2">
      <c r="A5" s="716" t="s">
        <v>925</v>
      </c>
      <c r="B5" s="1772">
        <f>'Revenues 9-14'!D5</f>
        <v>647594</v>
      </c>
      <c r="C5" s="585"/>
      <c r="D5" s="1775">
        <f t="shared" ref="D5:D18" si="0">B5-C5</f>
        <v>647594</v>
      </c>
      <c r="E5" s="585">
        <v>659591</v>
      </c>
      <c r="F5" s="1775">
        <f>E5-C5</f>
        <v>659591</v>
      </c>
    </row>
    <row r="6" spans="1:6" ht="13.7" customHeight="1" x14ac:dyDescent="0.2">
      <c r="A6" s="716" t="s">
        <v>431</v>
      </c>
      <c r="B6" s="1772">
        <f>'Revenues 9-14'!E5</f>
        <v>1047175</v>
      </c>
      <c r="C6" s="585"/>
      <c r="D6" s="1775">
        <f t="shared" si="0"/>
        <v>1047175</v>
      </c>
      <c r="E6" s="585">
        <v>1066572</v>
      </c>
      <c r="F6" s="1775">
        <f t="shared" ref="F6:F18" si="1">E6-C6</f>
        <v>1066572</v>
      </c>
    </row>
    <row r="7" spans="1:6" ht="13.7" customHeight="1" x14ac:dyDescent="0.2">
      <c r="A7" s="716" t="s">
        <v>157</v>
      </c>
      <c r="B7" s="1772">
        <f>'Revenues 9-14'!F5</f>
        <v>259039</v>
      </c>
      <c r="C7" s="585"/>
      <c r="D7" s="1775">
        <f t="shared" si="0"/>
        <v>259039</v>
      </c>
      <c r="E7" s="585">
        <v>263836</v>
      </c>
      <c r="F7" s="1775">
        <f t="shared" si="1"/>
        <v>263836</v>
      </c>
    </row>
    <row r="8" spans="1:6" ht="13.7" customHeight="1" x14ac:dyDescent="0.2">
      <c r="A8" s="716" t="s">
        <v>1241</v>
      </c>
      <c r="B8" s="1772">
        <f>'Revenues 9-14'!G5</f>
        <v>304281</v>
      </c>
      <c r="C8" s="585"/>
      <c r="D8" s="1775">
        <f t="shared" si="0"/>
        <v>304281</v>
      </c>
      <c r="E8" s="585">
        <v>309915</v>
      </c>
      <c r="F8" s="1775">
        <f t="shared" si="1"/>
        <v>309915</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64761</v>
      </c>
      <c r="C10" s="585"/>
      <c r="D10" s="1775">
        <f t="shared" si="0"/>
        <v>64761</v>
      </c>
      <c r="E10" s="585">
        <v>65959</v>
      </c>
      <c r="F10" s="1775">
        <f t="shared" si="1"/>
        <v>65959</v>
      </c>
    </row>
    <row r="11" spans="1:6" x14ac:dyDescent="0.2">
      <c r="A11" s="716" t="s">
        <v>429</v>
      </c>
      <c r="B11" s="1772">
        <f>'Revenues 9-14'!J5</f>
        <v>532217</v>
      </c>
      <c r="C11" s="585"/>
      <c r="D11" s="1775">
        <f t="shared" si="0"/>
        <v>532217</v>
      </c>
      <c r="E11" s="585">
        <v>542078</v>
      </c>
      <c r="F11" s="1775">
        <f t="shared" si="1"/>
        <v>542078</v>
      </c>
    </row>
    <row r="12" spans="1:6" ht="13.7" customHeight="1" x14ac:dyDescent="0.2">
      <c r="A12" s="716" t="s">
        <v>159</v>
      </c>
      <c r="B12" s="1772">
        <f>'Revenues 9-14'!K5</f>
        <v>64761</v>
      </c>
      <c r="C12" s="585"/>
      <c r="D12" s="1775">
        <f t="shared" si="0"/>
        <v>64761</v>
      </c>
      <c r="E12" s="585">
        <v>65959</v>
      </c>
      <c r="F12" s="1775">
        <f t="shared" si="1"/>
        <v>65959</v>
      </c>
    </row>
    <row r="13" spans="1:6" ht="13.7" customHeight="1" x14ac:dyDescent="0.2">
      <c r="A13" s="716" t="s">
        <v>993</v>
      </c>
      <c r="B13" s="1772">
        <f>SUM('Revenues 9-14'!C6:D6)</f>
        <v>64761</v>
      </c>
      <c r="C13" s="585"/>
      <c r="D13" s="1775">
        <f t="shared" si="0"/>
        <v>64761</v>
      </c>
      <c r="E13" s="585">
        <v>65959</v>
      </c>
      <c r="F13" s="1775">
        <f t="shared" si="1"/>
        <v>65959</v>
      </c>
    </row>
    <row r="14" spans="1:6" ht="13.7" customHeight="1" x14ac:dyDescent="0.2">
      <c r="A14" s="716" t="s">
        <v>430</v>
      </c>
      <c r="B14" s="1772">
        <f>SUM('Revenues 9-14'!C7:D7,'Revenues 9-14'!F7:H7)</f>
        <v>51808</v>
      </c>
      <c r="C14" s="585"/>
      <c r="D14" s="1775">
        <f t="shared" si="0"/>
        <v>51808</v>
      </c>
      <c r="E14" s="585">
        <v>52767</v>
      </c>
      <c r="F14" s="1775">
        <f t="shared" si="1"/>
        <v>52767</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304281</v>
      </c>
      <c r="C16" s="585"/>
      <c r="D16" s="1775">
        <f t="shared" si="0"/>
        <v>304281</v>
      </c>
      <c r="E16" s="585">
        <v>309915</v>
      </c>
      <c r="F16" s="1775">
        <f t="shared" si="1"/>
        <v>309915</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v>952342</v>
      </c>
      <c r="F18" s="1775">
        <f t="shared" si="1"/>
        <v>952342</v>
      </c>
    </row>
    <row r="19" spans="1:6" ht="13.7" customHeight="1" thickBot="1" x14ac:dyDescent="0.25">
      <c r="A19" s="1776" t="s">
        <v>1223</v>
      </c>
      <c r="B19" s="1773">
        <f>SUM(B4:B18)</f>
        <v>5931054</v>
      </c>
      <c r="C19" s="1773">
        <f>SUM(C4:C18)</f>
        <v>0</v>
      </c>
      <c r="D19" s="1773">
        <f>SUM(D4:D18)</f>
        <v>5931054</v>
      </c>
      <c r="E19" s="1773">
        <f>SUM(E4:E18)</f>
        <v>6993256</v>
      </c>
      <c r="F19" s="1773">
        <f>SUM(F4:F18)</f>
        <v>6993256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Footer>&amp;C65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G33" sqref="G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650</v>
      </c>
      <c r="B1" s="2235"/>
      <c r="C1" s="722"/>
    </row>
    <row r="2" spans="1:7" ht="33.75" x14ac:dyDescent="0.2">
      <c r="A2" s="2242" t="s">
        <v>1902</v>
      </c>
      <c r="B2" s="2243"/>
      <c r="C2" s="1907" t="s">
        <v>2033</v>
      </c>
      <c r="D2" s="724" t="s">
        <v>2040</v>
      </c>
      <c r="E2" s="724" t="s">
        <v>2041</v>
      </c>
      <c r="F2" s="1907" t="s">
        <v>2034</v>
      </c>
    </row>
    <row r="3" spans="1:7" ht="15.75" customHeight="1" x14ac:dyDescent="0.2">
      <c r="A3" s="2244" t="s">
        <v>1176</v>
      </c>
      <c r="B3" s="2245"/>
      <c r="C3" s="2238"/>
      <c r="D3" s="2239"/>
      <c r="E3" s="2239"/>
      <c r="F3" s="2240"/>
    </row>
    <row r="4" spans="1:7" ht="12.75" customHeight="1" thickBot="1" x14ac:dyDescent="0.25">
      <c r="A4" s="2232" t="s">
        <v>651</v>
      </c>
      <c r="B4" s="2233"/>
      <c r="C4" s="581"/>
      <c r="D4" s="581"/>
      <c r="E4" s="581"/>
      <c r="F4" s="1777">
        <f>SUM(C4+D4)-E4</f>
        <v>0</v>
      </c>
    </row>
    <row r="5" spans="1:7" ht="15.75" customHeight="1" thickTop="1" x14ac:dyDescent="0.2">
      <c r="A5" s="2236" t="s">
        <v>1172</v>
      </c>
      <c r="B5" s="2231"/>
      <c r="C5" s="2225"/>
      <c r="D5" s="2226"/>
      <c r="E5" s="2226"/>
      <c r="F5" s="2227"/>
    </row>
    <row r="6" spans="1:7" ht="12.75" customHeight="1" thickBot="1" x14ac:dyDescent="0.25">
      <c r="A6" s="725" t="s">
        <v>66</v>
      </c>
      <c r="B6" s="726"/>
      <c r="C6" s="727">
        <v>0</v>
      </c>
      <c r="D6" s="585">
        <v>1000000</v>
      </c>
      <c r="E6" s="727">
        <v>1000000</v>
      </c>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8" t="s">
        <v>652</v>
      </c>
      <c r="B15" s="2229"/>
      <c r="C15" s="1777">
        <f>SUM(C6:C14)</f>
        <v>0</v>
      </c>
      <c r="D15" s="1777">
        <f>SUM(D6:D14)</f>
        <v>1000000</v>
      </c>
      <c r="E15" s="1777">
        <f>SUM(E6:E14)</f>
        <v>1000000</v>
      </c>
      <c r="F15" s="1777">
        <f>SUM(F6:F14)</f>
        <v>0</v>
      </c>
      <c r="G15" s="552"/>
    </row>
    <row r="16" spans="1:7" s="202" customFormat="1" ht="15.75" customHeight="1" thickTop="1" x14ac:dyDescent="0.2">
      <c r="A16" s="2241" t="s">
        <v>1173</v>
      </c>
      <c r="B16" s="2231"/>
      <c r="C16" s="2225"/>
      <c r="D16" s="2226"/>
      <c r="E16" s="2226"/>
      <c r="F16" s="2227"/>
    </row>
    <row r="17" spans="1:11" ht="12.75" customHeight="1" thickBot="1" x14ac:dyDescent="0.25">
      <c r="A17" s="2223" t="s">
        <v>66</v>
      </c>
      <c r="B17" s="2224"/>
      <c r="C17" s="727"/>
      <c r="D17" s="585"/>
      <c r="E17" s="727"/>
      <c r="F17" s="1777">
        <f>SUM(C17+D17)-E17</f>
        <v>0</v>
      </c>
    </row>
    <row r="18" spans="1:11" ht="12.75" customHeight="1" thickTop="1" thickBot="1" x14ac:dyDescent="0.25">
      <c r="A18" s="2223" t="s">
        <v>6</v>
      </c>
      <c r="B18" s="2224"/>
      <c r="C18" s="727"/>
      <c r="D18" s="585"/>
      <c r="E18" s="727"/>
      <c r="F18" s="1777">
        <f>SUM(C18+D18)-E18</f>
        <v>0</v>
      </c>
    </row>
    <row r="19" spans="1:11" ht="12.75" customHeight="1" thickTop="1" thickBot="1" x14ac:dyDescent="0.25">
      <c r="A19" s="2223" t="s">
        <v>406</v>
      </c>
      <c r="B19" s="2224"/>
      <c r="C19" s="727"/>
      <c r="D19" s="585"/>
      <c r="E19" s="727"/>
      <c r="F19" s="1777">
        <f>SUM(C19+D19)-E19</f>
        <v>0</v>
      </c>
    </row>
    <row r="20" spans="1:11" ht="12.75" customHeight="1" thickTop="1" thickBot="1" x14ac:dyDescent="0.25">
      <c r="A20" s="2223" t="s">
        <v>468</v>
      </c>
      <c r="B20" s="2224"/>
      <c r="C20" s="727"/>
      <c r="D20" s="585"/>
      <c r="E20" s="727"/>
      <c r="F20" s="1777">
        <f>SUM(C20+D20)-E20</f>
        <v>0</v>
      </c>
    </row>
    <row r="21" spans="1:11" ht="14.25" thickTop="1" thickBot="1" x14ac:dyDescent="0.25">
      <c r="A21" s="2228" t="s">
        <v>653</v>
      </c>
      <c r="B21" s="2229"/>
      <c r="C21" s="1777">
        <f>SUM(C17:C20)</f>
        <v>0</v>
      </c>
      <c r="D21" s="1777">
        <f>SUM(D17:D20)</f>
        <v>0</v>
      </c>
      <c r="E21" s="1777">
        <f>SUM(E17:E20)</f>
        <v>0</v>
      </c>
      <c r="F21" s="1777">
        <f>SUM(F17:F20)</f>
        <v>0</v>
      </c>
      <c r="G21" s="552"/>
    </row>
    <row r="22" spans="1:11" ht="15.75" customHeight="1" thickTop="1" x14ac:dyDescent="0.2">
      <c r="A22" s="2230" t="s">
        <v>1174</v>
      </c>
      <c r="B22" s="2231"/>
      <c r="C22" s="2225"/>
      <c r="D22" s="2226"/>
      <c r="E22" s="2226"/>
      <c r="F22" s="2227"/>
    </row>
    <row r="23" spans="1:11" ht="13.5" thickBot="1" x14ac:dyDescent="0.25">
      <c r="A23" s="2232" t="s">
        <v>654</v>
      </c>
      <c r="B23" s="2233"/>
      <c r="C23" s="581"/>
      <c r="D23" s="581"/>
      <c r="E23" s="581"/>
      <c r="F23" s="1777">
        <f>SUM(C23+D23)-E23</f>
        <v>0</v>
      </c>
      <c r="G23" s="552"/>
    </row>
    <row r="24" spans="1:11" ht="15.75" customHeight="1" thickTop="1" x14ac:dyDescent="0.2">
      <c r="A24" s="2230" t="s">
        <v>1175</v>
      </c>
      <c r="B24" s="2231"/>
      <c r="C24" s="2225"/>
      <c r="D24" s="2226"/>
      <c r="E24" s="2226"/>
      <c r="F24" s="2227"/>
    </row>
    <row r="25" spans="1:11" ht="13.5" thickBot="1" x14ac:dyDescent="0.25">
      <c r="A25" s="2232" t="s">
        <v>655</v>
      </c>
      <c r="B25" s="2233"/>
      <c r="C25" s="581"/>
      <c r="D25" s="581"/>
      <c r="E25" s="581"/>
      <c r="F25" s="1777">
        <f>SUM(C25+D25)-E25</f>
        <v>0</v>
      </c>
      <c r="G25" s="552"/>
    </row>
    <row r="26" spans="1:11" ht="15.75" customHeight="1" thickTop="1" x14ac:dyDescent="0.2">
      <c r="A26" s="2236" t="s">
        <v>678</v>
      </c>
      <c r="B26" s="2231"/>
      <c r="C26" s="728"/>
      <c r="D26" s="728"/>
      <c r="E26" s="728"/>
      <c r="F26" s="729"/>
    </row>
    <row r="27" spans="1:11" ht="13.5" thickBot="1" x14ac:dyDescent="0.25">
      <c r="A27" s="2228" t="s">
        <v>1130</v>
      </c>
      <c r="B27" s="2229"/>
      <c r="C27" s="585"/>
      <c r="D27" s="585"/>
      <c r="E27" s="585"/>
      <c r="F27" s="1777">
        <f>SUM(C27+D27)-E27</f>
        <v>0</v>
      </c>
      <c r="G27" s="552"/>
    </row>
    <row r="28" spans="1:11" ht="7.5" customHeight="1" thickTop="1" x14ac:dyDescent="0.2">
      <c r="A28" s="594"/>
    </row>
    <row r="29" spans="1:11" ht="23.25" customHeight="1" x14ac:dyDescent="0.2">
      <c r="A29" s="2234" t="s">
        <v>603</v>
      </c>
      <c r="B29" s="2235"/>
      <c r="C29" s="730"/>
      <c r="D29" s="730"/>
      <c r="E29" s="730"/>
      <c r="F29" s="730"/>
      <c r="G29" s="730"/>
      <c r="H29" s="730"/>
      <c r="I29" s="730"/>
      <c r="J29" s="730"/>
    </row>
    <row r="30" spans="1:11" ht="33.75" x14ac:dyDescent="0.2">
      <c r="A30" s="1551" t="s">
        <v>1131</v>
      </c>
      <c r="B30" s="731" t="s">
        <v>1186</v>
      </c>
      <c r="C30" s="1908" t="s">
        <v>604</v>
      </c>
      <c r="D30" s="1908" t="s">
        <v>1771</v>
      </c>
      <c r="E30" s="1908" t="s">
        <v>2035</v>
      </c>
      <c r="F30" s="1908" t="s">
        <v>2036</v>
      </c>
      <c r="G30" s="1908" t="s">
        <v>2039</v>
      </c>
      <c r="H30" s="1908" t="s">
        <v>2037</v>
      </c>
      <c r="I30" s="1908" t="s">
        <v>2038</v>
      </c>
      <c r="J30" s="1909" t="s">
        <v>2</v>
      </c>
      <c r="K30" s="732"/>
    </row>
    <row r="31" spans="1:11" ht="12" customHeight="1" x14ac:dyDescent="0.2">
      <c r="A31" s="733" t="s">
        <v>2074</v>
      </c>
      <c r="B31" s="734">
        <v>39873</v>
      </c>
      <c r="C31" s="735">
        <v>1470000</v>
      </c>
      <c r="D31" s="736">
        <v>3</v>
      </c>
      <c r="E31" s="735">
        <v>1110000</v>
      </c>
      <c r="F31" s="735"/>
      <c r="G31" s="735"/>
      <c r="H31" s="735">
        <v>165000</v>
      </c>
      <c r="I31" s="1778">
        <f>((E31+F31)-H31)+G31</f>
        <v>945000</v>
      </c>
      <c r="J31" s="735">
        <v>866597</v>
      </c>
      <c r="K31" s="737"/>
    </row>
    <row r="32" spans="1:11" ht="12" customHeight="1" x14ac:dyDescent="0.2">
      <c r="A32" s="733" t="s">
        <v>2075</v>
      </c>
      <c r="B32" s="734">
        <v>40820</v>
      </c>
      <c r="C32" s="735">
        <v>5055000</v>
      </c>
      <c r="D32" s="736">
        <v>3</v>
      </c>
      <c r="E32" s="735">
        <v>5055000</v>
      </c>
      <c r="F32" s="735"/>
      <c r="G32" s="735"/>
      <c r="H32" s="735"/>
      <c r="I32" s="1778">
        <f>((E32+F32)-H32)+G32</f>
        <v>5055000</v>
      </c>
      <c r="J32" s="735">
        <v>5055000</v>
      </c>
      <c r="K32" s="737"/>
    </row>
    <row r="33" spans="1:11" ht="12" customHeight="1" x14ac:dyDescent="0.2">
      <c r="A33" s="733" t="s">
        <v>2076</v>
      </c>
      <c r="B33" s="734">
        <v>42475</v>
      </c>
      <c r="C33" s="735">
        <v>14540000</v>
      </c>
      <c r="D33" s="736">
        <v>3</v>
      </c>
      <c r="E33" s="735">
        <v>14275000</v>
      </c>
      <c r="F33" s="735"/>
      <c r="G33" s="735"/>
      <c r="H33" s="735">
        <v>270000</v>
      </c>
      <c r="I33" s="1778">
        <f t="shared" ref="I33:I48" si="1">((E33+F33)-H33)+G33</f>
        <v>14005000</v>
      </c>
      <c r="J33" s="735">
        <v>14005000</v>
      </c>
      <c r="K33" s="737"/>
    </row>
    <row r="34" spans="1:11" ht="12" customHeight="1" x14ac:dyDescent="0.2">
      <c r="A34" s="733" t="s">
        <v>2077</v>
      </c>
      <c r="B34" s="734">
        <v>42475</v>
      </c>
      <c r="C34" s="735">
        <v>7100000</v>
      </c>
      <c r="D34" s="736">
        <v>3</v>
      </c>
      <c r="E34" s="735">
        <v>6855000</v>
      </c>
      <c r="F34" s="735"/>
      <c r="G34" s="735"/>
      <c r="H34" s="735">
        <v>405000</v>
      </c>
      <c r="I34" s="1778">
        <f t="shared" si="1"/>
        <v>6450000</v>
      </c>
      <c r="J34" s="735">
        <v>6450000</v>
      </c>
      <c r="K34" s="738"/>
    </row>
    <row r="35" spans="1:11" ht="12" customHeight="1" x14ac:dyDescent="0.2">
      <c r="A35" s="733" t="s">
        <v>2078</v>
      </c>
      <c r="B35" s="734">
        <v>42217</v>
      </c>
      <c r="C35" s="739">
        <v>33755</v>
      </c>
      <c r="D35" s="736">
        <v>8</v>
      </c>
      <c r="E35" s="739">
        <v>18284</v>
      </c>
      <c r="F35" s="739"/>
      <c r="G35" s="739"/>
      <c r="H35" s="739">
        <v>8439</v>
      </c>
      <c r="I35" s="1778">
        <f t="shared" si="1"/>
        <v>9845</v>
      </c>
      <c r="J35" s="739">
        <v>9845</v>
      </c>
      <c r="K35" s="738"/>
    </row>
    <row r="36" spans="1:11" ht="12" customHeight="1" x14ac:dyDescent="0.2">
      <c r="A36" s="733" t="s">
        <v>2078</v>
      </c>
      <c r="B36" s="734">
        <v>42762</v>
      </c>
      <c r="C36" s="735">
        <v>12676</v>
      </c>
      <c r="D36" s="736">
        <v>8</v>
      </c>
      <c r="E36" s="735">
        <v>6691</v>
      </c>
      <c r="F36" s="735"/>
      <c r="G36" s="735"/>
      <c r="H36" s="735">
        <v>4226</v>
      </c>
      <c r="I36" s="1778">
        <f t="shared" si="1"/>
        <v>2465</v>
      </c>
      <c r="J36" s="735">
        <v>6691</v>
      </c>
      <c r="K36" s="740"/>
    </row>
    <row r="37" spans="1:11" ht="12" customHeight="1" x14ac:dyDescent="0.2">
      <c r="A37" s="733" t="s">
        <v>2078</v>
      </c>
      <c r="B37" s="734">
        <v>42964</v>
      </c>
      <c r="C37" s="467">
        <v>14127</v>
      </c>
      <c r="D37" s="741">
        <v>8</v>
      </c>
      <c r="E37" s="467"/>
      <c r="F37" s="467">
        <v>14127</v>
      </c>
      <c r="G37" s="467"/>
      <c r="H37" s="467">
        <v>2967</v>
      </c>
      <c r="I37" s="1778">
        <f t="shared" si="1"/>
        <v>11160</v>
      </c>
      <c r="J37" s="467">
        <v>11160</v>
      </c>
      <c r="K37" s="738"/>
    </row>
    <row r="38" spans="1:11" ht="12" customHeight="1" x14ac:dyDescent="0.2">
      <c r="A38" s="733" t="s">
        <v>2079</v>
      </c>
      <c r="B38" s="734">
        <v>41789</v>
      </c>
      <c r="C38" s="735">
        <v>19585</v>
      </c>
      <c r="D38" s="742">
        <v>9</v>
      </c>
      <c r="E38" s="743">
        <v>4010</v>
      </c>
      <c r="F38" s="743"/>
      <c r="G38" s="743"/>
      <c r="H38" s="743">
        <v>4010</v>
      </c>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28245143</v>
      </c>
      <c r="D49" s="746"/>
      <c r="E49" s="1778">
        <f t="shared" ref="E49:J49" si="2">SUM(E31:E48)</f>
        <v>27323985</v>
      </c>
      <c r="F49" s="1778">
        <f t="shared" si="2"/>
        <v>14127</v>
      </c>
      <c r="G49" s="1778">
        <f t="shared" si="2"/>
        <v>0</v>
      </c>
      <c r="H49" s="1778">
        <f t="shared" si="2"/>
        <v>859642</v>
      </c>
      <c r="I49" s="1778">
        <f t="shared" si="2"/>
        <v>26478470</v>
      </c>
      <c r="J49" s="1778">
        <f t="shared" si="2"/>
        <v>26404293</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 xml:space="preserve">&amp;C66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5"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52"/>
      <c r="I1" s="761"/>
      <c r="J1" s="433"/>
    </row>
    <row r="2" spans="1:11" ht="26.25" x14ac:dyDescent="0.2">
      <c r="A2" s="2265" t="s">
        <v>1775</v>
      </c>
      <c r="B2" s="2266"/>
      <c r="C2" s="2266"/>
      <c r="D2" s="2266"/>
      <c r="E2" s="2267"/>
      <c r="F2" s="762" t="s">
        <v>960</v>
      </c>
      <c r="G2" s="763" t="s">
        <v>1772</v>
      </c>
      <c r="H2" s="763" t="s">
        <v>430</v>
      </c>
      <c r="I2" s="763" t="s">
        <v>1220</v>
      </c>
      <c r="J2" s="763" t="s">
        <v>1916</v>
      </c>
      <c r="K2" s="763" t="s">
        <v>140</v>
      </c>
    </row>
    <row r="3" spans="1:11" x14ac:dyDescent="0.2">
      <c r="A3" s="2268" t="s">
        <v>1697</v>
      </c>
      <c r="B3" s="2269"/>
      <c r="C3" s="2269"/>
      <c r="D3" s="2269"/>
      <c r="E3" s="2270"/>
      <c r="F3" s="764"/>
      <c r="G3" s="765"/>
      <c r="H3" s="765"/>
      <c r="I3" s="765"/>
      <c r="J3" s="766"/>
      <c r="K3" s="766"/>
    </row>
    <row r="4" spans="1:11" x14ac:dyDescent="0.2">
      <c r="A4" s="2271" t="s">
        <v>387</v>
      </c>
      <c r="B4" s="2272"/>
      <c r="C4" s="2272"/>
      <c r="D4" s="2272"/>
      <c r="E4" s="2218"/>
      <c r="F4" s="767"/>
      <c r="G4" s="768"/>
      <c r="H4" s="769"/>
      <c r="I4" s="768"/>
      <c r="J4" s="770"/>
      <c r="K4" s="770"/>
    </row>
    <row r="5" spans="1:11" x14ac:dyDescent="0.2">
      <c r="A5" s="2249" t="s">
        <v>1129</v>
      </c>
      <c r="B5" s="2250"/>
      <c r="C5" s="2250"/>
      <c r="D5" s="2250"/>
      <c r="E5" s="2251"/>
      <c r="F5" s="771" t="s">
        <v>903</v>
      </c>
      <c r="G5" s="772"/>
      <c r="H5" s="765">
        <v>51808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963449</v>
      </c>
      <c r="K8" s="770"/>
    </row>
    <row r="9" spans="1:11" x14ac:dyDescent="0.2">
      <c r="A9" s="779" t="s">
        <v>140</v>
      </c>
      <c r="B9" s="780"/>
      <c r="C9" s="780"/>
      <c r="D9" s="780"/>
      <c r="E9" s="781"/>
      <c r="F9" s="778" t="s">
        <v>908</v>
      </c>
      <c r="G9" s="783"/>
      <c r="H9" s="772"/>
      <c r="I9" s="772"/>
      <c r="J9" s="782"/>
      <c r="K9" s="766">
        <v>27126</v>
      </c>
    </row>
    <row r="10" spans="1:11" x14ac:dyDescent="0.2">
      <c r="A10" s="2249" t="s">
        <v>1917</v>
      </c>
      <c r="B10" s="2250"/>
      <c r="C10" s="2250"/>
      <c r="D10" s="2250"/>
      <c r="E10" s="2252"/>
      <c r="F10" s="784" t="s">
        <v>917</v>
      </c>
      <c r="G10" s="783"/>
      <c r="H10" s="785"/>
      <c r="I10" s="765"/>
      <c r="J10" s="766"/>
      <c r="K10" s="766"/>
    </row>
    <row r="11" spans="1:11" x14ac:dyDescent="0.2">
      <c r="A11" s="2249" t="s">
        <v>162</v>
      </c>
      <c r="B11" s="2250"/>
      <c r="C11" s="2250"/>
      <c r="D11" s="2250"/>
      <c r="E11" s="2251"/>
      <c r="F11" s="771" t="s">
        <v>907</v>
      </c>
      <c r="G11" s="772"/>
      <c r="H11" s="765"/>
      <c r="I11" s="765"/>
      <c r="J11" s="766"/>
      <c r="K11" s="774"/>
    </row>
    <row r="12" spans="1:11" ht="13.5" thickBot="1" x14ac:dyDescent="0.25">
      <c r="A12" s="2276" t="s">
        <v>961</v>
      </c>
      <c r="B12" s="2277"/>
      <c r="C12" s="2277"/>
      <c r="D12" s="2277"/>
      <c r="E12" s="2278"/>
      <c r="F12" s="1779"/>
      <c r="G12" s="1780">
        <f>SUM(G5:G11)</f>
        <v>0</v>
      </c>
      <c r="H12" s="1780">
        <f>SUM(H5:H11)</f>
        <v>51808</v>
      </c>
      <c r="I12" s="1780">
        <f>SUM(I5:I11)</f>
        <v>0</v>
      </c>
      <c r="J12" s="1780">
        <f>SUM(J5:J11)</f>
        <v>963449</v>
      </c>
      <c r="K12" s="1780">
        <f>SUM(K5:K11)</f>
        <v>27126</v>
      </c>
    </row>
    <row r="13" spans="1:11" ht="13.5" thickTop="1" x14ac:dyDescent="0.2">
      <c r="A13" s="2273" t="s">
        <v>388</v>
      </c>
      <c r="B13" s="2274"/>
      <c r="C13" s="2274"/>
      <c r="D13" s="2274"/>
      <c r="E13" s="2275"/>
      <c r="F13" s="786"/>
      <c r="G13" s="787"/>
      <c r="H13" s="788"/>
      <c r="I13" s="789"/>
      <c r="J13" s="789"/>
      <c r="K13" s="789"/>
    </row>
    <row r="14" spans="1:11" x14ac:dyDescent="0.2">
      <c r="A14" s="2256" t="s">
        <v>476</v>
      </c>
      <c r="B14" s="2256"/>
      <c r="C14" s="2256"/>
      <c r="D14" s="2256"/>
      <c r="E14" s="2257"/>
      <c r="F14" s="790" t="s">
        <v>909</v>
      </c>
      <c r="G14" s="783"/>
      <c r="H14" s="765">
        <v>51808</v>
      </c>
      <c r="I14" s="772"/>
      <c r="J14" s="774"/>
      <c r="K14" s="766">
        <v>27126</v>
      </c>
    </row>
    <row r="15" spans="1:11" x14ac:dyDescent="0.2">
      <c r="A15" s="2250" t="s">
        <v>4</v>
      </c>
      <c r="B15" s="2250"/>
      <c r="C15" s="2250"/>
      <c r="D15" s="2250"/>
      <c r="E15" s="2251"/>
      <c r="F15" s="790" t="s">
        <v>910</v>
      </c>
      <c r="G15" s="772"/>
      <c r="H15" s="765"/>
      <c r="I15" s="765"/>
      <c r="J15" s="766">
        <v>963449</v>
      </c>
      <c r="K15" s="766"/>
    </row>
    <row r="16" spans="1:11" x14ac:dyDescent="0.2">
      <c r="A16" s="2250" t="s">
        <v>316</v>
      </c>
      <c r="B16" s="2250"/>
      <c r="C16" s="2250"/>
      <c r="D16" s="2250"/>
      <c r="E16" s="2251"/>
      <c r="F16" s="790" t="s">
        <v>980</v>
      </c>
      <c r="G16" s="773"/>
      <c r="H16" s="768"/>
      <c r="I16" s="768"/>
      <c r="J16" s="770"/>
      <c r="K16" s="770"/>
    </row>
    <row r="17" spans="1:11" x14ac:dyDescent="0.2">
      <c r="A17" s="2281" t="s">
        <v>992</v>
      </c>
      <c r="B17" s="2281"/>
      <c r="C17" s="2281"/>
      <c r="D17" s="2281"/>
      <c r="E17" s="2282"/>
      <c r="F17" s="791"/>
      <c r="G17" s="792"/>
      <c r="H17" s="793"/>
      <c r="I17" s="793"/>
      <c r="J17" s="794"/>
      <c r="K17" s="795"/>
    </row>
    <row r="18" spans="1:11" x14ac:dyDescent="0.2">
      <c r="A18" s="2260" t="s">
        <v>386</v>
      </c>
      <c r="B18" s="2261"/>
      <c r="C18" s="2261"/>
      <c r="D18" s="2261"/>
      <c r="E18" s="2262"/>
      <c r="F18" s="790" t="s">
        <v>989</v>
      </c>
      <c r="G18" s="783"/>
      <c r="H18" s="783"/>
      <c r="I18" s="783"/>
      <c r="J18" s="766"/>
      <c r="K18" s="796"/>
    </row>
    <row r="19" spans="1:11" ht="21.75" customHeight="1" x14ac:dyDescent="0.2">
      <c r="A19" s="2258" t="s">
        <v>1913</v>
      </c>
      <c r="B19" s="2258"/>
      <c r="C19" s="2258"/>
      <c r="D19" s="2258"/>
      <c r="E19" s="2259"/>
      <c r="F19" s="790" t="s">
        <v>990</v>
      </c>
      <c r="G19" s="783"/>
      <c r="H19" s="783"/>
      <c r="I19" s="783"/>
      <c r="J19" s="766"/>
      <c r="K19" s="796"/>
    </row>
    <row r="20" spans="1:11" x14ac:dyDescent="0.2">
      <c r="A20" s="2260" t="s">
        <v>1918</v>
      </c>
      <c r="B20" s="2261"/>
      <c r="C20" s="2261"/>
      <c r="D20" s="2261"/>
      <c r="E20" s="2262"/>
      <c r="F20" s="790" t="s">
        <v>991</v>
      </c>
      <c r="G20" s="783"/>
      <c r="H20" s="783"/>
      <c r="I20" s="783"/>
      <c r="J20" s="766"/>
      <c r="K20" s="796"/>
    </row>
    <row r="21" spans="1:11" ht="13.5" thickBot="1" x14ac:dyDescent="0.25">
      <c r="A21" s="2279" t="s">
        <v>659</v>
      </c>
      <c r="B21" s="2279"/>
      <c r="C21" s="2279"/>
      <c r="D21" s="2279"/>
      <c r="E21" s="2279"/>
      <c r="F21" s="1781"/>
      <c r="G21" s="793"/>
      <c r="H21" s="797"/>
      <c r="I21" s="797"/>
      <c r="J21" s="1782">
        <f>SUM(J18:J20)</f>
        <v>0</v>
      </c>
      <c r="K21" s="794"/>
    </row>
    <row r="22" spans="1:11" ht="13.5" thickTop="1" x14ac:dyDescent="0.2">
      <c r="A22" s="2250" t="s">
        <v>1919</v>
      </c>
      <c r="B22" s="2250"/>
      <c r="C22" s="2250"/>
      <c r="D22" s="2250"/>
      <c r="E22" s="2251"/>
      <c r="F22" s="790" t="s">
        <v>917</v>
      </c>
      <c r="G22" s="783"/>
      <c r="H22" s="765"/>
      <c r="I22" s="765"/>
      <c r="J22" s="798"/>
      <c r="K22" s="766"/>
    </row>
    <row r="23" spans="1:11" ht="13.5" thickBot="1" x14ac:dyDescent="0.25">
      <c r="A23" s="2280" t="s">
        <v>962</v>
      </c>
      <c r="B23" s="2279"/>
      <c r="C23" s="2279"/>
      <c r="D23" s="2279"/>
      <c r="E23" s="2279"/>
      <c r="F23" s="1783"/>
      <c r="G23" s="1780">
        <f>SUM(G14:G16,G21,G22)</f>
        <v>0</v>
      </c>
      <c r="H23" s="1780">
        <f>SUM(H14:H16,H21,H22)</f>
        <v>51808</v>
      </c>
      <c r="I23" s="1780">
        <f>SUM(I14:I16,I21,I22)</f>
        <v>0</v>
      </c>
      <c r="J23" s="1780">
        <f>SUM(J14:J16,J21,J22)</f>
        <v>963449</v>
      </c>
      <c r="K23" s="1780">
        <f>SUM(K14:K16,K21,K22)</f>
        <v>27126</v>
      </c>
    </row>
    <row r="24" spans="1:11" ht="14.25" thickTop="1" thickBot="1" x14ac:dyDescent="0.25">
      <c r="A24" s="2280" t="s">
        <v>2021</v>
      </c>
      <c r="B24" s="2279"/>
      <c r="C24" s="2279"/>
      <c r="D24" s="2279"/>
      <c r="E24" s="2279"/>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3" t="s">
        <v>2031</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2153</v>
      </c>
      <c r="E30" s="809" t="s">
        <v>792</v>
      </c>
      <c r="F30" s="202"/>
      <c r="G30" s="806"/>
    </row>
    <row r="31" spans="1:11" x14ac:dyDescent="0.2">
      <c r="A31" s="810"/>
      <c r="D31" s="237"/>
      <c r="E31" s="811" t="s">
        <v>793</v>
      </c>
      <c r="F31" s="812" t="s">
        <v>560</v>
      </c>
      <c r="G31" s="765"/>
      <c r="H31" s="2253"/>
      <c r="I31" s="2254"/>
      <c r="J31" s="2254"/>
      <c r="K31" s="2254"/>
    </row>
    <row r="32" spans="1:11" x14ac:dyDescent="0.2">
      <c r="A32" s="810"/>
      <c r="B32" s="237"/>
      <c r="C32" s="237"/>
      <c r="D32" s="237"/>
      <c r="E32" s="806"/>
      <c r="F32" s="812" t="s">
        <v>561</v>
      </c>
      <c r="G32" s="765"/>
      <c r="H32" s="2255"/>
      <c r="I32" s="2254"/>
      <c r="J32" s="2254"/>
      <c r="K32" s="2254"/>
    </row>
    <row r="33" spans="1:11" ht="1.5" customHeight="1" x14ac:dyDescent="0.2">
      <c r="A33" s="813" t="s">
        <v>1231</v>
      </c>
      <c r="B33" s="364"/>
      <c r="C33" s="364"/>
      <c r="D33" s="364"/>
      <c r="E33" s="364"/>
      <c r="F33" s="364"/>
      <c r="G33" s="814"/>
      <c r="H33" s="2255"/>
      <c r="I33" s="2254"/>
      <c r="J33" s="2254"/>
      <c r="K33" s="2254"/>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0" t="s">
        <v>562</v>
      </c>
      <c r="B41" s="2263"/>
      <c r="C41" s="2263"/>
      <c r="D41" s="2263"/>
      <c r="E41" s="2263"/>
      <c r="F41" s="226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1773</v>
      </c>
    </row>
    <row r="47" spans="1:11" s="824" customFormat="1" ht="12.75" customHeight="1" x14ac:dyDescent="0.2">
      <c r="A47" s="822"/>
      <c r="B47" s="823" t="s">
        <v>1774</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2030</v>
      </c>
      <c r="B1" s="2286"/>
      <c r="C1" s="2287"/>
      <c r="D1" s="827"/>
      <c r="E1" s="828"/>
      <c r="F1" s="828"/>
      <c r="G1" s="829"/>
      <c r="H1" s="830"/>
      <c r="I1" s="831"/>
      <c r="J1" s="2283"/>
      <c r="K1" s="2284"/>
      <c r="L1" s="2284"/>
    </row>
    <row r="2" spans="1:14" ht="69.75" customHeight="1" x14ac:dyDescent="0.2">
      <c r="A2" s="832" t="s">
        <v>1776</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1726560</v>
      </c>
      <c r="D5" s="842"/>
      <c r="E5" s="842"/>
      <c r="F5" s="1782">
        <f>(C5+D5)-E5</f>
        <v>1726560</v>
      </c>
      <c r="G5" s="838"/>
      <c r="H5" s="843"/>
      <c r="I5" s="843"/>
      <c r="J5" s="843"/>
      <c r="K5" s="794"/>
      <c r="L5" s="1791">
        <f>F5-K5</f>
        <v>1726560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29327858</v>
      </c>
      <c r="D8" s="845">
        <v>51025</v>
      </c>
      <c r="E8" s="845"/>
      <c r="F8" s="1782">
        <f>(C8+D8)-E8</f>
        <v>29378883</v>
      </c>
      <c r="G8" s="844">
        <v>50</v>
      </c>
      <c r="H8" s="766">
        <v>12045261</v>
      </c>
      <c r="I8" s="766">
        <v>549354</v>
      </c>
      <c r="J8" s="766"/>
      <c r="K8" s="1791">
        <f>(H8+I8)-J8</f>
        <v>12594615</v>
      </c>
      <c r="L8" s="1791">
        <f>F8-K8</f>
        <v>16784268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1230775</v>
      </c>
      <c r="D10" s="847">
        <v>6211</v>
      </c>
      <c r="E10" s="847"/>
      <c r="F10" s="1786">
        <f>(C10+D10)-E10</f>
        <v>1236986</v>
      </c>
      <c r="G10" s="844">
        <v>20</v>
      </c>
      <c r="H10" s="848">
        <v>867351</v>
      </c>
      <c r="I10" s="848">
        <v>54649</v>
      </c>
      <c r="J10" s="848"/>
      <c r="K10" s="1791">
        <f>(H10+I10)-J10</f>
        <v>922000</v>
      </c>
      <c r="L10" s="1791">
        <f>F10-K10</f>
        <v>314986</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1891173</v>
      </c>
      <c r="D12" s="845">
        <v>5974</v>
      </c>
      <c r="E12" s="845"/>
      <c r="F12" s="1782">
        <f>(C12+D12)-E12</f>
        <v>1897147</v>
      </c>
      <c r="G12" s="844">
        <v>10</v>
      </c>
      <c r="H12" s="766">
        <v>1548333</v>
      </c>
      <c r="I12" s="766">
        <v>98157</v>
      </c>
      <c r="J12" s="766"/>
      <c r="K12" s="1791">
        <f>(H12+I12)-J12</f>
        <v>1646490</v>
      </c>
      <c r="L12" s="1791">
        <f>F12-K12</f>
        <v>250657</v>
      </c>
    </row>
    <row r="13" spans="1:14" ht="14.25" thickTop="1" thickBot="1" x14ac:dyDescent="0.25">
      <c r="A13" s="849" t="s">
        <v>1184</v>
      </c>
      <c r="B13" s="841">
        <v>252</v>
      </c>
      <c r="C13" s="845">
        <v>422199</v>
      </c>
      <c r="D13" s="845">
        <v>67012</v>
      </c>
      <c r="E13" s="845"/>
      <c r="F13" s="1782">
        <f>(C13+D13)-E13</f>
        <v>489211</v>
      </c>
      <c r="G13" s="844">
        <v>5</v>
      </c>
      <c r="H13" s="766">
        <v>286156</v>
      </c>
      <c r="I13" s="766">
        <v>50978</v>
      </c>
      <c r="J13" s="766"/>
      <c r="K13" s="1791">
        <f>(H13+I13)-J13</f>
        <v>337134</v>
      </c>
      <c r="L13" s="1791">
        <f>F13-K13</f>
        <v>152077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13392670</v>
      </c>
      <c r="D15" s="845">
        <v>8789006</v>
      </c>
      <c r="E15" s="845"/>
      <c r="F15" s="1782">
        <f>(C15+D15)-E15</f>
        <v>22181676</v>
      </c>
      <c r="G15" s="850" t="s">
        <v>917</v>
      </c>
      <c r="H15" s="782"/>
      <c r="I15" s="782"/>
      <c r="J15" s="782"/>
      <c r="K15" s="782"/>
      <c r="L15" s="1791">
        <f>F15-K15</f>
        <v>22181676</v>
      </c>
    </row>
    <row r="16" spans="1:14" ht="15" customHeight="1" thickTop="1" thickBot="1" x14ac:dyDescent="0.25">
      <c r="A16" s="1787" t="s">
        <v>664</v>
      </c>
      <c r="B16" s="1788">
        <v>200</v>
      </c>
      <c r="C16" s="1782">
        <f>SUM(C3,C5:C6,C8:C10,C12:C15)</f>
        <v>47991235</v>
      </c>
      <c r="D16" s="1782">
        <f>SUM(D3,D5:D6,D8:D10,D12:D15)</f>
        <v>8919228</v>
      </c>
      <c r="E16" s="1782">
        <f>SUM(E3,E5:E6,E8:E10,E12:E15)</f>
        <v>0</v>
      </c>
      <c r="F16" s="1782">
        <f>SUM(F3,F5:F6,F8:F10,F12:F15)</f>
        <v>56910463</v>
      </c>
      <c r="G16" s="844"/>
      <c r="H16" s="1782">
        <f>SUM(H3,H6,H8:H10,H12:H14,)</f>
        <v>14747101</v>
      </c>
      <c r="I16" s="1782">
        <f>SUM(I3,I6,I8:I10,I12:I14,)</f>
        <v>753138</v>
      </c>
      <c r="J16" s="1782">
        <f>SUM(J3,J6,J8:J10,J12:J14,)</f>
        <v>0</v>
      </c>
      <c r="K16" s="1782">
        <f>(H16+I16)-J16</f>
        <v>15500239</v>
      </c>
      <c r="L16" s="1782">
        <f>F16-K16</f>
        <v>41410224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753138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1698</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1543</v>
      </c>
      <c r="C8" s="872"/>
      <c r="D8" s="870" t="s">
        <v>522</v>
      </c>
      <c r="E8" s="869" t="s">
        <v>1015</v>
      </c>
      <c r="F8" s="1932">
        <f>'Expenditures 15-22'!K114</f>
        <v>15478696</v>
      </c>
      <c r="G8" s="866"/>
    </row>
    <row r="9" spans="1:7" x14ac:dyDescent="0.2">
      <c r="A9" s="870" t="s">
        <v>480</v>
      </c>
      <c r="B9" s="871" t="s">
        <v>1985</v>
      </c>
      <c r="C9" s="872"/>
      <c r="D9" s="870" t="s">
        <v>522</v>
      </c>
      <c r="E9" s="869"/>
      <c r="F9" s="1933">
        <f>'Expenditures 15-22'!K151</f>
        <v>794438</v>
      </c>
      <c r="G9" s="873"/>
    </row>
    <row r="10" spans="1:7" x14ac:dyDescent="0.2">
      <c r="A10" s="870" t="s">
        <v>520</v>
      </c>
      <c r="B10" s="871" t="s">
        <v>1986</v>
      </c>
      <c r="C10" s="872"/>
      <c r="D10" s="870" t="s">
        <v>522</v>
      </c>
      <c r="E10" s="869"/>
      <c r="F10" s="1933">
        <f>'Expenditures 15-22'!K174</f>
        <v>1070758</v>
      </c>
      <c r="G10" s="873"/>
    </row>
    <row r="11" spans="1:7" x14ac:dyDescent="0.2">
      <c r="A11" s="870" t="s">
        <v>481</v>
      </c>
      <c r="B11" s="871" t="s">
        <v>1987</v>
      </c>
      <c r="C11" s="872"/>
      <c r="D11" s="870" t="s">
        <v>522</v>
      </c>
      <c r="E11" s="869"/>
      <c r="F11" s="1933">
        <f>'Expenditures 15-22'!K210</f>
        <v>1077853</v>
      </c>
      <c r="G11" s="873"/>
    </row>
    <row r="12" spans="1:7" x14ac:dyDescent="0.2">
      <c r="A12" s="870" t="s">
        <v>482</v>
      </c>
      <c r="B12" s="871" t="s">
        <v>1988</v>
      </c>
      <c r="C12" s="872"/>
      <c r="D12" s="870" t="s">
        <v>522</v>
      </c>
      <c r="E12" s="869"/>
      <c r="F12" s="1933">
        <f>'Expenditures 15-22'!K295</f>
        <v>588882</v>
      </c>
      <c r="G12" s="873"/>
    </row>
    <row r="13" spans="1:7" x14ac:dyDescent="0.2">
      <c r="A13" s="870" t="s">
        <v>108</v>
      </c>
      <c r="B13" s="871" t="s">
        <v>1989</v>
      </c>
      <c r="C13" s="872"/>
      <c r="D13" s="870" t="s">
        <v>522</v>
      </c>
      <c r="E13" s="869"/>
      <c r="F13" s="1933">
        <f>'Expenditures 15-22'!K342</f>
        <v>465604</v>
      </c>
      <c r="G13" s="874"/>
    </row>
    <row r="14" spans="1:7" ht="12" customHeight="1" thickBot="1" x14ac:dyDescent="0.25">
      <c r="A14" s="1792"/>
      <c r="B14" s="1793"/>
      <c r="C14" s="1794"/>
      <c r="D14" s="1795" t="s">
        <v>522</v>
      </c>
      <c r="E14" s="1796" t="s">
        <v>1015</v>
      </c>
      <c r="F14" s="1797">
        <f>SUM(F8:F13)</f>
        <v>19476231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1682</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1544</v>
      </c>
      <c r="C34" s="887" t="str">
        <f>'Expenditures 15-22'!B7</f>
        <v>1125</v>
      </c>
      <c r="D34" s="888" t="str">
        <f>'Expenditures 15-22'!A7</f>
        <v>Pre-K Programs</v>
      </c>
      <c r="E34" s="869"/>
      <c r="F34" s="1937">
        <f>'Expenditures 15-22'!K7-SUM('Expenditures 15-22'!G7,'Expenditures 15-22'!I7)</f>
        <v>333589</v>
      </c>
      <c r="G34" s="866"/>
    </row>
    <row r="35" spans="1:7" x14ac:dyDescent="0.2">
      <c r="A35" s="870" t="s">
        <v>479</v>
      </c>
      <c r="B35" s="870" t="s">
        <v>1545</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1546</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1547</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1548</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1549</v>
      </c>
      <c r="C52" s="890" t="str">
        <f>'Expenditures 15-22'!B75</f>
        <v>3000</v>
      </c>
      <c r="D52" s="889" t="s">
        <v>469</v>
      </c>
      <c r="E52" s="869"/>
      <c r="F52" s="1937">
        <f>'Expenditures 15-22'!K75-SUM('Expenditures 15-22'!G75,'Expenditures 15-22'!I75)</f>
        <v>83402</v>
      </c>
      <c r="G52" s="866"/>
    </row>
    <row r="53" spans="1:7" x14ac:dyDescent="0.2">
      <c r="A53" s="870" t="s">
        <v>479</v>
      </c>
      <c r="B53" s="870" t="s">
        <v>1550</v>
      </c>
      <c r="C53" s="890">
        <f>'Expenditures 15-22'!B102</f>
        <v>4000</v>
      </c>
      <c r="D53" s="889" t="str">
        <f>'Expenditures 15-22'!A102</f>
        <v>Total Payments to Other Govt Units</v>
      </c>
      <c r="E53" s="869"/>
      <c r="F53" s="1937">
        <f>'Expenditures 15-22'!K102</f>
        <v>638049</v>
      </c>
      <c r="G53" s="866"/>
    </row>
    <row r="54" spans="1:7" x14ac:dyDescent="0.2">
      <c r="A54" s="870" t="s">
        <v>479</v>
      </c>
      <c r="B54" s="870" t="s">
        <v>1551</v>
      </c>
      <c r="C54" s="890" t="s">
        <v>1039</v>
      </c>
      <c r="D54" s="886" t="s">
        <v>1157</v>
      </c>
      <c r="E54" s="869"/>
      <c r="F54" s="1937">
        <f>'Expenditures 15-22'!G114</f>
        <v>85753</v>
      </c>
      <c r="G54" s="866"/>
    </row>
    <row r="55" spans="1:7" x14ac:dyDescent="0.2">
      <c r="A55" s="870" t="s">
        <v>479</v>
      </c>
      <c r="B55" s="870" t="s">
        <v>1552</v>
      </c>
      <c r="C55" s="890" t="s">
        <v>1039</v>
      </c>
      <c r="D55" s="886" t="s">
        <v>309</v>
      </c>
      <c r="E55" s="869"/>
      <c r="F55" s="1937">
        <f>'Expenditures 15-22'!I114</f>
        <v>0</v>
      </c>
      <c r="G55" s="866"/>
    </row>
    <row r="56" spans="1:7" x14ac:dyDescent="0.2">
      <c r="A56" s="870" t="s">
        <v>480</v>
      </c>
      <c r="B56" s="870" t="s">
        <v>1553</v>
      </c>
      <c r="C56" s="887" t="str">
        <f>'Expenditures 15-22'!B130</f>
        <v>3000</v>
      </c>
      <c r="D56" s="893" t="s">
        <v>469</v>
      </c>
      <c r="E56" s="869"/>
      <c r="F56" s="1937">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7">
        <f>'Expenditures 15-22'!K139</f>
        <v>0</v>
      </c>
      <c r="G57" s="866"/>
    </row>
    <row r="58" spans="1:7" x14ac:dyDescent="0.2">
      <c r="A58" s="870" t="s">
        <v>480</v>
      </c>
      <c r="B58" s="870" t="s">
        <v>1991</v>
      </c>
      <c r="C58" s="887" t="s">
        <v>1039</v>
      </c>
      <c r="D58" s="886" t="s">
        <v>1157</v>
      </c>
      <c r="E58" s="869"/>
      <c r="F58" s="1939">
        <f>'Expenditures 15-22'!G151</f>
        <v>14396</v>
      </c>
      <c r="G58" s="866"/>
    </row>
    <row r="59" spans="1:7" x14ac:dyDescent="0.2">
      <c r="A59" s="894" t="s">
        <v>480</v>
      </c>
      <c r="B59" s="857" t="s">
        <v>1992</v>
      </c>
      <c r="C59" s="895" t="s">
        <v>1039</v>
      </c>
      <c r="D59" s="857" t="s">
        <v>309</v>
      </c>
      <c r="F59" s="1940">
        <f>'Expenditures 15-22'!I151</f>
        <v>0</v>
      </c>
      <c r="G59" s="866"/>
    </row>
    <row r="60" spans="1:7" x14ac:dyDescent="0.2">
      <c r="A60" s="894" t="s">
        <v>520</v>
      </c>
      <c r="B60" s="857" t="s">
        <v>1993</v>
      </c>
      <c r="C60" s="895">
        <v>4000</v>
      </c>
      <c r="D60" s="857" t="s">
        <v>330</v>
      </c>
      <c r="F60" s="1938">
        <f>'Expenditures 15-22'!K160</f>
        <v>0</v>
      </c>
      <c r="G60" s="866"/>
    </row>
    <row r="61" spans="1:7" x14ac:dyDescent="0.2">
      <c r="A61" s="896" t="s">
        <v>520</v>
      </c>
      <c r="B61" s="896" t="s">
        <v>1994</v>
      </c>
      <c r="C61" s="897" t="str">
        <f>'Expenditures 15-22'!B170</f>
        <v>5300</v>
      </c>
      <c r="D61" s="898" t="s">
        <v>329</v>
      </c>
      <c r="E61" s="880"/>
      <c r="F61" s="1937">
        <f>'Expenditures 15-22'!K170</f>
        <v>589642</v>
      </c>
      <c r="G61" s="866"/>
    </row>
    <row r="62" spans="1:7" x14ac:dyDescent="0.2">
      <c r="A62" s="870" t="s">
        <v>481</v>
      </c>
      <c r="B62" s="870" t="s">
        <v>1995</v>
      </c>
      <c r="C62" s="887">
        <f>'Expenditures 15-22'!B185</f>
        <v>3000</v>
      </c>
      <c r="D62" s="877" t="s">
        <v>469</v>
      </c>
      <c r="E62" s="869"/>
      <c r="F62" s="1937">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7">
        <f>'Expenditures 15-22'!K196</f>
        <v>0</v>
      </c>
      <c r="G63" s="866"/>
    </row>
    <row r="64" spans="1:7" x14ac:dyDescent="0.2">
      <c r="A64" s="896" t="s">
        <v>481</v>
      </c>
      <c r="B64" s="896" t="s">
        <v>1997</v>
      </c>
      <c r="C64" s="897" t="str">
        <f>'Expenditures 15-22'!B206</f>
        <v>5300</v>
      </c>
      <c r="D64" s="893" t="s">
        <v>329</v>
      </c>
      <c r="E64" s="869"/>
      <c r="F64" s="1937">
        <f>'Expenditures 15-22'!K206</f>
        <v>0</v>
      </c>
      <c r="G64" s="866"/>
    </row>
    <row r="65" spans="1:8" x14ac:dyDescent="0.2">
      <c r="A65" s="870" t="s">
        <v>481</v>
      </c>
      <c r="B65" s="870" t="s">
        <v>1998</v>
      </c>
      <c r="C65" s="887" t="s">
        <v>1039</v>
      </c>
      <c r="D65" s="886" t="s">
        <v>1157</v>
      </c>
      <c r="E65" s="869"/>
      <c r="F65" s="1937">
        <f>'Expenditures 15-22'!G210</f>
        <v>22040</v>
      </c>
      <c r="G65" s="866"/>
    </row>
    <row r="66" spans="1:8" x14ac:dyDescent="0.2">
      <c r="A66" s="870" t="s">
        <v>481</v>
      </c>
      <c r="B66" s="870" t="s">
        <v>1999</v>
      </c>
      <c r="C66" s="887" t="s">
        <v>1039</v>
      </c>
      <c r="D66" s="886" t="s">
        <v>309</v>
      </c>
      <c r="E66" s="869"/>
      <c r="F66" s="1937">
        <f>'Expenditures 15-22'!I210</f>
        <v>0</v>
      </c>
      <c r="G66" s="866"/>
    </row>
    <row r="67" spans="1:8" x14ac:dyDescent="0.2">
      <c r="A67" s="870" t="s">
        <v>482</v>
      </c>
      <c r="B67" s="870" t="s">
        <v>2000</v>
      </c>
      <c r="C67" s="887" t="str">
        <f>'Expenditures 15-22'!B216</f>
        <v>1125</v>
      </c>
      <c r="D67" s="893" t="str">
        <f>'Expenditures 15-22'!A216</f>
        <v>Pre-K Programs</v>
      </c>
      <c r="E67" s="869"/>
      <c r="F67" s="1937">
        <f>'Expenditures 15-22'!K216</f>
        <v>0</v>
      </c>
      <c r="G67" s="866"/>
    </row>
    <row r="68" spans="1:8" x14ac:dyDescent="0.2">
      <c r="A68" s="870" t="s">
        <v>482</v>
      </c>
      <c r="B68" s="870" t="s">
        <v>1554</v>
      </c>
      <c r="C68" s="887" t="str">
        <f>'Expenditures 15-22'!B218</f>
        <v>1225</v>
      </c>
      <c r="D68" s="893" t="str">
        <f>'Expenditures 15-22'!A218</f>
        <v>Special Education Programs - Pre-K</v>
      </c>
      <c r="E68" s="869"/>
      <c r="F68" s="1937">
        <f>'Expenditures 15-22'!K218</f>
        <v>0</v>
      </c>
      <c r="G68" s="866"/>
    </row>
    <row r="69" spans="1:8" x14ac:dyDescent="0.2">
      <c r="A69" s="870" t="s">
        <v>482</v>
      </c>
      <c r="B69" s="870" t="s">
        <v>2001</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2002</v>
      </c>
      <c r="C70" s="887">
        <f>'Expenditures 15-22'!B221</f>
        <v>1300</v>
      </c>
      <c r="D70" s="888" t="str">
        <f>'Expenditures 15-22'!A221</f>
        <v>Adult/Continuing Education Programs</v>
      </c>
      <c r="E70" s="869"/>
      <c r="F70" s="1937">
        <f>'Expenditures 15-22'!K221</f>
        <v>0</v>
      </c>
      <c r="G70" s="866"/>
    </row>
    <row r="71" spans="1:8" x14ac:dyDescent="0.2">
      <c r="A71" s="870" t="s">
        <v>482</v>
      </c>
      <c r="B71" s="870" t="s">
        <v>2003</v>
      </c>
      <c r="C71" s="887">
        <f>'Expenditures 15-22'!B224</f>
        <v>1600</v>
      </c>
      <c r="D71" s="888" t="str">
        <f>'Expenditures 15-22'!A224</f>
        <v>Summer School Programs</v>
      </c>
      <c r="E71" s="869"/>
      <c r="F71" s="1937">
        <f>'Expenditures 15-22'!K224</f>
        <v>0</v>
      </c>
      <c r="G71" s="866"/>
    </row>
    <row r="72" spans="1:8" x14ac:dyDescent="0.2">
      <c r="A72" s="870" t="s">
        <v>482</v>
      </c>
      <c r="B72" s="870" t="s">
        <v>2004</v>
      </c>
      <c r="C72" s="887">
        <f>'Expenditures 15-22'!B280</f>
        <v>3000</v>
      </c>
      <c r="D72" s="877" t="s">
        <v>469</v>
      </c>
      <c r="E72" s="869"/>
      <c r="F72" s="1937">
        <f>'Expenditures 15-22'!K280</f>
        <v>1290</v>
      </c>
      <c r="G72" s="866"/>
    </row>
    <row r="73" spans="1:8" x14ac:dyDescent="0.2">
      <c r="A73" s="870" t="s">
        <v>482</v>
      </c>
      <c r="B73" s="870" t="s">
        <v>2005</v>
      </c>
      <c r="C73" s="887" t="str">
        <f>'Expenditures 15-22'!B285</f>
        <v>4000</v>
      </c>
      <c r="D73" s="888" t="str">
        <f>'Expenditures 15-22'!A285</f>
        <v>Total Payments to Other Govt Units</v>
      </c>
      <c r="E73" s="869"/>
      <c r="F73" s="1937">
        <f>'Expenditures 15-22'!K285</f>
        <v>0</v>
      </c>
      <c r="G73" s="866"/>
    </row>
    <row r="74" spans="1:8" x14ac:dyDescent="0.2">
      <c r="A74" s="870" t="s">
        <v>456</v>
      </c>
      <c r="B74" s="870" t="s">
        <v>2006</v>
      </c>
      <c r="C74" s="887" t="s">
        <v>915</v>
      </c>
      <c r="D74" s="888" t="s">
        <v>1566</v>
      </c>
      <c r="E74" s="869"/>
      <c r="F74" s="1941">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1015</v>
      </c>
      <c r="F76" s="1800">
        <f>SUM(F18:F74)</f>
        <v>1768161</v>
      </c>
      <c r="G76" s="866"/>
    </row>
    <row r="77" spans="1:8" s="894" customFormat="1" ht="12" customHeight="1" thickTop="1" thickBot="1" x14ac:dyDescent="0.25">
      <c r="A77" s="1801"/>
      <c r="B77" s="1798"/>
      <c r="C77" s="1794"/>
      <c r="D77" s="1799" t="s">
        <v>2008</v>
      </c>
      <c r="E77" s="1796"/>
      <c r="F77" s="1802">
        <f>(F14-F76)</f>
        <v>17708070</v>
      </c>
      <c r="G77" s="870"/>
    </row>
    <row r="78" spans="1:8" s="894" customFormat="1" ht="12" customHeight="1" thickTop="1" x14ac:dyDescent="0.2">
      <c r="A78" s="1803"/>
      <c r="B78" s="1798"/>
      <c r="C78" s="1794"/>
      <c r="D78" s="1799" t="s">
        <v>2054</v>
      </c>
      <c r="E78" s="1796"/>
      <c r="F78" s="899">
        <v>1764.53</v>
      </c>
      <c r="G78" s="900"/>
      <c r="H78" s="870"/>
    </row>
    <row r="79" spans="1:8" s="894" customFormat="1" ht="12" customHeight="1" thickBot="1" x14ac:dyDescent="0.25">
      <c r="A79" s="1804"/>
      <c r="B79" s="1798"/>
      <c r="C79" s="1794"/>
      <c r="D79" s="1799" t="s">
        <v>2009</v>
      </c>
      <c r="E79" s="1796" t="s">
        <v>1015</v>
      </c>
      <c r="F79" s="1805">
        <f>IF(F78&gt;0,F77/F78," Complete Line 78")</f>
        <v>10035.573212130143</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181482</v>
      </c>
      <c r="G94" s="913"/>
    </row>
    <row r="95" spans="1:7" x14ac:dyDescent="0.2">
      <c r="A95" s="909" t="s">
        <v>142</v>
      </c>
      <c r="B95" s="909" t="s">
        <v>177</v>
      </c>
      <c r="C95" s="911">
        <v>1700</v>
      </c>
      <c r="D95" s="919" t="str">
        <f>'Revenues 9-14'!A82</f>
        <v>Total District/School Activity Income</v>
      </c>
      <c r="E95" s="907"/>
      <c r="F95" s="1811">
        <f>SUM('Revenues 9-14'!C82,'Revenues 9-14'!D82)</f>
        <v>59677</v>
      </c>
      <c r="G95" s="913"/>
    </row>
    <row r="96" spans="1:7" x14ac:dyDescent="0.2">
      <c r="A96" s="909" t="s">
        <v>479</v>
      </c>
      <c r="B96" s="909" t="s">
        <v>178</v>
      </c>
      <c r="C96" s="911">
        <f>'Revenues 9-14'!B84</f>
        <v>1811</v>
      </c>
      <c r="D96" s="912" t="str">
        <f>'Revenues 9-14'!A84</f>
        <v>Rentals - Regular Textbooks</v>
      </c>
      <c r="E96" s="907"/>
      <c r="F96" s="1811">
        <f>'Revenues 9-14'!C84</f>
        <v>23408</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26282</v>
      </c>
      <c r="G104" s="913"/>
    </row>
    <row r="105" spans="1:7" x14ac:dyDescent="0.2">
      <c r="A105" s="909" t="s">
        <v>524</v>
      </c>
      <c r="B105" s="909" t="s">
        <v>842</v>
      </c>
      <c r="C105" s="914">
        <v>3100</v>
      </c>
      <c r="D105" s="920" t="str">
        <f>'Revenues 9-14'!A131</f>
        <v>Total Special Education</v>
      </c>
      <c r="E105" s="907"/>
      <c r="F105" s="1811">
        <f>SUM('Revenues 9-14'!C131:D131,'Revenues 9-14'!F131)</f>
        <v>405693</v>
      </c>
      <c r="G105" s="913"/>
    </row>
    <row r="106" spans="1:7" x14ac:dyDescent="0.2">
      <c r="A106" s="909" t="s">
        <v>694</v>
      </c>
      <c r="B106" s="909" t="s">
        <v>1482</v>
      </c>
      <c r="C106" s="921">
        <v>3200</v>
      </c>
      <c r="D106" s="912" t="str">
        <f>'Revenues 9-14'!A140</f>
        <v>Total Career and Technical Education</v>
      </c>
      <c r="E106" s="907"/>
      <c r="F106" s="1811">
        <f>SUM('Revenues 9-14'!C140,'Revenues 9-14'!D140,'Revenues 9-14'!G140)</f>
        <v>51989</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9962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27126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811595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2669</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61298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34609</v>
      </c>
      <c r="G128" s="931"/>
    </row>
    <row r="129" spans="1:7" x14ac:dyDescent="0.2">
      <c r="A129" s="928" t="s">
        <v>685</v>
      </c>
      <c r="B129" s="928" t="s">
        <v>803</v>
      </c>
      <c r="C129" s="933">
        <v>4200</v>
      </c>
      <c r="D129" s="930" t="str">
        <f>'Revenues 9-14'!A201</f>
        <v>Total Food Service</v>
      </c>
      <c r="E129" s="907"/>
      <c r="F129" s="1811">
        <f>SUM('Revenues 9-14'!C201,'Revenues 9-14'!G201)</f>
        <v>641190</v>
      </c>
      <c r="G129" s="931"/>
    </row>
    <row r="130" spans="1:7" x14ac:dyDescent="0.2">
      <c r="A130" s="928" t="s">
        <v>689</v>
      </c>
      <c r="B130" s="928" t="s">
        <v>804</v>
      </c>
      <c r="C130" s="933">
        <v>4300</v>
      </c>
      <c r="D130" s="934" t="str">
        <f>'Revenues 9-14'!A211</f>
        <v>Total Title I</v>
      </c>
      <c r="E130" s="907"/>
      <c r="F130" s="1811">
        <f>SUM('Revenues 9-14'!C211,'Revenues 9-14'!D211,'Revenues 9-14'!F211,'Revenues 9-14'!G211)</f>
        <v>755695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18792</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1058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4255</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1293</v>
      </c>
      <c r="G136" s="931">
        <v>6303</v>
      </c>
    </row>
    <row r="137" spans="1:7" s="868" customFormat="1" hidden="1" x14ac:dyDescent="0.2">
      <c r="A137" s="935" t="s">
        <v>215</v>
      </c>
      <c r="B137" s="935" t="s">
        <v>1483</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1563</v>
      </c>
      <c r="C161" s="941" t="s">
        <v>896</v>
      </c>
      <c r="D161" s="942" t="s">
        <v>808</v>
      </c>
      <c r="E161" s="943"/>
      <c r="F161" s="1811">
        <f>SUM(F137:F160)</f>
        <v>0</v>
      </c>
      <c r="G161" s="906"/>
    </row>
    <row r="162" spans="1:7" s="868" customFormat="1" x14ac:dyDescent="0.2">
      <c r="A162" s="939" t="s">
        <v>479</v>
      </c>
      <c r="B162" s="940" t="s">
        <v>1500</v>
      </c>
      <c r="C162" s="941" t="s">
        <v>1498</v>
      </c>
      <c r="D162" s="942" t="s">
        <v>1499</v>
      </c>
      <c r="E162" s="943"/>
      <c r="F162" s="1811">
        <f>SUM('Revenues 9-14'!C260)</f>
        <v>0</v>
      </c>
      <c r="G162" s="906"/>
    </row>
    <row r="163" spans="1:7" s="868" customFormat="1" x14ac:dyDescent="0.2">
      <c r="A163" s="939" t="s">
        <v>521</v>
      </c>
      <c r="B163" s="940" t="s">
        <v>1540</v>
      </c>
      <c r="C163" s="941" t="s">
        <v>1541</v>
      </c>
      <c r="D163" s="942" t="s">
        <v>1542</v>
      </c>
      <c r="E163" s="943"/>
      <c r="F163" s="1811">
        <f>SUM('Revenues 9-14'!C261:H261,'Revenues 9-14'!J261:K261)</f>
        <v>0</v>
      </c>
      <c r="G163" s="906"/>
    </row>
    <row r="164" spans="1:7" x14ac:dyDescent="0.2">
      <c r="A164" s="928" t="s">
        <v>1067</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122949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18208</v>
      </c>
      <c r="G172" s="948">
        <v>6320</v>
      </c>
    </row>
    <row r="173" spans="1:7" x14ac:dyDescent="0.2">
      <c r="A173" s="928" t="s">
        <v>689</v>
      </c>
      <c r="B173" s="928" t="s">
        <v>1502</v>
      </c>
      <c r="C173" s="933">
        <f>'Revenues 9-14'!B271</f>
        <v>4992</v>
      </c>
      <c r="D173" s="934" t="str">
        <f>'Revenues 9-14'!A271</f>
        <v>Medicaid Matching Funds - Fee-for-Service Program</v>
      </c>
      <c r="E173" s="907"/>
      <c r="F173" s="1811">
        <f>SUM('Revenues 9-14'!C271:D271,'Revenues 9-14'!F271:G271)</f>
        <v>43774</v>
      </c>
      <c r="G173" s="948"/>
    </row>
    <row r="174" spans="1:7" x14ac:dyDescent="0.2">
      <c r="A174" s="949" t="s">
        <v>689</v>
      </c>
      <c r="B174" s="945" t="s">
        <v>1557</v>
      </c>
      <c r="C174" s="946">
        <f>'Revenues 9-14'!B272</f>
        <v>4999</v>
      </c>
      <c r="D174" s="947" t="str">
        <f>'Revenues 9-14'!A272</f>
        <v>Other Restricted Revenue from Federal Sources (Describe &amp; Itemize)</v>
      </c>
      <c r="E174" s="907"/>
      <c r="F174" s="1811">
        <f>SUM('Revenues 9-14'!C272:D272,'Revenues 9-14'!F272:G272)</f>
        <v>488127</v>
      </c>
      <c r="G174" s="928"/>
    </row>
    <row r="175" spans="1:7" x14ac:dyDescent="0.2">
      <c r="A175" s="1942" t="s">
        <v>5</v>
      </c>
      <c r="B175" s="1943" t="s">
        <v>2053</v>
      </c>
      <c r="C175" s="1944">
        <v>3100</v>
      </c>
      <c r="D175" s="1945" t="s">
        <v>2056</v>
      </c>
      <c r="E175" s="907"/>
      <c r="F175" s="1929"/>
      <c r="G175" s="928"/>
    </row>
    <row r="176" spans="1:7" x14ac:dyDescent="0.2">
      <c r="A176" s="1942" t="s">
        <v>685</v>
      </c>
      <c r="B176" s="1943" t="s">
        <v>2053</v>
      </c>
      <c r="C176" s="1944">
        <v>3300</v>
      </c>
      <c r="D176" s="1945" t="s">
        <v>2057</v>
      </c>
      <c r="E176" s="907"/>
      <c r="F176" s="1929"/>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1015</v>
      </c>
      <c r="F178" s="1810">
        <f>SUM(F84:F136,F161:F176)</f>
        <v>3791131</v>
      </c>
    </row>
    <row r="179" spans="1:7" ht="12" customHeight="1" x14ac:dyDescent="0.2">
      <c r="A179" s="1792"/>
      <c r="B179" s="1806"/>
      <c r="C179" s="1807"/>
      <c r="D179" s="1808" t="s">
        <v>2011</v>
      </c>
      <c r="E179" s="1809"/>
      <c r="F179" s="1811">
        <f>'PCTC-OEPP 27-28'!F77-F178</f>
        <v>13916939</v>
      </c>
    </row>
    <row r="180" spans="1:7" ht="12" customHeight="1" x14ac:dyDescent="0.2">
      <c r="A180" s="1792"/>
      <c r="B180" s="1806"/>
      <c r="C180" s="1807"/>
      <c r="D180" s="1808" t="s">
        <v>1921</v>
      </c>
      <c r="E180" s="1809"/>
      <c r="F180" s="1811">
        <f>'Cap Outlay Deprec 26'!I18</f>
        <v>753138</v>
      </c>
    </row>
    <row r="181" spans="1:7" ht="12" customHeight="1" x14ac:dyDescent="0.2">
      <c r="A181" s="1792"/>
      <c r="B181" s="1806"/>
      <c r="C181" s="1807"/>
      <c r="D181" s="1808" t="s">
        <v>2012</v>
      </c>
      <c r="E181" s="1809"/>
      <c r="F181" s="1811">
        <f>F179+F180</f>
        <v>14670077</v>
      </c>
    </row>
    <row r="182" spans="1:7" ht="12" customHeight="1" x14ac:dyDescent="0.2">
      <c r="A182" s="1792"/>
      <c r="B182" s="1812"/>
      <c r="C182" s="1807"/>
      <c r="D182" s="1808" t="str">
        <f>D78</f>
        <v>9 Month ADA from District Average Daily Attendance/Prior General State Aid Inquiry 2017-2018</v>
      </c>
      <c r="E182" s="1809"/>
      <c r="F182" s="1813">
        <f>'PCTC-OEPP 27-28'!F78</f>
        <v>1764.53</v>
      </c>
      <c r="G182" s="931"/>
    </row>
    <row r="183" spans="1:7" ht="12" customHeight="1" thickBot="1" x14ac:dyDescent="0.25">
      <c r="A183" s="1792"/>
      <c r="B183" s="1812"/>
      <c r="C183" s="1807"/>
      <c r="D183" s="1808" t="s">
        <v>2013</v>
      </c>
      <c r="E183" s="1809" t="s">
        <v>1625</v>
      </c>
      <c r="F183" s="1814">
        <f>F181/F182</f>
        <v>8313.8722492675097</v>
      </c>
      <c r="G183" s="857">
        <v>6323</v>
      </c>
    </row>
    <row r="184" spans="1:7" ht="12" thickTop="1" x14ac:dyDescent="0.2">
      <c r="B184" s="931"/>
      <c r="C184" s="950"/>
      <c r="D184" s="931"/>
      <c r="E184" s="950"/>
      <c r="F184" s="931"/>
      <c r="G184" s="952">
        <v>6326</v>
      </c>
    </row>
    <row r="185" spans="1:7" ht="12.2" customHeight="1" x14ac:dyDescent="0.2">
      <c r="A185" s="931" t="s">
        <v>2055</v>
      </c>
      <c r="B185" s="931"/>
      <c r="C185" s="950"/>
      <c r="D185" s="931"/>
      <c r="E185" s="950"/>
      <c r="F185" s="931"/>
      <c r="G185" s="931"/>
    </row>
    <row r="186" spans="1:7" s="1946" customFormat="1" ht="12.2" customHeight="1" x14ac:dyDescent="0.2">
      <c r="A186" s="1946" t="s">
        <v>2060</v>
      </c>
      <c r="B186" s="1947"/>
      <c r="C186" s="1948"/>
      <c r="D186" s="1947"/>
      <c r="E186" s="1948"/>
      <c r="F186" s="1947"/>
      <c r="G186" s="1947"/>
    </row>
    <row r="187" spans="1:7" s="1946" customFormat="1" ht="12.2" customHeight="1" x14ac:dyDescent="0.2">
      <c r="A187" s="1949" t="s">
        <v>2061</v>
      </c>
      <c r="C187" s="1948"/>
      <c r="D187" s="1947"/>
      <c r="E187" s="1948"/>
      <c r="F187" s="1947"/>
      <c r="G187" s="1947"/>
    </row>
    <row r="188" spans="1:7" ht="12" customHeight="1" x14ac:dyDescent="0.2">
      <c r="C188" s="950"/>
      <c r="D188" s="931"/>
      <c r="E188" s="950"/>
      <c r="F188" s="931"/>
      <c r="G188" s="931"/>
    </row>
    <row r="189" spans="1:7" x14ac:dyDescent="0.2">
      <c r="A189" s="1950" t="s">
        <v>2059</v>
      </c>
      <c r="B189" s="1951" t="s">
        <v>2058</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&amp;C72</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2" t="s">
        <v>1922</v>
      </c>
      <c r="B4" s="2303"/>
      <c r="C4" s="2303"/>
      <c r="D4" s="2303"/>
      <c r="E4" s="2303"/>
      <c r="F4" s="2303"/>
      <c r="G4" s="2304"/>
    </row>
    <row r="5" spans="1:7" x14ac:dyDescent="0.25">
      <c r="A5" s="2305"/>
      <c r="B5" s="2306"/>
      <c r="C5" s="2306"/>
      <c r="D5" s="2306"/>
      <c r="E5" s="2306"/>
      <c r="F5" s="2306"/>
      <c r="G5" s="2307"/>
    </row>
    <row r="6" spans="1:7" ht="18.75" x14ac:dyDescent="0.25">
      <c r="A6" s="1556" t="s">
        <v>1923</v>
      </c>
      <c r="B6" s="1557"/>
      <c r="C6" s="1557"/>
      <c r="D6" s="1557"/>
      <c r="E6" s="1557"/>
      <c r="F6" s="1557"/>
      <c r="G6" s="1558"/>
    </row>
    <row r="7" spans="1:7" ht="30.75" customHeight="1" x14ac:dyDescent="0.25">
      <c r="A7" s="2308" t="s">
        <v>2070</v>
      </c>
      <c r="B7" s="2309"/>
      <c r="C7" s="2309"/>
      <c r="D7" s="2309"/>
      <c r="E7" s="2309"/>
      <c r="F7" s="2309"/>
      <c r="G7" s="2310"/>
    </row>
    <row r="8" spans="1:7" ht="15.75" customHeight="1" x14ac:dyDescent="0.25">
      <c r="A8" s="2311" t="s">
        <v>2019</v>
      </c>
      <c r="B8" s="2312"/>
      <c r="C8" s="2312"/>
      <c r="D8" s="2312"/>
      <c r="E8" s="2312"/>
      <c r="F8" s="2312"/>
      <c r="G8" s="2313"/>
    </row>
    <row r="9" spans="1:7" ht="35.25" customHeight="1" x14ac:dyDescent="0.25">
      <c r="A9" s="2308" t="s">
        <v>2073</v>
      </c>
      <c r="B9" s="2309"/>
      <c r="C9" s="2309"/>
      <c r="D9" s="2309"/>
      <c r="E9" s="2309"/>
      <c r="F9" s="2309"/>
      <c r="G9" s="2310"/>
    </row>
    <row r="10" spans="1:7" ht="15" customHeight="1" x14ac:dyDescent="0.25">
      <c r="A10" s="1559" t="s">
        <v>1924</v>
      </c>
      <c r="B10" s="1560"/>
      <c r="C10" s="1560"/>
      <c r="D10" s="1560"/>
      <c r="E10" s="1560"/>
      <c r="F10" s="1560"/>
      <c r="G10" s="1561"/>
    </row>
    <row r="11" spans="1:7" ht="17.25" customHeight="1" x14ac:dyDescent="0.25">
      <c r="A11" s="2308" t="s">
        <v>2072</v>
      </c>
      <c r="B11" s="2309"/>
      <c r="C11" s="2309"/>
      <c r="D11" s="2309"/>
      <c r="E11" s="2309"/>
      <c r="F11" s="2309"/>
      <c r="G11" s="2310"/>
    </row>
    <row r="12" spans="1:7" ht="15" customHeight="1" x14ac:dyDescent="0.25">
      <c r="A12" s="1559" t="s">
        <v>1929</v>
      </c>
      <c r="B12" s="1560"/>
      <c r="C12" s="1560"/>
      <c r="D12" s="1560"/>
      <c r="E12" s="1560"/>
      <c r="F12" s="1560"/>
      <c r="G12" s="1561"/>
    </row>
    <row r="13" spans="1:7" ht="32.25" customHeight="1" x14ac:dyDescent="0.25">
      <c r="A13" s="2299" t="s">
        <v>1930</v>
      </c>
      <c r="B13" s="2300"/>
      <c r="C13" s="2300"/>
      <c r="D13" s="2300"/>
      <c r="E13" s="2300"/>
      <c r="F13" s="2300"/>
      <c r="G13" s="2301"/>
    </row>
    <row r="14" spans="1:7" x14ac:dyDescent="0.25">
      <c r="A14" s="1683" t="s">
        <v>1938</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1939</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2095</v>
      </c>
      <c r="B17" s="1955" t="s">
        <v>2082</v>
      </c>
      <c r="C17" s="1956" t="s">
        <v>2086</v>
      </c>
      <c r="D17" s="1867">
        <v>15883</v>
      </c>
      <c r="E17" s="1562">
        <f t="shared" ref="E17:E141" si="1">IF(D17&lt;=25000,D17,IF(D17&gt;25000,25000,0))</f>
        <v>15883</v>
      </c>
      <c r="F17" s="1815">
        <f t="shared" si="0"/>
        <v>15883</v>
      </c>
      <c r="G17" s="1816">
        <f>IF(F17=0,0,D17-F17)</f>
        <v>0</v>
      </c>
      <c r="H17" s="1669"/>
    </row>
    <row r="18" spans="1:8" x14ac:dyDescent="0.25">
      <c r="A18" s="1954" t="s">
        <v>2083</v>
      </c>
      <c r="B18" s="1955" t="s">
        <v>2082</v>
      </c>
      <c r="C18" s="1956" t="s">
        <v>2096</v>
      </c>
      <c r="D18" s="1867">
        <v>45821</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20821</v>
      </c>
    </row>
    <row r="19" spans="1:8" x14ac:dyDescent="0.25">
      <c r="A19" s="1954" t="s">
        <v>2084</v>
      </c>
      <c r="B19" s="1955" t="s">
        <v>2082</v>
      </c>
      <c r="C19" s="1956" t="s">
        <v>2090</v>
      </c>
      <c r="D19" s="1867">
        <v>66830</v>
      </c>
      <c r="E19" s="1562">
        <f t="shared" si="2"/>
        <v>25000</v>
      </c>
      <c r="F19" s="1815">
        <f t="shared" si="3"/>
        <v>25000</v>
      </c>
      <c r="G19" s="1816">
        <f t="shared" si="4"/>
        <v>41830</v>
      </c>
    </row>
    <row r="20" spans="1:8" x14ac:dyDescent="0.25">
      <c r="A20" s="1954" t="s">
        <v>2080</v>
      </c>
      <c r="B20" s="1955" t="s">
        <v>2081</v>
      </c>
      <c r="C20" s="1956" t="s">
        <v>2089</v>
      </c>
      <c r="D20" s="1867">
        <v>21056</v>
      </c>
      <c r="E20" s="1562">
        <f t="shared" si="2"/>
        <v>21056</v>
      </c>
      <c r="F20" s="1815">
        <f t="shared" si="3"/>
        <v>21056</v>
      </c>
      <c r="G20" s="1816">
        <f t="shared" si="4"/>
        <v>0</v>
      </c>
    </row>
    <row r="21" spans="1:8" x14ac:dyDescent="0.25">
      <c r="A21" s="1957" t="s">
        <v>2093</v>
      </c>
      <c r="B21" s="1955" t="s">
        <v>2085</v>
      </c>
      <c r="C21" s="1956" t="s">
        <v>2094</v>
      </c>
      <c r="D21" s="1867">
        <v>14750</v>
      </c>
      <c r="E21" s="1562">
        <f t="shared" si="2"/>
        <v>14750</v>
      </c>
      <c r="F21" s="1815">
        <f t="shared" si="3"/>
        <v>0</v>
      </c>
      <c r="G21" s="1816">
        <f t="shared" si="4"/>
        <v>0</v>
      </c>
    </row>
    <row r="22" spans="1:8" x14ac:dyDescent="0.25">
      <c r="A22" s="1957" t="s">
        <v>2087</v>
      </c>
      <c r="B22" s="1958" t="s">
        <v>2082</v>
      </c>
      <c r="C22" s="1956" t="s">
        <v>2088</v>
      </c>
      <c r="D22" s="1867">
        <v>202255</v>
      </c>
      <c r="E22" s="1562">
        <f t="shared" si="2"/>
        <v>25000</v>
      </c>
      <c r="F22" s="1815">
        <f t="shared" si="3"/>
        <v>25000</v>
      </c>
      <c r="G22" s="1816">
        <f t="shared" si="4"/>
        <v>177255</v>
      </c>
    </row>
    <row r="23" spans="1:8" x14ac:dyDescent="0.25">
      <c r="A23" s="1957" t="s">
        <v>2091</v>
      </c>
      <c r="B23" s="1958" t="s">
        <v>2082</v>
      </c>
      <c r="C23" s="1956" t="s">
        <v>2092</v>
      </c>
      <c r="D23" s="1867">
        <v>4421</v>
      </c>
      <c r="E23" s="1562">
        <f t="shared" si="2"/>
        <v>4421</v>
      </c>
      <c r="F23" s="1815">
        <f t="shared" si="3"/>
        <v>4421</v>
      </c>
      <c r="G23" s="1816">
        <f t="shared" si="4"/>
        <v>0</v>
      </c>
    </row>
    <row r="24" spans="1:8" x14ac:dyDescent="0.25">
      <c r="A24" s="1957" t="s">
        <v>2097</v>
      </c>
      <c r="B24" s="1958" t="s">
        <v>2082</v>
      </c>
      <c r="C24" s="1956" t="s">
        <v>2098</v>
      </c>
      <c r="D24" s="1867">
        <v>3768</v>
      </c>
      <c r="E24" s="1562">
        <f t="shared" si="2"/>
        <v>3768</v>
      </c>
      <c r="F24" s="1815">
        <f t="shared" si="3"/>
        <v>3768</v>
      </c>
      <c r="G24" s="1816">
        <f t="shared" si="4"/>
        <v>0</v>
      </c>
    </row>
    <row r="25" spans="1:8" x14ac:dyDescent="0.25">
      <c r="A25" s="1957" t="s">
        <v>2099</v>
      </c>
      <c r="B25" s="1958" t="s">
        <v>2100</v>
      </c>
      <c r="C25" s="1956" t="s">
        <v>2101</v>
      </c>
      <c r="D25" s="1867">
        <v>1031413</v>
      </c>
      <c r="E25" s="1562">
        <f t="shared" si="2"/>
        <v>25000</v>
      </c>
      <c r="F25" s="1815">
        <f t="shared" si="3"/>
        <v>25000</v>
      </c>
      <c r="G25" s="1816">
        <f t="shared" si="4"/>
        <v>1006413</v>
      </c>
    </row>
    <row r="26" spans="1:8" x14ac:dyDescent="0.25">
      <c r="A26" s="1957" t="s">
        <v>2102</v>
      </c>
      <c r="B26" s="1958" t="s">
        <v>2103</v>
      </c>
      <c r="C26" s="1956" t="s">
        <v>2104</v>
      </c>
      <c r="D26" s="1867">
        <v>240552</v>
      </c>
      <c r="E26" s="1562">
        <f t="shared" si="2"/>
        <v>25000</v>
      </c>
      <c r="F26" s="1815">
        <f t="shared" si="3"/>
        <v>25000</v>
      </c>
      <c r="G26" s="1816">
        <f t="shared" si="4"/>
        <v>215552</v>
      </c>
    </row>
    <row r="27" spans="1:8" x14ac:dyDescent="0.25">
      <c r="A27" s="1957" t="s">
        <v>2105</v>
      </c>
      <c r="B27" s="1958" t="s">
        <v>2103</v>
      </c>
      <c r="C27" s="1956" t="s">
        <v>2106</v>
      </c>
      <c r="D27" s="1867">
        <v>17314</v>
      </c>
      <c r="E27" s="1562">
        <f t="shared" si="2"/>
        <v>17314</v>
      </c>
      <c r="F27" s="1815">
        <f t="shared" si="3"/>
        <v>17314</v>
      </c>
      <c r="G27" s="1816">
        <f t="shared" si="4"/>
        <v>0</v>
      </c>
    </row>
    <row r="28" spans="1:8" x14ac:dyDescent="0.25">
      <c r="A28" s="1957" t="s">
        <v>2107</v>
      </c>
      <c r="B28" s="1958" t="s">
        <v>2081</v>
      </c>
      <c r="C28" s="1956" t="s">
        <v>2108</v>
      </c>
      <c r="D28" s="1867">
        <v>30170</v>
      </c>
      <c r="E28" s="1562">
        <f t="shared" si="2"/>
        <v>25000</v>
      </c>
      <c r="F28" s="1815">
        <f t="shared" si="3"/>
        <v>25000</v>
      </c>
      <c r="G28" s="1816">
        <f t="shared" si="4"/>
        <v>5170</v>
      </c>
    </row>
    <row r="29" spans="1:8" x14ac:dyDescent="0.25">
      <c r="A29" s="1957" t="s">
        <v>2111</v>
      </c>
      <c r="B29" s="1958" t="s">
        <v>2109</v>
      </c>
      <c r="C29" s="1956" t="s">
        <v>2110</v>
      </c>
      <c r="D29" s="1867">
        <v>6133</v>
      </c>
      <c r="E29" s="1562">
        <f t="shared" si="2"/>
        <v>6133</v>
      </c>
      <c r="F29" s="1815">
        <f t="shared" si="3"/>
        <v>0</v>
      </c>
      <c r="G29" s="1816">
        <f t="shared" si="4"/>
        <v>0</v>
      </c>
    </row>
    <row r="30" spans="1:8" x14ac:dyDescent="0.25">
      <c r="A30" s="1957" t="s">
        <v>2112</v>
      </c>
      <c r="B30" s="1958" t="s">
        <v>2113</v>
      </c>
      <c r="C30" s="1956" t="s">
        <v>2114</v>
      </c>
      <c r="D30" s="1867">
        <v>39565</v>
      </c>
      <c r="E30" s="1562">
        <f t="shared" si="2"/>
        <v>25000</v>
      </c>
      <c r="F30" s="1815">
        <f t="shared" si="3"/>
        <v>25000</v>
      </c>
      <c r="G30" s="1816">
        <f t="shared" si="4"/>
        <v>14565</v>
      </c>
    </row>
    <row r="31" spans="1:8" x14ac:dyDescent="0.25">
      <c r="A31" s="1957" t="s">
        <v>2115</v>
      </c>
      <c r="B31" s="1958" t="s">
        <v>2116</v>
      </c>
      <c r="C31" s="1956" t="s">
        <v>2117</v>
      </c>
      <c r="D31" s="1867">
        <v>6500</v>
      </c>
      <c r="E31" s="1562">
        <f t="shared" si="2"/>
        <v>6500</v>
      </c>
      <c r="F31" s="1815">
        <f t="shared" si="3"/>
        <v>6500</v>
      </c>
      <c r="G31" s="1816">
        <f t="shared" si="4"/>
        <v>0</v>
      </c>
    </row>
    <row r="32" spans="1:8" x14ac:dyDescent="0.25">
      <c r="A32" s="1957" t="s">
        <v>2115</v>
      </c>
      <c r="B32" s="1958" t="s">
        <v>2116</v>
      </c>
      <c r="C32" s="1956" t="s">
        <v>2118</v>
      </c>
      <c r="D32" s="1867">
        <v>68020</v>
      </c>
      <c r="E32" s="1562">
        <f t="shared" si="2"/>
        <v>25000</v>
      </c>
      <c r="F32" s="1815">
        <f t="shared" si="3"/>
        <v>25000</v>
      </c>
      <c r="G32" s="1816">
        <f t="shared" si="4"/>
        <v>43020</v>
      </c>
    </row>
    <row r="33" spans="1:7" x14ac:dyDescent="0.25">
      <c r="A33" s="1957" t="s">
        <v>2115</v>
      </c>
      <c r="B33" s="1958" t="s">
        <v>2116</v>
      </c>
      <c r="C33" s="1956" t="s">
        <v>2119</v>
      </c>
      <c r="D33" s="1867">
        <v>22050</v>
      </c>
      <c r="E33" s="1562">
        <f t="shared" si="2"/>
        <v>22050</v>
      </c>
      <c r="F33" s="1815">
        <f t="shared" si="3"/>
        <v>22050</v>
      </c>
      <c r="G33" s="1816">
        <f t="shared" si="4"/>
        <v>0</v>
      </c>
    </row>
    <row r="34" spans="1:7" x14ac:dyDescent="0.25">
      <c r="A34" s="1957" t="s">
        <v>2120</v>
      </c>
      <c r="B34" s="1958" t="s">
        <v>2116</v>
      </c>
      <c r="C34" s="1956" t="s">
        <v>2121</v>
      </c>
      <c r="D34" s="1867">
        <v>14000</v>
      </c>
      <c r="E34" s="1562">
        <f t="shared" si="2"/>
        <v>14000</v>
      </c>
      <c r="F34" s="1815">
        <f t="shared" si="3"/>
        <v>14000</v>
      </c>
      <c r="G34" s="1816">
        <f t="shared" si="4"/>
        <v>0</v>
      </c>
    </row>
    <row r="35" spans="1:7" x14ac:dyDescent="0.25">
      <c r="A35" s="1957" t="s">
        <v>2122</v>
      </c>
      <c r="B35" s="1958" t="s">
        <v>2116</v>
      </c>
      <c r="C35" s="1956" t="s">
        <v>2123</v>
      </c>
      <c r="D35" s="1867">
        <v>6367</v>
      </c>
      <c r="E35" s="1562">
        <f t="shared" si="2"/>
        <v>6367</v>
      </c>
      <c r="F35" s="1815">
        <f t="shared" si="3"/>
        <v>6367</v>
      </c>
      <c r="G35" s="1816">
        <f t="shared" si="4"/>
        <v>0</v>
      </c>
    </row>
    <row r="36" spans="1:7" x14ac:dyDescent="0.25">
      <c r="A36" s="1957" t="s">
        <v>2124</v>
      </c>
      <c r="B36" s="1958" t="s">
        <v>2125</v>
      </c>
      <c r="C36" s="1956" t="s">
        <v>2126</v>
      </c>
      <c r="D36" s="1867">
        <v>4559</v>
      </c>
      <c r="E36" s="1562">
        <f t="shared" si="2"/>
        <v>4559</v>
      </c>
      <c r="F36" s="1815">
        <f t="shared" si="3"/>
        <v>4559</v>
      </c>
      <c r="G36" s="1816">
        <f t="shared" si="4"/>
        <v>0</v>
      </c>
    </row>
    <row r="37" spans="1:7" x14ac:dyDescent="0.25">
      <c r="A37" s="1957" t="s">
        <v>2127</v>
      </c>
      <c r="B37" s="1958" t="s">
        <v>2125</v>
      </c>
      <c r="C37" s="1956" t="s">
        <v>2094</v>
      </c>
      <c r="D37" s="1867">
        <v>32839</v>
      </c>
      <c r="E37" s="1562">
        <f t="shared" si="2"/>
        <v>25000</v>
      </c>
      <c r="F37" s="1815">
        <f t="shared" si="3"/>
        <v>25000</v>
      </c>
      <c r="G37" s="1816">
        <f t="shared" si="4"/>
        <v>7839</v>
      </c>
    </row>
    <row r="38" spans="1:7" x14ac:dyDescent="0.25">
      <c r="A38" s="1957" t="s">
        <v>2128</v>
      </c>
      <c r="B38" s="1959" t="s">
        <v>2129</v>
      </c>
      <c r="C38" s="1956" t="s">
        <v>2130</v>
      </c>
      <c r="D38" s="1867">
        <v>207673</v>
      </c>
      <c r="E38" s="1562">
        <f t="shared" si="2"/>
        <v>25000</v>
      </c>
      <c r="F38" s="1815">
        <f t="shared" si="3"/>
        <v>25000</v>
      </c>
      <c r="G38" s="1816">
        <f t="shared" si="4"/>
        <v>182673</v>
      </c>
    </row>
    <row r="39" spans="1:7" x14ac:dyDescent="0.25">
      <c r="A39" s="1970" t="s">
        <v>2249</v>
      </c>
      <c r="B39" s="1971" t="s">
        <v>2103</v>
      </c>
      <c r="C39" s="1972" t="s">
        <v>2250</v>
      </c>
      <c r="D39" s="1867">
        <v>2625</v>
      </c>
      <c r="E39" s="1562">
        <f t="shared" si="2"/>
        <v>2625</v>
      </c>
      <c r="F39" s="1815">
        <f t="shared" si="3"/>
        <v>2625</v>
      </c>
      <c r="G39" s="1816">
        <f t="shared" si="4"/>
        <v>0</v>
      </c>
    </row>
    <row r="40" spans="1:7" x14ac:dyDescent="0.25">
      <c r="A40" s="1970" t="s">
        <v>2251</v>
      </c>
      <c r="B40" s="1971" t="s">
        <v>2252</v>
      </c>
      <c r="C40" s="1972" t="s">
        <v>2253</v>
      </c>
      <c r="D40" s="1867">
        <v>21200</v>
      </c>
      <c r="E40" s="1562">
        <f t="shared" si="2"/>
        <v>21200</v>
      </c>
      <c r="F40" s="1815">
        <f t="shared" si="3"/>
        <v>0</v>
      </c>
      <c r="G40" s="1816">
        <f t="shared" si="4"/>
        <v>0</v>
      </c>
    </row>
    <row r="41" spans="1:7" x14ac:dyDescent="0.25">
      <c r="A41" s="1970" t="s">
        <v>2254</v>
      </c>
      <c r="B41" s="1971" t="s">
        <v>2255</v>
      </c>
      <c r="C41" s="1972" t="s">
        <v>2256</v>
      </c>
      <c r="D41" s="1867">
        <v>66194</v>
      </c>
      <c r="E41" s="1562">
        <f t="shared" si="2"/>
        <v>25000</v>
      </c>
      <c r="F41" s="1815">
        <f t="shared" si="3"/>
        <v>0</v>
      </c>
      <c r="G41" s="1816">
        <f t="shared" si="4"/>
        <v>0</v>
      </c>
    </row>
    <row r="42" spans="1:7" x14ac:dyDescent="0.25">
      <c r="A42" s="1970" t="s">
        <v>2257</v>
      </c>
      <c r="B42" s="1971" t="s">
        <v>2116</v>
      </c>
      <c r="C42" s="1972" t="s">
        <v>2258</v>
      </c>
      <c r="D42" s="1867">
        <v>5066</v>
      </c>
      <c r="E42" s="1562">
        <f t="shared" si="2"/>
        <v>5066</v>
      </c>
      <c r="F42" s="1815">
        <f t="shared" si="3"/>
        <v>5066</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2197024</v>
      </c>
      <c r="E141" s="1563">
        <f t="shared" si="1"/>
        <v>25000</v>
      </c>
      <c r="F141" s="1817">
        <f>SUM(F17:F140)</f>
        <v>373609</v>
      </c>
      <c r="G141" s="1818">
        <f>SUM(G17:G140)</f>
        <v>1715138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1422</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1777</v>
      </c>
      <c r="B5" s="2315"/>
      <c r="C5" s="2315"/>
      <c r="D5" s="2315"/>
      <c r="E5" s="2315"/>
      <c r="F5" s="2315"/>
      <c r="G5" s="231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2071</v>
      </c>
      <c r="B10" s="972"/>
      <c r="C10" s="977"/>
      <c r="D10" s="973"/>
      <c r="E10" s="974">
        <v>500194</v>
      </c>
      <c r="F10" s="975"/>
      <c r="G10" s="976"/>
      <c r="H10" s="162"/>
      <c r="I10" s="162"/>
    </row>
    <row r="11" spans="1:9" s="669" customFormat="1" ht="22.5" customHeight="1" x14ac:dyDescent="0.2">
      <c r="A11" s="2319" t="s">
        <v>1941</v>
      </c>
      <c r="B11" s="2320"/>
      <c r="C11" s="2320"/>
      <c r="D11" s="2321"/>
      <c r="E11" s="978">
        <v>71592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10642216</v>
      </c>
      <c r="F19" s="1822"/>
      <c r="G19" s="1824">
        <f>'Expenditures 15-22'!K33-SUM('Expenditures 15-22'!G33,'Expenditures 15-22'!I33)+'Expenditures 15-22'!D229</f>
        <v>10642216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266352</v>
      </c>
      <c r="F21" s="1825"/>
      <c r="G21" s="1828">
        <f>'Expenditures 15-22'!K42-SUM('Expenditures 15-22'!G42,'Expenditures 15-22'!I42)+'Expenditures 15-22'!K120-SUM('Expenditures 15-22'!G120,'Expenditures 15-22'!I120)+'Expenditures 15-22'!K180-SUM('Expenditures 15-22'!G180,'Expenditures 15-22'!I180)+'Expenditures 15-22'!D238</f>
        <v>266352</v>
      </c>
      <c r="H21" s="988"/>
      <c r="I21" s="162"/>
    </row>
    <row r="22" spans="1:9" s="669" customFormat="1" ht="12" customHeight="1" x14ac:dyDescent="0.2">
      <c r="A22" s="995" t="s">
        <v>585</v>
      </c>
      <c r="B22" s="996"/>
      <c r="C22" s="994">
        <v>2200</v>
      </c>
      <c r="D22" s="1825"/>
      <c r="E22" s="1827">
        <f>'Expenditures 15-22'!K47-SUM('Expenditures 15-22'!G47,'Expenditures 15-22'!I47)+'Expenditures 15-22'!D243</f>
        <v>427525</v>
      </c>
      <c r="F22" s="1825"/>
      <c r="G22" s="1828">
        <f>'Expenditures 15-22'!K47-SUM('Expenditures 15-22'!G47,'Expenditures 15-22'!I47)+'Expenditures 15-22'!D243</f>
        <v>427525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723949</v>
      </c>
      <c r="F23" s="1825"/>
      <c r="G23" s="1827">
        <f>'Expenditures 15-22'!K53-SUM('Expenditures 15-22'!G53,'Expenditures 15-22'!I53)+'Expenditures 15-22'!D257+'Expenditures 15-22'!K330-SUM('Expenditures 15-22'!G330,'Expenditures 15-22'!I330)</f>
        <v>723949</v>
      </c>
      <c r="H23" s="988"/>
      <c r="I23" s="162"/>
    </row>
    <row r="24" spans="1:9" s="669" customFormat="1" ht="12" customHeight="1" x14ac:dyDescent="0.2">
      <c r="A24" s="995" t="s">
        <v>587</v>
      </c>
      <c r="B24" s="996"/>
      <c r="C24" s="994">
        <v>2400</v>
      </c>
      <c r="D24" s="1825"/>
      <c r="E24" s="1827">
        <f>'Expenditures 15-22'!K57-SUM('Expenditures 15-22'!G57,'Expenditures 15-22'!I57)+'Expenditures 15-22'!D261</f>
        <v>1153979</v>
      </c>
      <c r="F24" s="1825"/>
      <c r="G24" s="1828">
        <f>'Expenditures 15-22'!K57-SUM('Expenditures 15-22'!G57,'Expenditures 15-22'!I57)+'Expenditures 15-22'!D261</f>
        <v>1153979</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110480</v>
      </c>
      <c r="E26" s="1827">
        <f>'Expenditures 15-22'!K122-SUM('Expenditures 15-22'!G122,'Expenditures 15-22'!I122)+E7</f>
        <v>0</v>
      </c>
      <c r="F26" s="1827">
        <f>'Expenditures 15-22'!K59-SUM('Expenditures 15-22'!G59,'Expenditures 15-22'!I59)+'Expenditures 15-22'!D263-E7</f>
        <v>110480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1740795</v>
      </c>
      <c r="F28" s="1829">
        <f>'Expenditures 15-22'!K61-SUM('Expenditures 15-22'!G61,'Expenditures 15-22'!I61)+'Expenditures 15-22'!K124-SUM('Expenditures 15-22'!G124,'Expenditures 15-22'!I124)+'Expenditures 15-22'!D266-E9</f>
        <v>1740795</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1055843</v>
      </c>
      <c r="F29" s="1825"/>
      <c r="G29" s="1828">
        <f>'Expenditures 15-22'!K62-SUM('Expenditures 15-22'!G62,'Expenditures 15-22'!I62)+'Expenditures 15-22'!K125-SUM('Expenditures 15-22'!G125,'Expenditures 15-22'!I125)+'Expenditures 15-22'!K182-SUM('Expenditures 15-22'!G182,'Expenditures 15-22'!I182)+'Expenditures 15-22'!D267</f>
        <v>1055843</v>
      </c>
      <c r="H29" s="986"/>
    </row>
    <row r="30" spans="1:9" ht="12" customHeight="1" x14ac:dyDescent="0.2">
      <c r="A30" s="995" t="s">
        <v>102</v>
      </c>
      <c r="B30" s="998"/>
      <c r="C30" s="994">
        <v>2560</v>
      </c>
      <c r="D30" s="1825"/>
      <c r="E30" s="1827">
        <f>'Expenditures 15-22'!K63-SUM('Expenditures 15-22'!G63,'Expenditures 15-22'!I63)+'Expenditures 15-22'!D268-E10</f>
        <v>399161</v>
      </c>
      <c r="F30" s="1825"/>
      <c r="G30" s="1827">
        <f>'Expenditures 15-22'!K63-SUM('Expenditures 15-22'!G63,'Expenditures 15-22'!I63)+'Expenditures 15-22'!D268-E10</f>
        <v>399161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532021</v>
      </c>
      <c r="F38" s="1825"/>
      <c r="G38" s="1827">
        <f>'Expenditures 15-22'!K73-SUM('Expenditures 15-22'!G73,'Expenditures 15-22'!I73)+'Expenditures 15-22'!K128-SUM('Expenditures 15-22'!G128,'Expenditures 15-22'!I128)+'Expenditures 15-22'!K183-SUM('Expenditures 15-22'!G183,'Expenditures 15-22'!I183)+'Expenditures 15-22'!D278</f>
        <v>532021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84692</v>
      </c>
      <c r="F39" s="1825"/>
      <c r="G39" s="1827">
        <f>'Expenditures 15-22'!K75-SUM('Expenditures 15-22'!G75,'Expenditures 15-22'!I75)+'Expenditures 15-22'!K130-SUM('Expenditures 15-22'!G130,'Expenditures 15-22'!I130)+'Expenditures 15-22'!K185-SUM('Expenditures 15-22'!G185,'Expenditures 15-22'!I185)+'Expenditures 15-22'!D280</f>
        <v>84692</v>
      </c>
    </row>
    <row r="40" spans="1:7" ht="12" customHeight="1" x14ac:dyDescent="0.2">
      <c r="A40" s="991" t="s">
        <v>1927</v>
      </c>
      <c r="B40" s="992"/>
      <c r="C40" s="994"/>
      <c r="D40" s="1825"/>
      <c r="E40" s="1829">
        <f>-'Contracts Paid in CY 29'!G141</f>
        <v>-1715138</v>
      </c>
      <c r="F40" s="1825"/>
      <c r="G40" s="1829">
        <f>-'Contracts Paid in CY 29'!G141</f>
        <v>-1715138</v>
      </c>
    </row>
    <row r="41" spans="1:7" ht="12" customHeight="1" x14ac:dyDescent="0.2">
      <c r="A41" s="999" t="s">
        <v>158</v>
      </c>
      <c r="B41" s="1000"/>
      <c r="C41" s="1001"/>
      <c r="D41" s="1829">
        <f>SUM(D19:D39)</f>
        <v>110480</v>
      </c>
      <c r="E41" s="1829">
        <f>SUM(E19:E40)</f>
        <v>15311395</v>
      </c>
      <c r="F41" s="1829">
        <f>SUM(F19:F39)</f>
        <v>1851275</v>
      </c>
      <c r="G41" s="1829">
        <f>SUM(G19:G40)</f>
        <v>13570600</v>
      </c>
    </row>
    <row r="42" spans="1:7" x14ac:dyDescent="0.2">
      <c r="A42" s="988"/>
      <c r="B42" s="162"/>
      <c r="C42" s="1002"/>
      <c r="D42" s="2317" t="s">
        <v>543</v>
      </c>
      <c r="E42" s="2318"/>
      <c r="F42" s="1003" t="s">
        <v>544</v>
      </c>
      <c r="G42" s="1004"/>
    </row>
    <row r="43" spans="1:7" ht="12" customHeight="1" x14ac:dyDescent="0.2">
      <c r="A43" s="988"/>
      <c r="B43" s="162"/>
      <c r="C43" s="1002"/>
      <c r="D43" s="1830" t="s">
        <v>493</v>
      </c>
      <c r="E43" s="1831">
        <f>D41</f>
        <v>110480</v>
      </c>
      <c r="F43" s="1830" t="s">
        <v>495</v>
      </c>
      <c r="G43" s="1831">
        <f>F41</f>
        <v>1851275</v>
      </c>
    </row>
    <row r="44" spans="1:7" ht="12" customHeight="1" x14ac:dyDescent="0.2">
      <c r="A44" s="988"/>
      <c r="B44" s="162"/>
      <c r="C44" s="1002"/>
      <c r="D44" s="1830" t="s">
        <v>494</v>
      </c>
      <c r="E44" s="1831">
        <f>E41</f>
        <v>15311395</v>
      </c>
      <c r="F44" s="1830" t="s">
        <v>494</v>
      </c>
      <c r="G44" s="1831">
        <f>G41</f>
        <v>13570600</v>
      </c>
    </row>
    <row r="45" spans="1:7" ht="12" customHeight="1" x14ac:dyDescent="0.2">
      <c r="A45" s="988"/>
      <c r="B45" s="162"/>
      <c r="C45" s="162"/>
      <c r="D45" s="1832" t="s">
        <v>1063</v>
      </c>
      <c r="E45" s="1833">
        <f>(E43/E44)</f>
        <v>7.2155411051703653E-3</v>
      </c>
      <c r="F45" s="1832" t="s">
        <v>1063</v>
      </c>
      <c r="G45" s="1833">
        <f>(G43/G44)</f>
        <v>0.1364180655240004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D19" sqref="D19"/>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36" t="s">
        <v>1445</v>
      </c>
      <c r="B1" s="2336"/>
      <c r="C1" s="2336"/>
      <c r="D1" s="2336"/>
      <c r="E1" s="2336"/>
      <c r="F1" s="2336"/>
    </row>
    <row r="2" spans="1:10" x14ac:dyDescent="0.2">
      <c r="A2" s="1910" t="s">
        <v>2043</v>
      </c>
      <c r="B2" s="1871"/>
      <c r="C2" s="1910"/>
      <c r="D2" s="1871"/>
      <c r="E2" s="1871"/>
      <c r="F2" s="1872"/>
    </row>
    <row r="3" spans="1:10" x14ac:dyDescent="0.2">
      <c r="A3" s="1910" t="s">
        <v>1699</v>
      </c>
      <c r="B3" s="1871"/>
      <c r="C3" s="1910"/>
      <c r="D3" s="1871"/>
      <c r="E3" s="1871"/>
      <c r="F3" s="1872"/>
    </row>
    <row r="4" spans="1:10" ht="3.75" customHeight="1" x14ac:dyDescent="0.2">
      <c r="A4" s="1871"/>
      <c r="B4" s="1871"/>
      <c r="C4" s="1871"/>
      <c r="D4" s="1871"/>
      <c r="E4" s="1871"/>
      <c r="F4" s="1872"/>
    </row>
    <row r="5" spans="1:10" ht="15" x14ac:dyDescent="0.25">
      <c r="A5" s="2337" t="s">
        <v>1626</v>
      </c>
      <c r="B5" s="2338"/>
      <c r="C5" s="2339"/>
      <c r="D5" s="2339"/>
      <c r="E5" s="2339"/>
      <c r="F5" s="2339"/>
    </row>
    <row r="6" spans="1:10" ht="12" customHeight="1" x14ac:dyDescent="0.25">
      <c r="A6" s="1873"/>
      <c r="B6" s="1874"/>
      <c r="C6" s="2340" t="str">
        <f>COVER!A17</f>
        <v>Harrisburg CUSD 3</v>
      </c>
      <c r="D6" s="2340"/>
      <c r="E6" s="2340"/>
      <c r="F6" s="1875"/>
    </row>
    <row r="7" spans="1:10" ht="11.25" customHeight="1" thickBot="1" x14ac:dyDescent="0.3">
      <c r="A7" s="1873"/>
      <c r="B7" s="1874"/>
      <c r="C7" s="2341">
        <f>COVER!A13</f>
        <v>20083003026</v>
      </c>
      <c r="D7" s="2341"/>
      <c r="E7" s="2341"/>
      <c r="F7" s="1875"/>
    </row>
    <row r="8" spans="1:10" ht="25.5" customHeight="1" thickBot="1" x14ac:dyDescent="0.25">
      <c r="A8" s="1916" t="s">
        <v>2020</v>
      </c>
      <c r="B8" s="1876"/>
      <c r="C8" s="1912" t="s">
        <v>1779</v>
      </c>
      <c r="D8" s="1911" t="s">
        <v>1780</v>
      </c>
      <c r="E8" s="1913" t="s">
        <v>1446</v>
      </c>
      <c r="F8" s="1911" t="s">
        <v>1781</v>
      </c>
      <c r="H8" s="1877" t="b">
        <v>0</v>
      </c>
    </row>
    <row r="9" spans="1:10" ht="15.75" customHeight="1" x14ac:dyDescent="0.2">
      <c r="A9" s="1878" t="s">
        <v>1622</v>
      </c>
      <c r="B9" s="1879"/>
      <c r="C9" s="1880"/>
      <c r="D9" s="1880"/>
      <c r="E9" s="1881"/>
      <c r="F9" s="1882"/>
    </row>
    <row r="10" spans="1:10" ht="27.75" customHeight="1" x14ac:dyDescent="0.2">
      <c r="A10" s="1883" t="s">
        <v>1778</v>
      </c>
      <c r="B10" s="1884"/>
      <c r="C10" s="1885"/>
      <c r="D10" s="1885"/>
      <c r="E10" s="1914" t="s">
        <v>1447</v>
      </c>
      <c r="F10" s="1915" t="s">
        <v>1448</v>
      </c>
    </row>
    <row r="11" spans="1:10" ht="12" customHeight="1" x14ac:dyDescent="0.2">
      <c r="A11" s="1886" t="s">
        <v>1449</v>
      </c>
      <c r="B11" s="1887"/>
      <c r="C11" s="1888"/>
      <c r="D11" s="1888"/>
      <c r="E11" s="1889"/>
      <c r="F11" s="1890"/>
      <c r="H11" s="1901">
        <f>IF(C11="X",5,0)</f>
        <v>0</v>
      </c>
      <c r="I11" s="1901">
        <f>IF(D11="X",5,0)</f>
        <v>0</v>
      </c>
      <c r="J11" s="1901">
        <f>IF(E11="X",5,0)</f>
        <v>0</v>
      </c>
    </row>
    <row r="12" spans="1:10" ht="12" customHeight="1" x14ac:dyDescent="0.2">
      <c r="A12" s="1886" t="s">
        <v>1450</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1451</v>
      </c>
      <c r="B13" s="1887"/>
      <c r="C13" s="1888"/>
      <c r="D13" s="1888"/>
      <c r="E13" s="1891"/>
      <c r="F13" s="1890"/>
      <c r="H13" s="1901">
        <f t="shared" si="0"/>
        <v>0</v>
      </c>
      <c r="I13" s="1901">
        <f t="shared" si="1"/>
        <v>0</v>
      </c>
      <c r="J13" s="1901">
        <f t="shared" si="2"/>
        <v>0</v>
      </c>
    </row>
    <row r="14" spans="1:10" ht="12" customHeight="1" x14ac:dyDescent="0.2">
      <c r="A14" s="1886" t="s">
        <v>1452</v>
      </c>
      <c r="B14" s="1887"/>
      <c r="C14" s="1888"/>
      <c r="D14" s="1888"/>
      <c r="E14" s="1891"/>
      <c r="F14" s="1890"/>
      <c r="H14" s="1901">
        <f t="shared" si="0"/>
        <v>0</v>
      </c>
      <c r="I14" s="1901">
        <f t="shared" si="1"/>
        <v>0</v>
      </c>
      <c r="J14" s="1901">
        <f t="shared" si="2"/>
        <v>0</v>
      </c>
    </row>
    <row r="15" spans="1:10" ht="12" customHeight="1" x14ac:dyDescent="0.2">
      <c r="A15" s="1886" t="s">
        <v>1453</v>
      </c>
      <c r="B15" s="1887"/>
      <c r="C15" s="1888"/>
      <c r="D15" s="1888"/>
      <c r="E15" s="1891"/>
      <c r="F15" s="1890"/>
      <c r="H15" s="1901">
        <f t="shared" si="0"/>
        <v>0</v>
      </c>
      <c r="I15" s="1901">
        <f t="shared" si="1"/>
        <v>0</v>
      </c>
      <c r="J15" s="1901">
        <f t="shared" si="2"/>
        <v>0</v>
      </c>
    </row>
    <row r="16" spans="1:10" ht="12" customHeight="1" x14ac:dyDescent="0.2">
      <c r="A16" s="1886" t="s">
        <v>1454</v>
      </c>
      <c r="B16" s="1887"/>
      <c r="C16" s="1888"/>
      <c r="D16" s="1888"/>
      <c r="E16" s="1891"/>
      <c r="F16" s="1890"/>
      <c r="H16" s="1901">
        <f t="shared" si="0"/>
        <v>0</v>
      </c>
      <c r="I16" s="1901">
        <f t="shared" si="1"/>
        <v>0</v>
      </c>
      <c r="J16" s="1901">
        <f t="shared" si="2"/>
        <v>0</v>
      </c>
    </row>
    <row r="17" spans="1:12" ht="12" customHeight="1" x14ac:dyDescent="0.2">
      <c r="A17" s="1886" t="s">
        <v>1455</v>
      </c>
      <c r="B17" s="1887"/>
      <c r="C17" s="1888"/>
      <c r="D17" s="1888"/>
      <c r="E17" s="1891"/>
      <c r="F17" s="1890"/>
      <c r="H17" s="1901">
        <f t="shared" si="0"/>
        <v>0</v>
      </c>
      <c r="I17" s="1901">
        <f t="shared" si="1"/>
        <v>0</v>
      </c>
      <c r="J17" s="1901">
        <f t="shared" si="2"/>
        <v>0</v>
      </c>
    </row>
    <row r="18" spans="1:12" ht="12" customHeight="1" x14ac:dyDescent="0.2">
      <c r="A18" s="1886" t="s">
        <v>1456</v>
      </c>
      <c r="B18" s="1887"/>
      <c r="C18" s="1888"/>
      <c r="D18" s="1888"/>
      <c r="E18" s="1891"/>
      <c r="F18" s="1890"/>
      <c r="H18" s="1901">
        <f t="shared" si="0"/>
        <v>0</v>
      </c>
      <c r="I18" s="1901">
        <f t="shared" si="1"/>
        <v>0</v>
      </c>
      <c r="J18" s="1901">
        <f t="shared" si="2"/>
        <v>0</v>
      </c>
    </row>
    <row r="19" spans="1:12" ht="12" customHeight="1" x14ac:dyDescent="0.2">
      <c r="A19" s="1886" t="s">
        <v>1607</v>
      </c>
      <c r="B19" s="1887"/>
      <c r="C19" s="1888"/>
      <c r="D19" s="1888"/>
      <c r="E19" s="1891"/>
      <c r="F19" s="1890"/>
      <c r="H19" s="1901">
        <f t="shared" si="0"/>
        <v>0</v>
      </c>
      <c r="I19" s="1901">
        <f t="shared" si="1"/>
        <v>0</v>
      </c>
      <c r="J19" s="1901">
        <f t="shared" si="2"/>
        <v>0</v>
      </c>
    </row>
    <row r="20" spans="1:12" ht="12" customHeight="1" x14ac:dyDescent="0.2">
      <c r="A20" s="1886" t="s">
        <v>1608</v>
      </c>
      <c r="B20" s="1887"/>
      <c r="C20" s="1888"/>
      <c r="D20" s="1888"/>
      <c r="E20" s="1891"/>
      <c r="F20" s="1890"/>
      <c r="H20" s="1901">
        <f t="shared" si="0"/>
        <v>0</v>
      </c>
      <c r="I20" s="1901">
        <f t="shared" si="1"/>
        <v>0</v>
      </c>
      <c r="J20" s="1901">
        <f t="shared" si="2"/>
        <v>0</v>
      </c>
    </row>
    <row r="21" spans="1:12" ht="12" customHeight="1" x14ac:dyDescent="0.2">
      <c r="A21" s="1886" t="s">
        <v>1609</v>
      </c>
      <c r="B21" s="1887"/>
      <c r="C21" s="1888"/>
      <c r="D21" s="1888"/>
      <c r="E21" s="1891"/>
      <c r="F21" s="1890"/>
      <c r="H21" s="1901">
        <f t="shared" si="0"/>
        <v>0</v>
      </c>
      <c r="I21" s="1901">
        <f t="shared" si="1"/>
        <v>0</v>
      </c>
      <c r="J21" s="1901">
        <f t="shared" si="2"/>
        <v>0</v>
      </c>
    </row>
    <row r="22" spans="1:12" ht="12" customHeight="1" x14ac:dyDescent="0.2">
      <c r="A22" s="1886" t="s">
        <v>1610</v>
      </c>
      <c r="B22" s="1887"/>
      <c r="C22" s="1888"/>
      <c r="D22" s="1888"/>
      <c r="E22" s="1891"/>
      <c r="F22" s="1890"/>
      <c r="H22" s="1901">
        <f t="shared" si="0"/>
        <v>0</v>
      </c>
      <c r="I22" s="1901">
        <f t="shared" si="1"/>
        <v>0</v>
      </c>
      <c r="J22" s="1901">
        <f t="shared" si="2"/>
        <v>0</v>
      </c>
    </row>
    <row r="23" spans="1:12" ht="12" customHeight="1" x14ac:dyDescent="0.2">
      <c r="A23" s="1886" t="s">
        <v>1611</v>
      </c>
      <c r="B23" s="1887"/>
      <c r="C23" s="1888"/>
      <c r="D23" s="1888"/>
      <c r="E23" s="1891"/>
      <c r="F23" s="1890"/>
      <c r="H23" s="1901">
        <f t="shared" si="0"/>
        <v>0</v>
      </c>
      <c r="I23" s="1901">
        <f t="shared" si="1"/>
        <v>0</v>
      </c>
      <c r="J23" s="1901">
        <f t="shared" si="2"/>
        <v>0</v>
      </c>
    </row>
    <row r="24" spans="1:12" ht="12" customHeight="1" x14ac:dyDescent="0.2">
      <c r="A24" s="1886" t="s">
        <v>1612</v>
      </c>
      <c r="B24" s="1887"/>
      <c r="C24" s="1888"/>
      <c r="D24" s="1888"/>
      <c r="E24" s="1891"/>
      <c r="F24" s="1890"/>
      <c r="H24" s="1901">
        <f t="shared" si="0"/>
        <v>0</v>
      </c>
      <c r="I24" s="1901">
        <f t="shared" si="1"/>
        <v>0</v>
      </c>
      <c r="J24" s="1901">
        <f t="shared" si="2"/>
        <v>0</v>
      </c>
    </row>
    <row r="25" spans="1:12" ht="12" customHeight="1" x14ac:dyDescent="0.2">
      <c r="A25" s="1886" t="s">
        <v>1613</v>
      </c>
      <c r="B25" s="1887"/>
      <c r="C25" s="1888"/>
      <c r="D25" s="1888"/>
      <c r="E25" s="1891"/>
      <c r="F25" s="1890"/>
      <c r="H25" s="1901">
        <f t="shared" si="0"/>
        <v>0</v>
      </c>
      <c r="I25" s="1901">
        <f t="shared" si="1"/>
        <v>0</v>
      </c>
      <c r="J25" s="1901">
        <f t="shared" si="2"/>
        <v>0</v>
      </c>
    </row>
    <row r="26" spans="1:12" ht="12" customHeight="1" x14ac:dyDescent="0.2">
      <c r="A26" s="1886" t="s">
        <v>1614</v>
      </c>
      <c r="B26" s="1887"/>
      <c r="C26" s="1888" t="s">
        <v>2153</v>
      </c>
      <c r="D26" s="1888" t="s">
        <v>2153</v>
      </c>
      <c r="E26" s="1891"/>
      <c r="F26" s="1890" t="s">
        <v>2154</v>
      </c>
      <c r="H26" s="1901">
        <f t="shared" si="0"/>
        <v>5</v>
      </c>
      <c r="I26" s="1901">
        <f t="shared" si="1"/>
        <v>5</v>
      </c>
      <c r="J26" s="1901">
        <f t="shared" si="2"/>
        <v>0</v>
      </c>
    </row>
    <row r="27" spans="1:12" ht="18.75" x14ac:dyDescent="0.2">
      <c r="A27" s="1886" t="s">
        <v>1615</v>
      </c>
      <c r="B27" s="1887"/>
      <c r="C27" s="1888"/>
      <c r="D27" s="1888"/>
      <c r="E27" s="1891"/>
      <c r="F27" s="1890"/>
      <c r="H27" s="1901">
        <f t="shared" si="0"/>
        <v>0</v>
      </c>
      <c r="I27" s="1901">
        <f t="shared" si="1"/>
        <v>0</v>
      </c>
      <c r="J27" s="1901">
        <f t="shared" si="2"/>
        <v>0</v>
      </c>
    </row>
    <row r="28" spans="1:12" ht="12" customHeight="1" x14ac:dyDescent="0.2">
      <c r="A28" s="1886" t="s">
        <v>1616</v>
      </c>
      <c r="B28" s="1887"/>
      <c r="C28" s="1888"/>
      <c r="D28" s="1888"/>
      <c r="E28" s="1891"/>
      <c r="F28" s="1890"/>
      <c r="H28" s="1901">
        <f t="shared" si="0"/>
        <v>0</v>
      </c>
      <c r="I28" s="1901">
        <f t="shared" si="1"/>
        <v>0</v>
      </c>
      <c r="J28" s="1901">
        <f t="shared" si="2"/>
        <v>0</v>
      </c>
    </row>
    <row r="29" spans="1:12" ht="12" customHeight="1" x14ac:dyDescent="0.2">
      <c r="A29" s="1886" t="s">
        <v>1617</v>
      </c>
      <c r="B29" s="1887"/>
      <c r="C29" s="1888"/>
      <c r="D29" s="1888"/>
      <c r="E29" s="1891"/>
      <c r="F29" s="1890"/>
      <c r="H29" s="1901">
        <f t="shared" si="0"/>
        <v>0</v>
      </c>
      <c r="I29" s="1901">
        <f t="shared" si="1"/>
        <v>0</v>
      </c>
      <c r="J29" s="1901">
        <f t="shared" si="2"/>
        <v>0</v>
      </c>
    </row>
    <row r="30" spans="1:12" ht="12" customHeight="1" x14ac:dyDescent="0.2">
      <c r="A30" s="1886" t="s">
        <v>1618</v>
      </c>
      <c r="B30" s="1887"/>
      <c r="C30" s="1888"/>
      <c r="D30" s="1888"/>
      <c r="E30" s="1891"/>
      <c r="F30" s="1890"/>
      <c r="H30" s="1901">
        <f t="shared" si="0"/>
        <v>0</v>
      </c>
      <c r="I30" s="1901">
        <f t="shared" si="1"/>
        <v>0</v>
      </c>
      <c r="J30" s="1901">
        <f t="shared" si="2"/>
        <v>0</v>
      </c>
    </row>
    <row r="31" spans="1:12" ht="12" customHeight="1" x14ac:dyDescent="0.2">
      <c r="A31" s="1886" t="s">
        <v>1619</v>
      </c>
      <c r="B31" s="1887"/>
      <c r="C31" s="1888" t="s">
        <v>2153</v>
      </c>
      <c r="D31" s="1888" t="s">
        <v>2153</v>
      </c>
      <c r="E31" s="1891"/>
      <c r="F31" s="1890" t="s">
        <v>2155</v>
      </c>
      <c r="H31" s="1901">
        <f t="shared" si="0"/>
        <v>5</v>
      </c>
      <c r="I31" s="1901">
        <f t="shared" si="1"/>
        <v>5</v>
      </c>
      <c r="J31" s="1901">
        <f t="shared" si="2"/>
        <v>0</v>
      </c>
      <c r="L31" s="1892"/>
    </row>
    <row r="32" spans="1:12" ht="12" customHeight="1" x14ac:dyDescent="0.2">
      <c r="A32" s="1886" t="s">
        <v>1620</v>
      </c>
      <c r="B32" s="1887"/>
      <c r="C32" s="1888"/>
      <c r="D32" s="1888"/>
      <c r="E32" s="1891"/>
      <c r="F32" s="1890"/>
      <c r="H32" s="1901">
        <f t="shared" si="0"/>
        <v>0</v>
      </c>
      <c r="I32" s="1901">
        <f t="shared" si="1"/>
        <v>0</v>
      </c>
      <c r="J32" s="1901">
        <f t="shared" si="2"/>
        <v>0</v>
      </c>
    </row>
    <row r="33" spans="1:11" ht="12" customHeight="1" x14ac:dyDescent="0.2">
      <c r="A33" s="1886" t="s">
        <v>1621</v>
      </c>
      <c r="B33" s="1887"/>
      <c r="C33" s="1888" t="s">
        <v>2153</v>
      </c>
      <c r="D33" s="1888" t="s">
        <v>2153</v>
      </c>
      <c r="E33" s="1891"/>
      <c r="F33" s="1890" t="s">
        <v>2154</v>
      </c>
      <c r="H33" s="1901">
        <f t="shared" si="0"/>
        <v>5</v>
      </c>
      <c r="I33" s="1901">
        <f t="shared" si="1"/>
        <v>5</v>
      </c>
      <c r="J33" s="1901">
        <f t="shared" si="2"/>
        <v>0</v>
      </c>
    </row>
    <row r="34" spans="1:11" ht="12" customHeight="1" x14ac:dyDescent="0.25">
      <c r="A34" s="1893"/>
      <c r="B34" s="1893"/>
      <c r="C34" s="1893"/>
      <c r="D34" s="1893"/>
      <c r="E34" s="1893"/>
      <c r="F34" s="1893"/>
      <c r="H34" s="1901">
        <f>SUM(H11:H32)</f>
        <v>10</v>
      </c>
      <c r="I34" s="1901">
        <f>SUM(I11:I32)</f>
        <v>10</v>
      </c>
      <c r="J34" s="1901">
        <f>SUM(J11:J32)</f>
        <v>0</v>
      </c>
      <c r="K34" s="1901">
        <f>SUM(H34:J34)</f>
        <v>20</v>
      </c>
    </row>
    <row r="35" spans="1:11" ht="12" customHeight="1" x14ac:dyDescent="0.2">
      <c r="A35" s="1894" t="s">
        <v>1458</v>
      </c>
      <c r="B35" s="1895"/>
      <c r="C35" s="2342"/>
      <c r="D35" s="2342"/>
      <c r="E35" s="2342"/>
      <c r="F35" s="2343"/>
    </row>
    <row r="36" spans="1:11" ht="12" customHeight="1" x14ac:dyDescent="0.2">
      <c r="A36" s="2325" t="s">
        <v>2156</v>
      </c>
      <c r="B36" s="2326"/>
      <c r="C36" s="2326"/>
      <c r="D36" s="2326"/>
      <c r="E36" s="2326"/>
      <c r="F36" s="2327"/>
    </row>
    <row r="37" spans="1:11" ht="12" customHeight="1" x14ac:dyDescent="0.2">
      <c r="A37" s="2325" t="s">
        <v>2157</v>
      </c>
      <c r="B37" s="2326"/>
      <c r="C37" s="2326"/>
      <c r="D37" s="2326"/>
      <c r="E37" s="2326"/>
      <c r="F37" s="2327"/>
    </row>
    <row r="38" spans="1:11" ht="12" customHeight="1" x14ac:dyDescent="0.2">
      <c r="A38" s="2328" t="s">
        <v>2158</v>
      </c>
      <c r="B38" s="2329"/>
      <c r="C38" s="2329"/>
      <c r="D38" s="2329"/>
      <c r="E38" s="2329"/>
      <c r="F38" s="2330"/>
    </row>
    <row r="39" spans="1:11" ht="4.5" hidden="1" customHeight="1" x14ac:dyDescent="0.2">
      <c r="A39" s="1896"/>
      <c r="B39" s="1896"/>
      <c r="C39" s="1896"/>
      <c r="D39" s="1896"/>
      <c r="E39" s="1896"/>
      <c r="F39" s="1896"/>
    </row>
    <row r="40" spans="1:11" s="1893" customFormat="1" ht="12" customHeight="1" x14ac:dyDescent="0.25">
      <c r="A40" s="1897" t="s">
        <v>1457</v>
      </c>
      <c r="B40" s="1898"/>
      <c r="C40" s="2331"/>
      <c r="D40" s="2331"/>
      <c r="E40" s="2331"/>
      <c r="F40" s="2332"/>
      <c r="H40" s="1902"/>
      <c r="I40" s="1902"/>
      <c r="J40" s="1902"/>
      <c r="K40" s="1902"/>
    </row>
    <row r="41" spans="1:11" s="1893" customFormat="1" ht="12" customHeight="1" x14ac:dyDescent="0.25">
      <c r="A41" s="2333"/>
      <c r="B41" s="2334"/>
      <c r="C41" s="2334"/>
      <c r="D41" s="2334"/>
      <c r="E41" s="2334"/>
      <c r="F41" s="2335"/>
      <c r="H41" s="1902"/>
      <c r="I41" s="1902"/>
      <c r="J41" s="1902"/>
      <c r="K41" s="1902"/>
    </row>
    <row r="42" spans="1:11" s="1893" customFormat="1" ht="12" customHeight="1" x14ac:dyDescent="0.25">
      <c r="A42" s="2333" t="s">
        <v>2159</v>
      </c>
      <c r="B42" s="2334"/>
      <c r="C42" s="2334"/>
      <c r="D42" s="2334"/>
      <c r="E42" s="2334"/>
      <c r="F42" s="2335"/>
      <c r="H42" s="1902"/>
      <c r="I42" s="1902"/>
      <c r="J42" s="1902"/>
      <c r="K42" s="1902"/>
    </row>
    <row r="43" spans="1:11" s="1893" customFormat="1" ht="15" x14ac:dyDescent="0.25">
      <c r="A43" s="2322"/>
      <c r="B43" s="2323"/>
      <c r="C43" s="2323"/>
      <c r="D43" s="2323"/>
      <c r="E43" s="2323"/>
      <c r="F43" s="2324"/>
      <c r="H43" s="1902"/>
      <c r="I43" s="1902"/>
      <c r="J43" s="1902"/>
      <c r="K43" s="1902"/>
    </row>
    <row r="44" spans="1:11" s="1893" customFormat="1" ht="12" hidden="1" customHeight="1" x14ac:dyDescent="0.25">
      <c r="A44" s="2322"/>
      <c r="B44" s="2323"/>
      <c r="C44" s="2323"/>
      <c r="D44" s="2323"/>
      <c r="E44" s="2323"/>
      <c r="F44" s="2324"/>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49" t="str">
        <f>COVER!A17</f>
        <v>Harrisburg CUSD 3</v>
      </c>
      <c r="J6" s="2350"/>
      <c r="Q6" s="1686"/>
    </row>
    <row r="7" spans="1:17" x14ac:dyDescent="0.2">
      <c r="A7" s="2351" t="s">
        <v>924</v>
      </c>
      <c r="B7" s="2352"/>
      <c r="C7" s="2352"/>
      <c r="D7" s="2352"/>
      <c r="E7" s="2353"/>
      <c r="F7" s="1018"/>
      <c r="G7" s="1010"/>
      <c r="H7" s="1017" t="s">
        <v>390</v>
      </c>
      <c r="I7" s="2354">
        <f>COVER!A13</f>
        <v>20083003026</v>
      </c>
      <c r="J7" s="235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1700</v>
      </c>
      <c r="F9" s="1024"/>
      <c r="G9" s="1024"/>
      <c r="H9" s="1919"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5" t="s">
        <v>502</v>
      </c>
      <c r="B11" s="2356"/>
      <c r="C11" s="235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174436</v>
      </c>
      <c r="F12" s="1040"/>
      <c r="G12" s="1834">
        <f t="shared" ref="G12:G18" si="0">SUM(E12:F12)</f>
        <v>174436</v>
      </c>
      <c r="H12" s="1041">
        <v>194020</v>
      </c>
      <c r="I12" s="1040"/>
      <c r="J12" s="1834">
        <f t="shared" ref="J12:J18" si="1">SUM(H12:I12)</f>
        <v>194020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5400</v>
      </c>
      <c r="F14" s="1040"/>
      <c r="G14" s="1834">
        <f t="shared" si="0"/>
        <v>5400</v>
      </c>
      <c r="H14" s="1041"/>
      <c r="I14" s="1040"/>
      <c r="J14" s="1834">
        <f t="shared" si="1"/>
        <v>0</v>
      </c>
    </row>
    <row r="15" spans="1:17" ht="15" customHeight="1" x14ac:dyDescent="0.2">
      <c r="A15" s="1036">
        <v>4</v>
      </c>
      <c r="B15" s="1037" t="s">
        <v>1128</v>
      </c>
      <c r="C15" s="1038"/>
      <c r="D15" s="1039">
        <v>2510</v>
      </c>
      <c r="E15" s="1834">
        <f>'Expenditures 15-22'!K59</f>
        <v>97135</v>
      </c>
      <c r="F15" s="1834">
        <f>'Expenditures 15-22'!K122</f>
        <v>0</v>
      </c>
      <c r="G15" s="1834">
        <f t="shared" si="0"/>
        <v>97135</v>
      </c>
      <c r="H15" s="1041">
        <v>95775</v>
      </c>
      <c r="I15" s="1041"/>
      <c r="J15" s="1834">
        <f t="shared" si="1"/>
        <v>95775</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8" t="s">
        <v>7</v>
      </c>
      <c r="C18" s="2359"/>
      <c r="D18" s="236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276971</v>
      </c>
      <c r="F19" s="1836">
        <f t="shared" si="2"/>
        <v>0</v>
      </c>
      <c r="G19" s="1836">
        <f t="shared" si="2"/>
        <v>276971</v>
      </c>
      <c r="H19" s="1836">
        <f t="shared" si="2"/>
        <v>289795</v>
      </c>
      <c r="I19" s="1836">
        <f t="shared" si="2"/>
        <v>0</v>
      </c>
      <c r="J19" s="1836">
        <f t="shared" si="2"/>
        <v>289795</v>
      </c>
    </row>
    <row r="20" spans="1:10" ht="13.5" thickTop="1" x14ac:dyDescent="0.2">
      <c r="A20" s="1036">
        <v>9</v>
      </c>
      <c r="B20" s="2361" t="s">
        <v>1702</v>
      </c>
      <c r="C20" s="2361"/>
      <c r="D20" s="2362"/>
      <c r="E20" s="1047"/>
      <c r="F20" s="1047"/>
      <c r="G20" s="1047"/>
      <c r="H20" s="1047"/>
      <c r="I20" s="1047"/>
      <c r="J20" s="1837">
        <f>IF(AND(G19&gt;0,J19&gt;0),(((J19-G19)/G19)),"Enter Budget Data")</f>
        <v>4.6300876265024139E-2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1093</v>
      </c>
      <c r="D27" s="1053"/>
      <c r="E27" s="1054"/>
      <c r="F27" s="2363" t="s">
        <v>1588</v>
      </c>
      <c r="G27" s="2363"/>
    </row>
    <row r="28" spans="1:10" ht="28.5" customHeight="1" x14ac:dyDescent="0.2">
      <c r="B28" s="1048"/>
      <c r="C28" s="2365"/>
      <c r="D28" s="2365"/>
      <c r="E28" s="1055"/>
      <c r="F28" s="2365"/>
      <c r="G28" s="2365"/>
    </row>
    <row r="29" spans="1:10" x14ac:dyDescent="0.2">
      <c r="B29" s="1048"/>
      <c r="C29" s="1056" t="s">
        <v>1641</v>
      </c>
      <c r="E29" s="1057"/>
      <c r="F29" s="2364" t="s">
        <v>1589</v>
      </c>
      <c r="G29" s="236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5" customHeight="1" x14ac:dyDescent="0.2">
      <c r="B36" s="1062"/>
      <c r="C36" s="2348" t="s">
        <v>1940</v>
      </c>
      <c r="D36" s="2347"/>
      <c r="E36" s="2347"/>
      <c r="F36" s="2347"/>
      <c r="G36" s="2347"/>
      <c r="H36" s="2347"/>
      <c r="I36" s="2347"/>
      <c r="J36" s="1064"/>
    </row>
    <row r="37" spans="1:10" ht="22.5"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5" customHeight="1" x14ac:dyDescent="0.2">
      <c r="B39" s="1062"/>
      <c r="C39" s="2344" t="s">
        <v>937</v>
      </c>
      <c r="D39" s="2345"/>
      <c r="E39" s="2345"/>
      <c r="F39" s="2345"/>
      <c r="G39" s="2345"/>
      <c r="H39" s="2345"/>
      <c r="I39" s="234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&amp;C76</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8" sqref="B2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2132</v>
      </c>
    </row>
    <row r="6" spans="1:2" x14ac:dyDescent="0.2">
      <c r="A6" s="1069">
        <v>2</v>
      </c>
      <c r="B6" s="329" t="s">
        <v>2133</v>
      </c>
    </row>
    <row r="7" spans="1:2" x14ac:dyDescent="0.2">
      <c r="A7" s="1069">
        <v>3</v>
      </c>
      <c r="B7" s="329" t="s">
        <v>2134</v>
      </c>
    </row>
    <row r="8" spans="1:2" x14ac:dyDescent="0.2">
      <c r="A8" s="1069">
        <v>4</v>
      </c>
      <c r="B8" s="329" t="s">
        <v>2143</v>
      </c>
    </row>
    <row r="9" spans="1:2" x14ac:dyDescent="0.2">
      <c r="A9" s="1070"/>
      <c r="B9" s="329" t="s">
        <v>2142</v>
      </c>
    </row>
    <row r="10" spans="1:2" x14ac:dyDescent="0.2">
      <c r="A10" s="1070"/>
      <c r="B10" s="329" t="s">
        <v>2135</v>
      </c>
    </row>
    <row r="11" spans="1:2" x14ac:dyDescent="0.2">
      <c r="A11" s="1070"/>
      <c r="B11" s="329" t="s">
        <v>2136</v>
      </c>
    </row>
    <row r="12" spans="1:2" x14ac:dyDescent="0.2">
      <c r="A12" s="1070"/>
      <c r="B12" s="329" t="s">
        <v>2144</v>
      </c>
    </row>
    <row r="13" spans="1:2" x14ac:dyDescent="0.2">
      <c r="A13" s="1070"/>
      <c r="B13" s="329" t="s">
        <v>2137</v>
      </c>
    </row>
    <row r="14" spans="1:2" x14ac:dyDescent="0.2">
      <c r="A14" s="1070"/>
      <c r="B14" s="329" t="s">
        <v>2145</v>
      </c>
    </row>
    <row r="15" spans="1:2" x14ac:dyDescent="0.2">
      <c r="A15" s="1070"/>
      <c r="B15" s="329" t="s">
        <v>2146</v>
      </c>
    </row>
    <row r="16" spans="1:2" x14ac:dyDescent="0.2">
      <c r="A16" s="1070"/>
      <c r="B16" s="329" t="s">
        <v>2147</v>
      </c>
    </row>
    <row r="17" spans="1:2" x14ac:dyDescent="0.2">
      <c r="A17" s="1070"/>
      <c r="B17" s="329" t="s">
        <v>2138</v>
      </c>
    </row>
    <row r="18" spans="1:2" x14ac:dyDescent="0.2">
      <c r="A18" s="1070"/>
      <c r="B18" s="329" t="s">
        <v>2148</v>
      </c>
    </row>
    <row r="19" spans="1:2" x14ac:dyDescent="0.2">
      <c r="A19" s="1070"/>
      <c r="B19" s="329" t="s">
        <v>2149</v>
      </c>
    </row>
    <row r="20" spans="1:2" x14ac:dyDescent="0.2">
      <c r="A20" s="1070"/>
      <c r="B20" s="329" t="s">
        <v>2150</v>
      </c>
    </row>
    <row r="21" spans="1:2" x14ac:dyDescent="0.2">
      <c r="A21" s="1070"/>
      <c r="B21" s="329" t="s">
        <v>2151</v>
      </c>
    </row>
    <row r="22" spans="1:2" x14ac:dyDescent="0.2">
      <c r="A22" s="1070"/>
      <c r="B22" s="329" t="s">
        <v>2139</v>
      </c>
    </row>
    <row r="23" spans="1:2" x14ac:dyDescent="0.2">
      <c r="A23" s="1070"/>
      <c r="B23" s="329" t="s">
        <v>2140</v>
      </c>
    </row>
    <row r="24" spans="1:2" x14ac:dyDescent="0.2">
      <c r="A24" s="1070"/>
      <c r="B24" s="329" t="s">
        <v>2152</v>
      </c>
    </row>
    <row r="25" spans="1:2" x14ac:dyDescent="0.2">
      <c r="A25" s="1070"/>
      <c r="B25" s="329" t="s">
        <v>2141</v>
      </c>
    </row>
    <row r="26" spans="1:2" x14ac:dyDescent="0.2">
      <c r="A26" s="1070"/>
      <c r="B26" s="329" t="s">
        <v>2259</v>
      </c>
    </row>
    <row r="27" spans="1:2" x14ac:dyDescent="0.2">
      <c r="A27" s="1070"/>
      <c r="B27" s="329" t="s">
        <v>2260</v>
      </c>
    </row>
    <row r="28" spans="1:2" x14ac:dyDescent="0.2">
      <c r="A28" s="1070"/>
      <c r="B28" s="329" t="s">
        <v>2261</v>
      </c>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Harrisburg CUSD 3</v>
      </c>
    </row>
    <row r="65" spans="2:2" x14ac:dyDescent="0.2">
      <c r="B65" s="1071">
        <f>COVER!A13</f>
        <v>20083003026</v>
      </c>
    </row>
  </sheetData>
  <phoneticPr fontId="16" type="noConversion"/>
  <pageMargins left="0.2" right="0.2" top="1.17" bottom="0.75" header="0.19" footer="0.16"/>
  <pageSetup scale="80" firstPageNumber="32" orientation="portrait" useFirstPageNumber="1" r:id="rId1"/>
  <headerFooter alignWithMargins="0">
    <oddHeader xml:space="preserve">&amp;C </oddHeader>
    <oddFooter>&amp;CThe notes to the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1707</v>
      </c>
    </row>
    <row r="22" spans="1:5" x14ac:dyDescent="0.2">
      <c r="A22" s="168"/>
      <c r="B22" s="162" t="s">
        <v>1964</v>
      </c>
      <c r="C22" s="162" t="s">
        <v>1231</v>
      </c>
      <c r="D22" s="167" t="s">
        <v>1966</v>
      </c>
      <c r="E22" s="1859" t="s">
        <v>1708</v>
      </c>
    </row>
    <row r="23" spans="1:5" x14ac:dyDescent="0.2">
      <c r="A23" s="168"/>
      <c r="B23" s="162" t="s">
        <v>1965</v>
      </c>
      <c r="D23" s="167" t="s">
        <v>658</v>
      </c>
      <c r="E23" s="1859" t="s">
        <v>1016</v>
      </c>
    </row>
    <row r="24" spans="1:5" x14ac:dyDescent="0.2">
      <c r="A24" s="168" t="s">
        <v>1706</v>
      </c>
      <c r="C24" s="162" t="s">
        <v>1231</v>
      </c>
      <c r="D24" s="167" t="s">
        <v>1459</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1432</v>
      </c>
    </row>
    <row r="29" spans="1:5" x14ac:dyDescent="0.2">
      <c r="A29" s="168" t="s">
        <v>1982</v>
      </c>
      <c r="D29" s="169" t="s">
        <v>1460</v>
      </c>
      <c r="E29" s="170" t="s">
        <v>1441</v>
      </c>
    </row>
    <row r="30" spans="1:5" x14ac:dyDescent="0.2">
      <c r="A30" s="173" t="s">
        <v>1983</v>
      </c>
      <c r="C30" s="162" t="s">
        <v>1231</v>
      </c>
      <c r="D30" s="169" t="s">
        <v>42</v>
      </c>
      <c r="E30" s="170" t="s">
        <v>1039</v>
      </c>
    </row>
    <row r="31" spans="1:5" x14ac:dyDescent="0.2">
      <c r="A31" s="168" t="s">
        <v>1601</v>
      </c>
      <c r="C31" s="162" t="s">
        <v>1231</v>
      </c>
      <c r="D31" s="167"/>
      <c r="E31" s="171"/>
    </row>
    <row r="32" spans="1:5" x14ac:dyDescent="0.2">
      <c r="B32" s="167" t="s">
        <v>1984</v>
      </c>
      <c r="C32" s="162" t="s">
        <v>1231</v>
      </c>
      <c r="D32" s="169" t="s">
        <v>1602</v>
      </c>
      <c r="E32" s="170" t="s">
        <v>1461</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1705</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1480</v>
      </c>
      <c r="D6" s="24"/>
    </row>
    <row r="7" spans="1:4" ht="13.5" customHeight="1" x14ac:dyDescent="0.2">
      <c r="A7" s="23"/>
      <c r="B7" s="25"/>
      <c r="C7" s="65" t="s">
        <v>1481</v>
      </c>
      <c r="D7" s="24"/>
    </row>
    <row r="8" spans="1:4" ht="13.5" customHeight="1" x14ac:dyDescent="0.2">
      <c r="A8" s="23"/>
      <c r="B8" s="146" t="s">
        <v>1000</v>
      </c>
      <c r="C8" s="65" t="s">
        <v>1466</v>
      </c>
      <c r="D8" s="24"/>
    </row>
    <row r="9" spans="1:4" ht="13.5" customHeight="1" x14ac:dyDescent="0.2">
      <c r="A9" s="14"/>
      <c r="B9" s="144" t="s">
        <v>1001</v>
      </c>
      <c r="C9" s="142" t="s">
        <v>1385</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1465</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68" t="s">
        <v>1783</v>
      </c>
      <c r="B18" s="2368"/>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2"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1202" r:id="rId4"/>
      </mc:Fallback>
    </mc:AlternateContent>
    <mc:AlternateContent xmlns:mc="http://schemas.openxmlformats.org/markup-compatibility/2006">
      <mc:Choice Requires="x14">
        <oleObject progId="Acrobat Document" dvAspect="DVASPECT_ICON" shapeId="51203" r:id="rId6">
          <objectPr defaultSize="0" r:id="rId7">
            <anchor moveWithCells="1">
              <from>
                <xdr:col>1</xdr:col>
                <xdr:colOff>952500</xdr:colOff>
                <xdr:row>0</xdr:row>
                <xdr:rowOff>38100</xdr:rowOff>
              </from>
              <to>
                <xdr:col>1</xdr:col>
                <xdr:colOff>1866900</xdr:colOff>
                <xdr:row>4</xdr:row>
                <xdr:rowOff>76200</xdr:rowOff>
              </to>
            </anchor>
          </objectPr>
        </oleObject>
      </mc:Choice>
      <mc:Fallback>
        <oleObject progId="Acrobat Document" dvAspect="DVASPECT_ICON" shapeId="51203" r:id="rId6"/>
      </mc:Fallback>
    </mc:AlternateContent>
    <mc:AlternateContent xmlns:mc="http://schemas.openxmlformats.org/markup-compatibility/2006">
      <mc:Choice Requires="x14">
        <oleObject progId="Document" dvAspect="DVASPECT_ICON" shapeId="51204" r:id="rId8">
          <objectPr defaultSize="0" r:id="rId9">
            <anchor moveWithCells="1">
              <from>
                <xdr:col>0</xdr:col>
                <xdr:colOff>0</xdr:colOff>
                <xdr:row>7</xdr:row>
                <xdr:rowOff>9525</xdr:rowOff>
              </from>
              <to>
                <xdr:col>1</xdr:col>
                <xdr:colOff>790575</xdr:colOff>
                <xdr:row>11</xdr:row>
                <xdr:rowOff>47625</xdr:rowOff>
              </to>
            </anchor>
          </objectPr>
        </oleObject>
      </mc:Choice>
      <mc:Fallback>
        <oleObject progId="Document" dvAspect="DVASPECT_ICON" shapeId="5120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1789</v>
      </c>
      <c r="B1" s="2370"/>
      <c r="C1" s="2370"/>
      <c r="D1" s="2370"/>
      <c r="E1" s="2370"/>
      <c r="F1" s="2371"/>
    </row>
    <row r="2" spans="1:8" ht="45" customHeight="1" x14ac:dyDescent="0.2">
      <c r="A2" s="2379" t="s">
        <v>1790</v>
      </c>
      <c r="B2" s="2380"/>
      <c r="C2" s="2380"/>
      <c r="D2" s="2380"/>
      <c r="E2" s="2380"/>
      <c r="F2" s="2381"/>
      <c r="G2" s="1075"/>
      <c r="H2" s="1075"/>
    </row>
    <row r="3" spans="1:8" ht="57" customHeight="1" x14ac:dyDescent="0.2">
      <c r="A3" s="2382" t="s">
        <v>1785</v>
      </c>
      <c r="B3" s="2383"/>
      <c r="C3" s="2383"/>
      <c r="D3" s="2383"/>
      <c r="E3" s="2383"/>
      <c r="F3" s="2384"/>
      <c r="G3" s="1075"/>
      <c r="H3" s="1075"/>
    </row>
    <row r="4" spans="1:8" ht="14.25" customHeight="1" x14ac:dyDescent="0.2">
      <c r="A4" s="2388" t="s">
        <v>2051</v>
      </c>
      <c r="B4" s="2389"/>
      <c r="C4" s="2389"/>
      <c r="D4" s="2389"/>
      <c r="E4" s="2389"/>
      <c r="F4" s="2390"/>
      <c r="G4" s="1075"/>
      <c r="H4" s="1075"/>
    </row>
    <row r="5" spans="1:8" ht="14.25" customHeight="1" x14ac:dyDescent="0.2">
      <c r="A5" s="2391" t="s">
        <v>2052</v>
      </c>
      <c r="B5" s="2392"/>
      <c r="C5" s="2392"/>
      <c r="D5" s="2392"/>
      <c r="E5" s="2392"/>
      <c r="F5" s="2393"/>
      <c r="G5" s="1075"/>
      <c r="H5" s="1075"/>
    </row>
    <row r="6" spans="1:8" s="1076" customFormat="1" ht="41.25" customHeight="1" x14ac:dyDescent="0.2">
      <c r="A6" s="2385" t="s">
        <v>1791</v>
      </c>
      <c r="B6" s="2386"/>
      <c r="C6" s="2386"/>
      <c r="D6" s="2386"/>
      <c r="E6" s="2386"/>
      <c r="F6" s="2387"/>
    </row>
    <row r="7" spans="1:8" ht="42" customHeight="1" x14ac:dyDescent="0.2">
      <c r="A7" s="1077" t="s">
        <v>502</v>
      </c>
      <c r="B7" s="1078" t="s">
        <v>1575</v>
      </c>
      <c r="C7" s="1078" t="s">
        <v>1576</v>
      </c>
      <c r="D7" s="1078" t="s">
        <v>1574</v>
      </c>
      <c r="E7" s="1078" t="s">
        <v>1577</v>
      </c>
      <c r="F7" s="1078" t="s">
        <v>1433</v>
      </c>
    </row>
    <row r="8" spans="1:8" s="1080" customFormat="1" ht="14.25" customHeight="1" x14ac:dyDescent="0.2">
      <c r="A8" s="1079" t="s">
        <v>1434</v>
      </c>
      <c r="B8" s="1838">
        <f>'Acct Summary 7-8'!C8</f>
        <v>17273884</v>
      </c>
      <c r="C8" s="1838">
        <f>'Acct Summary 7-8'!D8</f>
        <v>750313</v>
      </c>
      <c r="D8" s="1838">
        <f>'Acct Summary 7-8'!F8</f>
        <v>1196570</v>
      </c>
      <c r="E8" s="1838">
        <f>'Acct Summary 7-8'!I8</f>
        <v>66503</v>
      </c>
      <c r="F8" s="1838">
        <f>SUM(B8:E8)</f>
        <v>19287270</v>
      </c>
    </row>
    <row r="9" spans="1:8" s="1080" customFormat="1" ht="14.25" customHeight="1" thickBot="1" x14ac:dyDescent="0.25">
      <c r="A9" s="1079" t="s">
        <v>1435</v>
      </c>
      <c r="B9" s="1839">
        <f>'Acct Summary 7-8'!C17</f>
        <v>15478696</v>
      </c>
      <c r="C9" s="1839">
        <f>'Acct Summary 7-8'!D17</f>
        <v>794438</v>
      </c>
      <c r="D9" s="1839">
        <f>'Acct Summary 7-8'!F17</f>
        <v>1077853</v>
      </c>
      <c r="E9" s="1838"/>
      <c r="F9" s="1838">
        <f>SUM(B9:E9)</f>
        <v>17350987</v>
      </c>
    </row>
    <row r="10" spans="1:8" s="1080" customFormat="1" ht="14.25" thickTop="1" thickBot="1" x14ac:dyDescent="0.25">
      <c r="A10" s="1081" t="s">
        <v>1436</v>
      </c>
      <c r="B10" s="1840">
        <f>(B8-B9)</f>
        <v>1795188</v>
      </c>
      <c r="C10" s="1840">
        <f>(C8-C9)</f>
        <v>-44125</v>
      </c>
      <c r="D10" s="1840">
        <f>(D8-D9)</f>
        <v>118717</v>
      </c>
      <c r="E10" s="1839">
        <f>(E8-E9)</f>
        <v>66503</v>
      </c>
      <c r="F10" s="1841">
        <f>SUM(F8-F9)</f>
        <v>1936283</v>
      </c>
    </row>
    <row r="11" spans="1:8" s="1080" customFormat="1" ht="14.25" thickTop="1" thickBot="1" x14ac:dyDescent="0.25">
      <c r="A11" s="1082" t="s">
        <v>1784</v>
      </c>
      <c r="B11" s="1842">
        <f>'Acct Summary 7-8'!C81</f>
        <v>2562396</v>
      </c>
      <c r="C11" s="1842">
        <f>'Acct Summary 7-8'!D81</f>
        <v>23809</v>
      </c>
      <c r="D11" s="1842">
        <f>'Acct Summary 7-8'!F81</f>
        <v>132100</v>
      </c>
      <c r="E11" s="1842">
        <f>'Acct Summary 7-8'!I81</f>
        <v>309111</v>
      </c>
      <c r="F11" s="1843">
        <f>SUM(B11:E11)</f>
        <v>3027416</v>
      </c>
    </row>
    <row r="12" spans="1:8" ht="16.5" customHeight="1" thickTop="1" x14ac:dyDescent="0.2">
      <c r="A12" s="1083"/>
      <c r="B12" s="1084"/>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5"/>
      <c r="B13" s="1086"/>
      <c r="C13" s="2373"/>
      <c r="D13" s="2374"/>
      <c r="E13" s="2374"/>
      <c r="F13" s="2375"/>
      <c r="H13" s="1075"/>
    </row>
    <row r="14" spans="1:8" ht="19.5" customHeight="1" x14ac:dyDescent="0.2">
      <c r="A14" s="1085"/>
      <c r="B14" s="1086"/>
      <c r="C14" s="2373"/>
      <c r="D14" s="2374"/>
      <c r="E14" s="2374"/>
      <c r="F14" s="2375"/>
      <c r="H14" s="1075"/>
    </row>
    <row r="15" spans="1:8" ht="17.25" customHeight="1" x14ac:dyDescent="0.2">
      <c r="A15" s="1085"/>
      <c r="B15" s="1086"/>
      <c r="C15" s="2376"/>
      <c r="D15" s="2377"/>
      <c r="E15" s="2377"/>
      <c r="F15" s="2378"/>
      <c r="H15" s="1075"/>
    </row>
    <row r="16" spans="1:8" s="310" customFormat="1" ht="51.75" hidden="1" customHeight="1" x14ac:dyDescent="0.2">
      <c r="A16" s="2372" t="s">
        <v>1786</v>
      </c>
      <c r="B16" s="2372"/>
      <c r="C16" s="2372"/>
      <c r="D16" s="2372"/>
      <c r="E16" s="2372"/>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&amp;C74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94" t="s">
        <v>686</v>
      </c>
      <c r="B3" s="2395"/>
      <c r="C3" s="2395"/>
      <c r="D3" s="2396"/>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5" t="s">
        <v>1583</v>
      </c>
      <c r="D7" s="2406"/>
    </row>
    <row r="8" spans="1:4" s="669" customFormat="1" ht="12.75" x14ac:dyDescent="0.2">
      <c r="A8" s="1139"/>
      <c r="B8" s="1094"/>
      <c r="C8" s="1097" t="s">
        <v>1582</v>
      </c>
      <c r="D8" s="1098"/>
    </row>
    <row r="9" spans="1:4" s="669" customFormat="1" ht="14.25" customHeight="1" x14ac:dyDescent="0.2">
      <c r="A9" s="1139"/>
      <c r="B9" s="1094">
        <f>B7+1</f>
        <v>4</v>
      </c>
      <c r="C9" s="1095" t="s">
        <v>2044</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1584</v>
      </c>
      <c r="D14" s="1138"/>
    </row>
    <row r="15" spans="1:4" s="669" customFormat="1" ht="21.75" customHeight="1" x14ac:dyDescent="0.2">
      <c r="A15" s="2397" t="s">
        <v>1065</v>
      </c>
      <c r="B15" s="2398"/>
      <c r="C15" s="2398"/>
      <c r="D15" s="2399"/>
    </row>
    <row r="16" spans="1:4" s="669" customFormat="1" ht="24" customHeight="1" x14ac:dyDescent="0.2">
      <c r="A16" s="2400" t="s">
        <v>684</v>
      </c>
      <c r="B16" s="2401"/>
      <c r="C16" s="2401"/>
      <c r="D16" s="2402"/>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409" t="s">
        <v>332</v>
      </c>
      <c r="D21" s="2410"/>
    </row>
    <row r="22" spans="1:10" ht="12.75" x14ac:dyDescent="0.2">
      <c r="A22" s="1140"/>
      <c r="B22" s="1141">
        <v>2</v>
      </c>
      <c r="C22" s="2407" t="s">
        <v>1604</v>
      </c>
      <c r="D22" s="240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1" t="s">
        <v>557</v>
      </c>
      <c r="D43" s="2412"/>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03" t="s">
        <v>817</v>
      </c>
      <c r="D56" s="2404"/>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2045</v>
      </c>
      <c r="D66" s="1126"/>
    </row>
    <row r="67" spans="1:4" x14ac:dyDescent="0.2">
      <c r="A67" s="1120"/>
      <c r="B67" s="1141"/>
      <c r="C67" s="1148" t="s">
        <v>1079</v>
      </c>
      <c r="D67" s="1126"/>
    </row>
    <row r="68" spans="1:4" x14ac:dyDescent="0.2">
      <c r="A68" s="1101"/>
      <c r="B68" s="1111"/>
      <c r="C68" s="1103" t="s">
        <v>2046</v>
      </c>
      <c r="D68" s="1125" t="str">
        <f>IF('Short-Term Long-Term Debt 24'!F49=SUM(,'Acct Summary 7-8'!C33:K33),"OK","ERROR!")</f>
        <v>ERROR!</v>
      </c>
    </row>
    <row r="69" spans="1:4" x14ac:dyDescent="0.2">
      <c r="A69" s="1101"/>
      <c r="B69" s="1111"/>
      <c r="C69" s="1103" t="s">
        <v>2047</v>
      </c>
      <c r="D69" s="1125" t="str">
        <f>IF('Expenditures 15-22'!H170&lt;&gt;'Short-Term Long-Term Debt 24'!H49,"ERROR!","OK")</f>
        <v>ERROR!</v>
      </c>
    </row>
    <row r="70" spans="1:4" x14ac:dyDescent="0.2">
      <c r="A70" s="1099"/>
      <c r="B70" s="1121">
        <f>B66+1</f>
        <v>9</v>
      </c>
      <c r="C70" s="2403" t="s">
        <v>1796</v>
      </c>
      <c r="D70" s="2404"/>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2048</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2049</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2050</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20083003026</v>
      </c>
    </row>
    <row r="3" spans="1:2" x14ac:dyDescent="0.2">
      <c r="A3" t="s">
        <v>1013</v>
      </c>
      <c r="B3" s="138" t="str">
        <f>COVER!A15</f>
        <v>Saline</v>
      </c>
    </row>
    <row r="4" spans="1:2" x14ac:dyDescent="0.2">
      <c r="A4" t="s">
        <v>1064</v>
      </c>
      <c r="B4" s="138" t="str">
        <f>COVER!A17</f>
        <v>Harrisburg CUSD 3</v>
      </c>
    </row>
    <row r="5" spans="1:2" x14ac:dyDescent="0.2">
      <c r="A5" t="s">
        <v>728</v>
      </c>
      <c r="B5" s="138" t="str">
        <f>COVER!A38</f>
        <v>Michael Gauch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497</v>
      </c>
      <c r="B14" s="138" t="str">
        <f>IF(COVER!J31="x","Yes",IF(COVER!L31="x","No",0))</f>
        <v>No</v>
      </c>
    </row>
    <row r="15" spans="1:2" x14ac:dyDescent="0.2">
      <c r="A15" t="s">
        <v>598</v>
      </c>
      <c r="B15" s="138">
        <f>COVER!T23</f>
        <v>60.009546999999998</v>
      </c>
    </row>
    <row r="16" spans="1:2" x14ac:dyDescent="0.2">
      <c r="A16" t="s">
        <v>442</v>
      </c>
      <c r="B16" s="138" t="str">
        <f>COVER!T13</f>
        <v>Greg McCalley and Associates PC</v>
      </c>
    </row>
    <row r="17" spans="1:2" x14ac:dyDescent="0.2">
      <c r="A17" t="s">
        <v>939</v>
      </c>
      <c r="B17" s="138" t="str">
        <f>COVER!T15</f>
        <v>Greg McCalley</v>
      </c>
    </row>
    <row r="18" spans="1:2" x14ac:dyDescent="0.2">
      <c r="A18" t="s">
        <v>1212</v>
      </c>
      <c r="B18" s="138" t="str">
        <f>COVER!T17</f>
        <v>855 E Ferguson</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 xml:space="preserve">IL </v>
      </c>
    </row>
    <row r="22" spans="1:2" x14ac:dyDescent="0.2">
      <c r="A22" t="s">
        <v>943</v>
      </c>
      <c r="B22" s="138">
        <f>COVER!Z19</f>
        <v>62095</v>
      </c>
    </row>
    <row r="23" spans="1:2" x14ac:dyDescent="0.2">
      <c r="A23" t="s">
        <v>1214</v>
      </c>
      <c r="B23" s="138" t="str">
        <f>COVER!T21</f>
        <v>(618) 254-8188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2562396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2562396</v>
      </c>
      <c r="D92" s="2" t="str">
        <f t="shared" si="0"/>
        <v>Error?</v>
      </c>
    </row>
    <row r="93" spans="1:4" x14ac:dyDescent="0.2">
      <c r="A93" s="5">
        <v>32</v>
      </c>
      <c r="B93" s="138">
        <f>'Assets-Liab 5-6'!C41</f>
        <v>2562396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23809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23809</v>
      </c>
      <c r="D123" s="2" t="str">
        <f t="shared" si="0"/>
        <v>Error?</v>
      </c>
    </row>
    <row r="124" spans="1:4" x14ac:dyDescent="0.2">
      <c r="A124" s="5">
        <v>63</v>
      </c>
      <c r="B124" s="138">
        <f>'Assets-Liab 5-6'!D41</f>
        <v>23809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78403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78403</v>
      </c>
      <c r="D140" s="2" t="str">
        <f t="shared" si="1"/>
        <v>Error?</v>
      </c>
    </row>
    <row r="141" spans="1:4" x14ac:dyDescent="0.2">
      <c r="A141" s="5">
        <v>80</v>
      </c>
      <c r="B141" s="138">
        <f>'Assets-Liab 5-6'!E41</f>
        <v>78403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132100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132100</v>
      </c>
      <c r="D170" s="2" t="str">
        <f t="shared" si="1"/>
        <v>Error?</v>
      </c>
    </row>
    <row r="171" spans="1:4" x14ac:dyDescent="0.2">
      <c r="A171" s="5">
        <v>110</v>
      </c>
      <c r="B171" s="138">
        <f>'Assets-Liab 5-6'!F41</f>
        <v>132100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255439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255439</v>
      </c>
      <c r="D189" s="2" t="str">
        <f t="shared" si="1"/>
        <v>Error?</v>
      </c>
    </row>
    <row r="190" spans="1:4" x14ac:dyDescent="0.2">
      <c r="A190" s="5">
        <v>129</v>
      </c>
      <c r="B190" s="138">
        <f>'Assets-Liab 5-6'!G41</f>
        <v>255439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2107518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2107518</v>
      </c>
      <c r="D212" s="2" t="str">
        <f t="shared" si="2"/>
        <v>Error?</v>
      </c>
    </row>
    <row r="213" spans="1:4" x14ac:dyDescent="0.2">
      <c r="A213" s="12">
        <v>152</v>
      </c>
      <c r="B213" s="138">
        <f>'Assets-Liab 5-6'!H41</f>
        <v>2107518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1726560</v>
      </c>
      <c r="D273" s="2" t="str">
        <f t="shared" si="3"/>
        <v>Error?</v>
      </c>
    </row>
    <row r="274" spans="1:4" x14ac:dyDescent="0.2">
      <c r="A274" s="5">
        <v>213</v>
      </c>
      <c r="B274" s="138">
        <f>'Assets-Liab 5-6'!M17</f>
        <v>29378883</v>
      </c>
      <c r="D274" s="2" t="str">
        <f t="shared" si="3"/>
        <v>Error?</v>
      </c>
    </row>
    <row r="275" spans="1:4" x14ac:dyDescent="0.2">
      <c r="A275" s="5">
        <v>214</v>
      </c>
      <c r="B275" s="138">
        <f>'Assets-Liab 5-6'!M18</f>
        <v>1236986</v>
      </c>
      <c r="D275" s="2" t="str">
        <f t="shared" si="3"/>
        <v>Error?</v>
      </c>
    </row>
    <row r="276" spans="1:4" x14ac:dyDescent="0.2">
      <c r="A276" s="5">
        <v>215</v>
      </c>
      <c r="B276" s="138">
        <f>'Assets-Liab 5-6'!M19</f>
        <v>2386358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56910463</v>
      </c>
      <c r="C279" s="2" t="s">
        <v>594</v>
      </c>
      <c r="D279" s="2" t="str">
        <f t="shared" si="3"/>
        <v>Error?</v>
      </c>
    </row>
    <row r="280" spans="1:4" x14ac:dyDescent="0.2">
      <c r="A280" s="5">
        <v>219</v>
      </c>
      <c r="B280" s="138">
        <f>'Assets-Liab 5-6'!M40</f>
        <v>56910463</v>
      </c>
      <c r="D280" s="2" t="str">
        <f t="shared" si="3"/>
        <v>Error?</v>
      </c>
    </row>
    <row r="281" spans="1:4" x14ac:dyDescent="0.2">
      <c r="A281" s="5">
        <v>220</v>
      </c>
      <c r="B281" s="138">
        <f>'Assets-Liab 5-6'!M41</f>
        <v>56910463</v>
      </c>
      <c r="C281" s="2" t="s">
        <v>594</v>
      </c>
      <c r="D281" s="2" t="str">
        <f t="shared" si="3"/>
        <v>Error?</v>
      </c>
    </row>
    <row r="282" spans="1:4" x14ac:dyDescent="0.2">
      <c r="A282" s="5">
        <v>221</v>
      </c>
      <c r="B282" s="138">
        <f>'Assets-Liab 5-6'!N21</f>
        <v>74177</v>
      </c>
      <c r="D282" s="2" t="str">
        <f t="shared" si="3"/>
        <v>Error?</v>
      </c>
    </row>
    <row r="283" spans="1:4" x14ac:dyDescent="0.2">
      <c r="A283" s="5">
        <v>222</v>
      </c>
      <c r="B283" s="138">
        <f>'Assets-Liab 5-6'!N22</f>
        <v>26404293</v>
      </c>
      <c r="D283" s="2" t="str">
        <f t="shared" si="3"/>
        <v>Error?</v>
      </c>
    </row>
    <row r="284" spans="1:4" x14ac:dyDescent="0.2">
      <c r="A284" s="5">
        <v>223</v>
      </c>
      <c r="B284" s="138">
        <f>'Assets-Liab 5-6'!N23</f>
        <v>26478470</v>
      </c>
      <c r="C284" s="2" t="s">
        <v>594</v>
      </c>
      <c r="D284" s="2" t="str">
        <f t="shared" si="3"/>
        <v>Error?</v>
      </c>
    </row>
    <row r="285" spans="1:4" x14ac:dyDescent="0.2">
      <c r="A285" s="5">
        <v>224</v>
      </c>
      <c r="B285" s="138">
        <f>'Assets-Liab 5-6'!N36</f>
        <v>26478470</v>
      </c>
      <c r="D285" s="2" t="str">
        <f t="shared" si="3"/>
        <v>Error?</v>
      </c>
    </row>
    <row r="286" spans="1:4" x14ac:dyDescent="0.2">
      <c r="A286" s="10">
        <v>225</v>
      </c>
      <c r="D286" s="2" t="str">
        <f t="shared" si="3"/>
        <v>OK</v>
      </c>
    </row>
    <row r="287" spans="1:4" x14ac:dyDescent="0.2">
      <c r="A287" s="5">
        <v>226</v>
      </c>
      <c r="B287" s="138">
        <f>'Assets-Liab 5-6'!N37</f>
        <v>26478470</v>
      </c>
      <c r="C287" s="2" t="s">
        <v>594</v>
      </c>
      <c r="D287" s="2" t="str">
        <f t="shared" si="3"/>
        <v>Error?</v>
      </c>
    </row>
    <row r="288" spans="1:4" x14ac:dyDescent="0.2">
      <c r="A288" s="5">
        <v>227</v>
      </c>
      <c r="B288" s="138">
        <f>'Assets-Liab 5-6'!N41</f>
        <v>26478470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5051736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1340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169532</v>
      </c>
      <c r="D717" s="2" t="str">
        <f t="shared" si="10"/>
        <v>Error?</v>
      </c>
    </row>
    <row r="718" spans="1:4" x14ac:dyDescent="0.2">
      <c r="A718" s="5">
        <v>657</v>
      </c>
      <c r="B718" s="138">
        <f>'Expenditures 15-22'!C14</f>
        <v>294440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8126115</v>
      </c>
      <c r="C720" s="2" t="s">
        <v>594</v>
      </c>
      <c r="D720" s="2" t="str">
        <f t="shared" si="10"/>
        <v>Error?</v>
      </c>
    </row>
    <row r="721" spans="1:4" x14ac:dyDescent="0.2">
      <c r="A721" s="5">
        <v>660</v>
      </c>
      <c r="B721" s="138">
        <f>'Expenditures 15-22'!C36</f>
        <v>6896</v>
      </c>
      <c r="D721" s="2" t="str">
        <f t="shared" si="10"/>
        <v>Error?</v>
      </c>
    </row>
    <row r="722" spans="1:4" x14ac:dyDescent="0.2">
      <c r="A722" s="5">
        <v>661</v>
      </c>
      <c r="B722" s="138">
        <f>'Expenditures 15-22'!C37</f>
        <v>142627</v>
      </c>
      <c r="D722" s="2" t="str">
        <f t="shared" si="10"/>
        <v>Error?</v>
      </c>
    </row>
    <row r="723" spans="1:4" x14ac:dyDescent="0.2">
      <c r="A723" s="5">
        <v>662</v>
      </c>
      <c r="B723" s="138">
        <f>'Expenditures 15-22'!C38</f>
        <v>66087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215610</v>
      </c>
      <c r="C727" s="2" t="s">
        <v>594</v>
      </c>
      <c r="D727" s="2" t="str">
        <f t="shared" si="10"/>
        <v>Error?</v>
      </c>
    </row>
    <row r="728" spans="1:4" x14ac:dyDescent="0.2">
      <c r="A728" s="5">
        <v>667</v>
      </c>
      <c r="B728" s="138">
        <f>'Expenditures 15-22'!C44</f>
        <v>57957</v>
      </c>
      <c r="D728" s="2" t="str">
        <f t="shared" si="10"/>
        <v>Error?</v>
      </c>
    </row>
    <row r="729" spans="1:4" x14ac:dyDescent="0.2">
      <c r="A729" s="5">
        <v>668</v>
      </c>
      <c r="B729" s="138">
        <f>'Expenditures 15-22'!C45</f>
        <v>174211</v>
      </c>
      <c r="D729" s="2" t="str">
        <f t="shared" si="10"/>
        <v>Error?</v>
      </c>
    </row>
    <row r="730" spans="1:4" x14ac:dyDescent="0.2">
      <c r="A730" s="5">
        <v>669</v>
      </c>
      <c r="B730" s="138">
        <f>'Expenditures 15-22'!C46</f>
        <v>2298</v>
      </c>
      <c r="D730" s="2" t="str">
        <f t="shared" si="10"/>
        <v>Error?</v>
      </c>
    </row>
    <row r="731" spans="1:4" x14ac:dyDescent="0.2">
      <c r="A731" s="5">
        <v>670</v>
      </c>
      <c r="B731" s="138">
        <f>'Expenditures 15-22'!C47</f>
        <v>234466</v>
      </c>
      <c r="C731" s="2" t="s">
        <v>594</v>
      </c>
      <c r="D731" s="2" t="str">
        <f t="shared" si="10"/>
        <v>Error?</v>
      </c>
    </row>
    <row r="732" spans="1:4" x14ac:dyDescent="0.2">
      <c r="A732" s="5">
        <v>671</v>
      </c>
      <c r="B732" s="138">
        <f>'Expenditures 15-22'!C49</f>
        <v>36500</v>
      </c>
      <c r="D732" s="2" t="str">
        <f t="shared" si="10"/>
        <v>Error?</v>
      </c>
    </row>
    <row r="733" spans="1:4" x14ac:dyDescent="0.2">
      <c r="A733" s="5">
        <v>672</v>
      </c>
      <c r="B733" s="138">
        <f>'Expenditures 15-22'!C50</f>
        <v>142149</v>
      </c>
      <c r="D733" s="2" t="str">
        <f t="shared" si="10"/>
        <v>Error?</v>
      </c>
    </row>
    <row r="734" spans="1:4" x14ac:dyDescent="0.2">
      <c r="A734" s="5">
        <v>673</v>
      </c>
      <c r="B734" s="138">
        <f>'Expenditures 15-22'!C53</f>
        <v>178649</v>
      </c>
      <c r="C734" s="2" t="s">
        <v>594</v>
      </c>
      <c r="D734" s="2" t="str">
        <f t="shared" si="10"/>
        <v>Error?</v>
      </c>
    </row>
    <row r="735" spans="1:4" x14ac:dyDescent="0.2">
      <c r="A735" s="5">
        <v>674</v>
      </c>
      <c r="B735" s="138">
        <f>'Expenditures 15-22'!C55</f>
        <v>909357</v>
      </c>
      <c r="D735" s="2" t="str">
        <f t="shared" si="10"/>
        <v>Error?</v>
      </c>
    </row>
    <row r="736" spans="1:4" x14ac:dyDescent="0.2">
      <c r="A736" s="5">
        <v>675</v>
      </c>
      <c r="B736" s="138">
        <f>'Expenditures 15-22'!C56</f>
        <v>5400</v>
      </c>
      <c r="D736" s="2" t="str">
        <f t="shared" si="10"/>
        <v>Error?</v>
      </c>
    </row>
    <row r="737" spans="1:4" x14ac:dyDescent="0.2">
      <c r="A737" s="5">
        <v>676</v>
      </c>
      <c r="B737" s="138">
        <f>'Expenditures 15-22'!C57</f>
        <v>914757</v>
      </c>
      <c r="C737" s="2" t="s">
        <v>594</v>
      </c>
      <c r="D737" s="2" t="str">
        <f t="shared" si="10"/>
        <v>Error?</v>
      </c>
    </row>
    <row r="738" spans="1:4" x14ac:dyDescent="0.2">
      <c r="A738" s="5">
        <v>677</v>
      </c>
      <c r="B738" s="138">
        <f>'Expenditures 15-22'!C59</f>
        <v>81148</v>
      </c>
      <c r="D738" s="2" t="str">
        <f t="shared" si="10"/>
        <v>Error?</v>
      </c>
    </row>
    <row r="739" spans="1:4" x14ac:dyDescent="0.2">
      <c r="A739" s="5">
        <v>678</v>
      </c>
      <c r="B739" s="138">
        <f>'Expenditures 15-22'!C60</f>
        <v>0</v>
      </c>
      <c r="D739" s="2" t="str">
        <f t="shared" si="10"/>
        <v>Error?</v>
      </c>
    </row>
    <row r="740" spans="1:4" x14ac:dyDescent="0.2">
      <c r="A740" s="5">
        <v>679</v>
      </c>
      <c r="B740" s="138">
        <f>'Expenditures 15-22'!C61</f>
        <v>723325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300028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1104501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174626</v>
      </c>
      <c r="D754" s="2" t="str">
        <f t="shared" si="10"/>
        <v>Error?</v>
      </c>
    </row>
    <row r="755" spans="1:4" x14ac:dyDescent="0.2">
      <c r="A755" s="5">
        <v>694</v>
      </c>
      <c r="B755" s="138">
        <f>'Expenditures 15-22'!C74</f>
        <v>2822609</v>
      </c>
      <c r="C755" s="2" t="s">
        <v>594</v>
      </c>
      <c r="D755" s="2" t="str">
        <f t="shared" si="10"/>
        <v>Error?</v>
      </c>
    </row>
    <row r="756" spans="1:4" x14ac:dyDescent="0.2">
      <c r="A756" s="5">
        <v>695</v>
      </c>
      <c r="B756" s="138">
        <f>'Expenditures 15-22'!C75</f>
        <v>35973</v>
      </c>
      <c r="D756" s="2" t="str">
        <f t="shared" si="10"/>
        <v>Error?</v>
      </c>
    </row>
    <row r="757" spans="1:4" x14ac:dyDescent="0.2">
      <c r="A757" s="5">
        <v>696</v>
      </c>
      <c r="B757" s="138">
        <f>'Expenditures 15-22'!C114</f>
        <v>10984697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1025673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35415</v>
      </c>
      <c r="D775" s="2" t="str">
        <f t="shared" si="11"/>
        <v>Error?</v>
      </c>
    </row>
    <row r="776" spans="1:4" x14ac:dyDescent="0.2">
      <c r="A776" s="5">
        <v>715</v>
      </c>
      <c r="B776" s="138">
        <f>'Expenditures 15-22'!D14</f>
        <v>34524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1571233</v>
      </c>
      <c r="C778" s="2" t="s">
        <v>594</v>
      </c>
      <c r="D778" s="2" t="str">
        <f t="shared" si="11"/>
        <v>Error?</v>
      </c>
    </row>
    <row r="779" spans="1:4" x14ac:dyDescent="0.2">
      <c r="A779" s="5">
        <v>718</v>
      </c>
      <c r="B779" s="138">
        <f>'Expenditures 15-22'!D36</f>
        <v>203</v>
      </c>
      <c r="D779" s="2" t="str">
        <f t="shared" si="11"/>
        <v>Error?</v>
      </c>
    </row>
    <row r="780" spans="1:4" x14ac:dyDescent="0.2">
      <c r="A780" s="5">
        <v>719</v>
      </c>
      <c r="B780" s="138">
        <f>'Expenditures 15-22'!D37</f>
        <v>19546</v>
      </c>
      <c r="D780" s="2" t="str">
        <f t="shared" si="11"/>
        <v>Error?</v>
      </c>
    </row>
    <row r="781" spans="1:4" x14ac:dyDescent="0.2">
      <c r="A781" s="5">
        <v>720</v>
      </c>
      <c r="B781" s="138">
        <f>'Expenditures 15-22'!D38</f>
        <v>5550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25299</v>
      </c>
      <c r="C785" s="2" t="s">
        <v>594</v>
      </c>
      <c r="D785" s="2" t="str">
        <f t="shared" si="11"/>
        <v>Error?</v>
      </c>
    </row>
    <row r="786" spans="1:4" x14ac:dyDescent="0.2">
      <c r="A786" s="5">
        <v>725</v>
      </c>
      <c r="B786" s="138">
        <f>'Expenditures 15-22'!D44</f>
        <v>19021</v>
      </c>
      <c r="D786" s="2" t="str">
        <f t="shared" si="11"/>
        <v>Error?</v>
      </c>
    </row>
    <row r="787" spans="1:4" x14ac:dyDescent="0.2">
      <c r="A787" s="5">
        <v>726</v>
      </c>
      <c r="B787" s="138">
        <f>'Expenditures 15-22'!D45</f>
        <v>32798</v>
      </c>
      <c r="D787" s="2" t="str">
        <f t="shared" si="11"/>
        <v>Error?</v>
      </c>
    </row>
    <row r="788" spans="1:4" x14ac:dyDescent="0.2">
      <c r="A788" s="5">
        <v>727</v>
      </c>
      <c r="B788" s="138">
        <f>'Expenditures 15-22'!D46</f>
        <v>639</v>
      </c>
      <c r="D788" s="2" t="str">
        <f t="shared" si="11"/>
        <v>Error?</v>
      </c>
    </row>
    <row r="789" spans="1:4" x14ac:dyDescent="0.2">
      <c r="A789" s="5">
        <v>728</v>
      </c>
      <c r="B789" s="138">
        <f>'Expenditures 15-22'!D47</f>
        <v>52458</v>
      </c>
      <c r="C789" s="2" t="s">
        <v>594</v>
      </c>
      <c r="D789" s="2" t="str">
        <f t="shared" si="11"/>
        <v>Error?</v>
      </c>
    </row>
    <row r="790" spans="1:4" x14ac:dyDescent="0.2">
      <c r="A790" s="5">
        <v>729</v>
      </c>
      <c r="B790" s="138">
        <f>'Expenditures 15-22'!D49</f>
        <v>1033</v>
      </c>
      <c r="D790" s="2" t="str">
        <f t="shared" si="11"/>
        <v>Error?</v>
      </c>
    </row>
    <row r="791" spans="1:4" x14ac:dyDescent="0.2">
      <c r="A791" s="5">
        <v>730</v>
      </c>
      <c r="B791" s="138">
        <f>'Expenditures 15-22'!D50</f>
        <v>21248</v>
      </c>
      <c r="D791" s="2" t="str">
        <f t="shared" si="11"/>
        <v>Error?</v>
      </c>
    </row>
    <row r="792" spans="1:4" x14ac:dyDescent="0.2">
      <c r="A792" s="5">
        <v>731</v>
      </c>
      <c r="B792" s="138">
        <f>'Expenditures 15-22'!D53</f>
        <v>22281</v>
      </c>
      <c r="C792" s="2" t="s">
        <v>594</v>
      </c>
      <c r="D792" s="2" t="str">
        <f t="shared" si="11"/>
        <v>Error?</v>
      </c>
    </row>
    <row r="793" spans="1:4" x14ac:dyDescent="0.2">
      <c r="A793" s="5">
        <v>732</v>
      </c>
      <c r="B793" s="138">
        <f>'Expenditures 15-22'!D55</f>
        <v>164525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164525</v>
      </c>
      <c r="C795" s="2" t="s">
        <v>594</v>
      </c>
      <c r="D795" s="2" t="str">
        <f t="shared" si="11"/>
        <v>Error?</v>
      </c>
    </row>
    <row r="796" spans="1:4" x14ac:dyDescent="0.2">
      <c r="A796" s="5">
        <v>735</v>
      </c>
      <c r="B796" s="138">
        <f>'Expenditures 15-22'!D59</f>
        <v>10713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113388</v>
      </c>
      <c r="D798" s="2" t="str">
        <f t="shared" si="11"/>
        <v>Error?</v>
      </c>
    </row>
    <row r="799" spans="1:4" x14ac:dyDescent="0.2">
      <c r="A799" s="5">
        <v>738</v>
      </c>
      <c r="B799" s="138">
        <f>'Expenditures 15-22'!D62</f>
        <v>11</v>
      </c>
      <c r="D799" s="2" t="str">
        <f t="shared" si="11"/>
        <v>Error?</v>
      </c>
    </row>
    <row r="800" spans="1:4" x14ac:dyDescent="0.2">
      <c r="A800" s="5">
        <v>739</v>
      </c>
      <c r="B800" s="138">
        <f>'Expenditures 15-22'!D63</f>
        <v>53434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177546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44413</v>
      </c>
      <c r="D812" s="2" t="str">
        <f t="shared" si="11"/>
        <v>Error?</v>
      </c>
    </row>
    <row r="813" spans="1:4" x14ac:dyDescent="0.2">
      <c r="A813" s="5">
        <v>752</v>
      </c>
      <c r="B813" s="138">
        <f>'Expenditures 15-22'!D74</f>
        <v>486522</v>
      </c>
      <c r="C813" s="2" t="s">
        <v>594</v>
      </c>
      <c r="D813" s="2" t="str">
        <f t="shared" si="11"/>
        <v>Error?</v>
      </c>
    </row>
    <row r="814" spans="1:4" x14ac:dyDescent="0.2">
      <c r="A814" s="5">
        <v>753</v>
      </c>
      <c r="B814" s="138">
        <f>'Expenditures 15-22'!D75</f>
        <v>3042</v>
      </c>
      <c r="D814" s="2" t="str">
        <f t="shared" si="11"/>
        <v>Error?</v>
      </c>
    </row>
    <row r="815" spans="1:4" x14ac:dyDescent="0.2">
      <c r="A815" s="5">
        <v>754</v>
      </c>
      <c r="B815" s="138">
        <f>'Expenditures 15-22'!D114</f>
        <v>2060797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40005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1105</v>
      </c>
      <c r="D833" s="2" t="str">
        <f t="shared" si="12"/>
        <v>Error?</v>
      </c>
    </row>
    <row r="834" spans="1:4" x14ac:dyDescent="0.2">
      <c r="A834" s="5">
        <v>773</v>
      </c>
      <c r="B834" s="138">
        <f>'Expenditures 15-22'!E14</f>
        <v>46901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128099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203</v>
      </c>
      <c r="D838" s="2" t="str">
        <f t="shared" si="12"/>
        <v>Error?</v>
      </c>
    </row>
    <row r="839" spans="1:4" x14ac:dyDescent="0.2">
      <c r="A839" s="5">
        <v>778</v>
      </c>
      <c r="B839" s="138">
        <f>'Expenditures 15-22'!E38</f>
        <v>2374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2577</v>
      </c>
      <c r="C843" s="2" t="s">
        <v>594</v>
      </c>
      <c r="D843" s="2" t="str">
        <f t="shared" si="12"/>
        <v>Error?</v>
      </c>
    </row>
    <row r="844" spans="1:4" x14ac:dyDescent="0.2">
      <c r="A844" s="5">
        <v>783</v>
      </c>
      <c r="B844" s="138">
        <f>'Expenditures 15-22'!E44</f>
        <v>39565</v>
      </c>
      <c r="D844" s="2" t="str">
        <f t="shared" si="12"/>
        <v>Error?</v>
      </c>
    </row>
    <row r="845" spans="1:4" x14ac:dyDescent="0.2">
      <c r="A845" s="5">
        <v>784</v>
      </c>
      <c r="B845" s="138">
        <f>'Expenditures 15-22'!E45</f>
        <v>49815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89380</v>
      </c>
      <c r="C847" s="2" t="s">
        <v>594</v>
      </c>
      <c r="D847" s="2" t="str">
        <f t="shared" si="12"/>
        <v>Error?</v>
      </c>
    </row>
    <row r="848" spans="1:4" x14ac:dyDescent="0.2">
      <c r="A848" s="5">
        <v>787</v>
      </c>
      <c r="B848" s="138">
        <f>'Expenditures 15-22'!E49</f>
        <v>29334</v>
      </c>
      <c r="D848" s="2" t="str">
        <f t="shared" si="12"/>
        <v>Error?</v>
      </c>
    </row>
    <row r="849" spans="1:4" x14ac:dyDescent="0.2">
      <c r="A849" s="5">
        <v>788</v>
      </c>
      <c r="B849" s="138">
        <f>'Expenditures 15-22'!E50</f>
        <v>5368</v>
      </c>
      <c r="D849" s="2" t="str">
        <f t="shared" si="12"/>
        <v>Error?</v>
      </c>
    </row>
    <row r="850" spans="1:4" x14ac:dyDescent="0.2">
      <c r="A850" s="5">
        <v>789</v>
      </c>
      <c r="B850" s="138">
        <f>'Expenditures 15-22'!E53</f>
        <v>34702</v>
      </c>
      <c r="C850" s="2" t="s">
        <v>594</v>
      </c>
      <c r="D850" s="2" t="str">
        <f t="shared" si="12"/>
        <v>Error?</v>
      </c>
    </row>
    <row r="851" spans="1:4" x14ac:dyDescent="0.2">
      <c r="A851" s="5">
        <v>790</v>
      </c>
      <c r="B851" s="138">
        <f>'Expenditures 15-22'!E55</f>
        <v>4412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4412</v>
      </c>
      <c r="C853" s="2" t="s">
        <v>594</v>
      </c>
      <c r="D853" s="2" t="str">
        <f t="shared" si="12"/>
        <v>Error?</v>
      </c>
    </row>
    <row r="854" spans="1:4" x14ac:dyDescent="0.2">
      <c r="A854" s="5">
        <v>793</v>
      </c>
      <c r="B854" s="138">
        <f>'Expenditures 15-22'!E59</f>
        <v>1491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8780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10271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307075</v>
      </c>
      <c r="D870" s="2" t="str">
        <f t="shared" si="12"/>
        <v>Error?</v>
      </c>
    </row>
    <row r="871" spans="1:4" x14ac:dyDescent="0.2">
      <c r="A871" s="5">
        <v>810</v>
      </c>
      <c r="B871" s="138">
        <f>'Expenditures 15-22'!E74</f>
        <v>448417</v>
      </c>
      <c r="C871" s="2" t="s">
        <v>594</v>
      </c>
      <c r="D871" s="2" t="str">
        <f t="shared" si="12"/>
        <v>Error?</v>
      </c>
    </row>
    <row r="872" spans="1:4" x14ac:dyDescent="0.2">
      <c r="A872" s="5">
        <v>811</v>
      </c>
      <c r="B872" s="138">
        <f>'Expenditures 15-22'!E75</f>
        <v>28281</v>
      </c>
      <c r="D872" s="2" t="str">
        <f t="shared" si="12"/>
        <v>Error?</v>
      </c>
    </row>
    <row r="873" spans="1:4" x14ac:dyDescent="0.2">
      <c r="A873" s="5">
        <v>812</v>
      </c>
      <c r="B873" s="138">
        <f>'Expenditures 15-22'!E114</f>
        <v>604797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332624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4844</v>
      </c>
      <c r="D891" s="2" t="str">
        <f t="shared" si="12"/>
        <v>Error?</v>
      </c>
    </row>
    <row r="892" spans="1:4" x14ac:dyDescent="0.2">
      <c r="A892" s="5">
        <v>831</v>
      </c>
      <c r="B892" s="138">
        <f>'Expenditures 15-22'!F14</f>
        <v>17840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508989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286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286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29207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29207</v>
      </c>
      <c r="C905" s="2" t="s">
        <v>594</v>
      </c>
      <c r="D905" s="2" t="str">
        <f t="shared" si="13"/>
        <v>Error?</v>
      </c>
    </row>
    <row r="906" spans="1:4" x14ac:dyDescent="0.2">
      <c r="A906" s="5">
        <v>845</v>
      </c>
      <c r="B906" s="138">
        <f>'Expenditures 15-22'!F49</f>
        <v>4166</v>
      </c>
      <c r="D906" s="2" t="str">
        <f t="shared" si="13"/>
        <v>Error?</v>
      </c>
    </row>
    <row r="907" spans="1:4" x14ac:dyDescent="0.2">
      <c r="A907" s="5">
        <v>846</v>
      </c>
      <c r="B907" s="138">
        <f>'Expenditures 15-22'!F50</f>
        <v>2382</v>
      </c>
      <c r="D907" s="2" t="str">
        <f t="shared" si="13"/>
        <v>Error?</v>
      </c>
    </row>
    <row r="908" spans="1:4" x14ac:dyDescent="0.2">
      <c r="A908" s="5">
        <v>847</v>
      </c>
      <c r="B908" s="138">
        <f>'Expenditures 15-22'!F53</f>
        <v>6548</v>
      </c>
      <c r="C908" s="2" t="s">
        <v>594</v>
      </c>
      <c r="D908" s="2" t="str">
        <f t="shared" si="13"/>
        <v>Error?</v>
      </c>
    </row>
    <row r="909" spans="1:4" x14ac:dyDescent="0.2">
      <c r="A909" s="5">
        <v>848</v>
      </c>
      <c r="B909" s="138">
        <f>'Expenditures 15-22'!F55</f>
        <v>8320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8320</v>
      </c>
      <c r="C911" s="2" t="s">
        <v>594</v>
      </c>
      <c r="D911" s="2" t="str">
        <f t="shared" si="13"/>
        <v>Error?</v>
      </c>
    </row>
    <row r="912" spans="1:4" x14ac:dyDescent="0.2">
      <c r="A912" s="5">
        <v>851</v>
      </c>
      <c r="B912" s="138">
        <f>'Expenditures 15-22'!F59</f>
        <v>2055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491415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493470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1067</v>
      </c>
      <c r="D928" s="2" t="str">
        <f t="shared" si="13"/>
        <v>Error?</v>
      </c>
    </row>
    <row r="929" spans="1:4" x14ac:dyDescent="0.2">
      <c r="A929" s="5">
        <v>868</v>
      </c>
      <c r="B929" s="138">
        <f>'Expenditures 15-22'!F74</f>
        <v>538898</v>
      </c>
      <c r="C929" s="2" t="s">
        <v>594</v>
      </c>
      <c r="D929" s="2" t="str">
        <f t="shared" si="13"/>
        <v>Error?</v>
      </c>
    </row>
    <row r="930" spans="1:4" x14ac:dyDescent="0.2">
      <c r="A930" s="5">
        <v>869</v>
      </c>
      <c r="B930" s="138">
        <f>'Expenditures 15-22'!F75</f>
        <v>16106</v>
      </c>
      <c r="D930" s="2" t="str">
        <f t="shared" si="13"/>
        <v>Error?</v>
      </c>
    </row>
    <row r="931" spans="1:4" x14ac:dyDescent="0.2">
      <c r="A931" s="5">
        <v>870</v>
      </c>
      <c r="B931" s="138">
        <f>'Expenditures 15-22'!F114</f>
        <v>1063993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4495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21915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600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600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49377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49377</v>
      </c>
      <c r="C963" s="2" t="s">
        <v>594</v>
      </c>
      <c r="D963" s="2" t="str">
        <f t="shared" si="14"/>
        <v>Error?</v>
      </c>
    </row>
    <row r="964" spans="1:4" x14ac:dyDescent="0.2">
      <c r="A964" s="5">
        <v>903</v>
      </c>
      <c r="B964" s="138">
        <f>'Expenditures 15-22'!G49</f>
        <v>5097</v>
      </c>
      <c r="D964" s="2" t="str">
        <f t="shared" si="14"/>
        <v>Error?</v>
      </c>
    </row>
    <row r="965" spans="1:4" x14ac:dyDescent="0.2">
      <c r="A965" s="5">
        <v>904</v>
      </c>
      <c r="B965" s="138">
        <f>'Expenditures 15-22'!G50</f>
        <v>1572</v>
      </c>
      <c r="D965" s="2" t="str">
        <f t="shared" si="14"/>
        <v>Error?</v>
      </c>
    </row>
    <row r="966" spans="1:4" x14ac:dyDescent="0.2">
      <c r="A966" s="5">
        <v>905</v>
      </c>
      <c r="B966" s="138">
        <f>'Expenditures 15-22'!G53</f>
        <v>6669</v>
      </c>
      <c r="C966" s="2" t="s">
        <v>594</v>
      </c>
      <c r="D966" s="2" t="str">
        <f t="shared" si="14"/>
        <v>Error?</v>
      </c>
    </row>
    <row r="967" spans="1:4" x14ac:dyDescent="0.2">
      <c r="A967" s="5">
        <v>906</v>
      </c>
      <c r="B967" s="138" t="str">
        <f>'Expenditures 15-22'!G55</f>
        <v>`</v>
      </c>
      <c r="D967" s="2" t="e">
        <f t="shared" si="14"/>
        <v>#VALUE!</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1223</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5969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7192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63838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85753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994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16581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17575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10192</v>
      </c>
      <c r="D1022" s="2" t="str">
        <f t="shared" si="14"/>
        <v>Error?</v>
      </c>
    </row>
    <row r="1023" spans="1:4" x14ac:dyDescent="0.2">
      <c r="A1023" s="5">
        <v>962</v>
      </c>
      <c r="B1023" s="138">
        <f>'Expenditures 15-22'!H50</f>
        <v>1717</v>
      </c>
      <c r="D1023" s="2" t="str">
        <f t="shared" ref="D1023:D1086" si="15">IF(ISBLANK(B1023),"OK",IF(A1023-B1023=0,"OK","Error?"))</f>
        <v>Error?</v>
      </c>
    </row>
    <row r="1024" spans="1:4" x14ac:dyDescent="0.2">
      <c r="A1024" s="5">
        <v>963</v>
      </c>
      <c r="B1024" s="138">
        <f>'Expenditures 15-22'!H53</f>
        <v>11909</v>
      </c>
      <c r="C1024" s="2" t="s">
        <v>594</v>
      </c>
      <c r="D1024" s="2" t="str">
        <f t="shared" si="15"/>
        <v>Error?</v>
      </c>
    </row>
    <row r="1025" spans="1:4" x14ac:dyDescent="0.2">
      <c r="A1025" s="5">
        <v>964</v>
      </c>
      <c r="B1025" s="138">
        <f>'Expenditures 15-22'!H55</f>
        <v>2370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2370</v>
      </c>
      <c r="C1027" s="2" t="s">
        <v>594</v>
      </c>
      <c r="D1027" s="2" t="str">
        <f t="shared" si="15"/>
        <v>Error?</v>
      </c>
    </row>
    <row r="1028" spans="1:4" x14ac:dyDescent="0.2">
      <c r="A1028" s="5">
        <v>967</v>
      </c>
      <c r="B1028" s="138">
        <f>'Expenditures 15-22'!H59</f>
        <v>1728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1728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16007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638049</v>
      </c>
      <c r="C1047" s="2" t="s">
        <v>594</v>
      </c>
      <c r="D1047" s="2" t="str">
        <f t="shared" si="15"/>
        <v>Error?</v>
      </c>
    </row>
    <row r="1048" spans="1:4" x14ac:dyDescent="0.2">
      <c r="A1048" s="5">
        <v>987</v>
      </c>
      <c r="B1048" s="138">
        <f>'Expenditures 15-22'!H105</f>
        <v>7028</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7028</v>
      </c>
      <c r="C1053" s="2" t="s">
        <v>594</v>
      </c>
      <c r="D1053" s="2" t="str">
        <f t="shared" si="15"/>
        <v>Error?</v>
      </c>
    </row>
    <row r="1054" spans="1:4" x14ac:dyDescent="0.2">
      <c r="A1054" s="5">
        <v>993</v>
      </c>
      <c r="B1054" s="138">
        <f>'Expenditures 15-22'!H114</f>
        <v>678659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6451032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1340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210896</v>
      </c>
      <c r="C1105" s="2" t="s">
        <v>594</v>
      </c>
      <c r="D1105" s="2" t="str">
        <f t="shared" si="16"/>
        <v>Error?</v>
      </c>
    </row>
    <row r="1106" spans="1:4" x14ac:dyDescent="0.2">
      <c r="A1106" s="5">
        <v>1045</v>
      </c>
      <c r="B1106" s="138">
        <f>'Expenditures 15-22'!K14</f>
        <v>414781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10373926</v>
      </c>
      <c r="C1108" s="2" t="s">
        <v>594</v>
      </c>
      <c r="D1108" s="2" t="str">
        <f t="shared" si="16"/>
        <v>Error?</v>
      </c>
    </row>
    <row r="1109" spans="1:4" x14ac:dyDescent="0.2">
      <c r="A1109" s="5">
        <v>1048</v>
      </c>
      <c r="B1109" s="138">
        <f>'Expenditures 15-22'!K36</f>
        <v>7099</v>
      </c>
      <c r="C1109" s="2" t="s">
        <v>594</v>
      </c>
      <c r="D1109" s="2" t="str">
        <f t="shared" si="16"/>
        <v>Error?</v>
      </c>
    </row>
    <row r="1110" spans="1:4" x14ac:dyDescent="0.2">
      <c r="A1110" s="5">
        <v>1049</v>
      </c>
      <c r="B1110" s="138">
        <f>'Expenditures 15-22'!K37</f>
        <v>162662</v>
      </c>
      <c r="C1110" s="2" t="s">
        <v>594</v>
      </c>
      <c r="D1110" s="2" t="str">
        <f t="shared" si="16"/>
        <v>Error?</v>
      </c>
    </row>
    <row r="1111" spans="1:4" x14ac:dyDescent="0.2">
      <c r="A1111" s="5">
        <v>1050</v>
      </c>
      <c r="B1111" s="138">
        <f>'Expenditures 15-22'!K38</f>
        <v>74011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600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244372</v>
      </c>
      <c r="C1115" s="2" t="s">
        <v>594</v>
      </c>
      <c r="D1115" s="2" t="str">
        <f t="shared" si="16"/>
        <v>Error?</v>
      </c>
    </row>
    <row r="1116" spans="1:4" x14ac:dyDescent="0.2">
      <c r="A1116" s="5">
        <v>1055</v>
      </c>
      <c r="B1116" s="138">
        <f>'Expenditures 15-22'!K44</f>
        <v>116543</v>
      </c>
      <c r="C1116" s="2" t="s">
        <v>594</v>
      </c>
      <c r="D1116" s="2" t="str">
        <f t="shared" si="16"/>
        <v>Error?</v>
      </c>
    </row>
    <row r="1117" spans="1:4" x14ac:dyDescent="0.2">
      <c r="A1117" s="5">
        <v>1056</v>
      </c>
      <c r="B1117" s="138">
        <f>'Expenditures 15-22'!K45</f>
        <v>335408</v>
      </c>
      <c r="C1117" s="2" t="s">
        <v>594</v>
      </c>
      <c r="D1117" s="2" t="str">
        <f t="shared" si="16"/>
        <v>Error?</v>
      </c>
    </row>
    <row r="1118" spans="1:4" x14ac:dyDescent="0.2">
      <c r="A1118" s="5">
        <v>1057</v>
      </c>
      <c r="B1118" s="138">
        <f>'Expenditures 15-22'!K46</f>
        <v>2937</v>
      </c>
      <c r="C1118" s="2" t="s">
        <v>594</v>
      </c>
      <c r="D1118" s="2" t="str">
        <f t="shared" si="16"/>
        <v>Error?</v>
      </c>
    </row>
    <row r="1119" spans="1:4" x14ac:dyDescent="0.2">
      <c r="A1119" s="5">
        <v>1058</v>
      </c>
      <c r="B1119" s="138">
        <f>'Expenditures 15-22'!K47</f>
        <v>454888</v>
      </c>
      <c r="C1119" s="2" t="s">
        <v>594</v>
      </c>
      <c r="D1119" s="2" t="str">
        <f t="shared" si="16"/>
        <v>Error?</v>
      </c>
    </row>
    <row r="1120" spans="1:4" x14ac:dyDescent="0.2">
      <c r="A1120" s="5">
        <v>1059</v>
      </c>
      <c r="B1120" s="138">
        <f>'Expenditures 15-22'!K49</f>
        <v>86322</v>
      </c>
      <c r="C1120" s="2" t="s">
        <v>594</v>
      </c>
      <c r="D1120" s="2" t="str">
        <f t="shared" si="16"/>
        <v>Error?</v>
      </c>
    </row>
    <row r="1121" spans="1:4" x14ac:dyDescent="0.2">
      <c r="A1121" s="5">
        <v>1060</v>
      </c>
      <c r="B1121" s="138">
        <f>'Expenditures 15-22'!K50</f>
        <v>174436</v>
      </c>
      <c r="C1121" s="2" t="s">
        <v>594</v>
      </c>
      <c r="D1121" s="2" t="str">
        <f t="shared" si="16"/>
        <v>Error?</v>
      </c>
    </row>
    <row r="1122" spans="1:4" x14ac:dyDescent="0.2">
      <c r="A1122" s="5">
        <v>1061</v>
      </c>
      <c r="B1122" s="138">
        <f>'Expenditures 15-22'!K53</f>
        <v>260758</v>
      </c>
      <c r="C1122" s="2" t="s">
        <v>594</v>
      </c>
      <c r="D1122" s="2" t="str">
        <f t="shared" si="16"/>
        <v>Error?</v>
      </c>
    </row>
    <row r="1123" spans="1:4" x14ac:dyDescent="0.2">
      <c r="A1123" s="5">
        <v>1062</v>
      </c>
      <c r="B1123" s="138">
        <f>'Expenditures 15-22'!K55</f>
        <v>1088984</v>
      </c>
      <c r="C1123" s="2" t="s">
        <v>594</v>
      </c>
      <c r="D1123" s="2" t="str">
        <f t="shared" si="16"/>
        <v>Error?</v>
      </c>
    </row>
    <row r="1124" spans="1:4" x14ac:dyDescent="0.2">
      <c r="A1124" s="5">
        <v>1063</v>
      </c>
      <c r="B1124" s="138">
        <f>'Expenditures 15-22'!K56</f>
        <v>5400</v>
      </c>
      <c r="C1124" s="2" t="s">
        <v>594</v>
      </c>
      <c r="D1124" s="2" t="str">
        <f t="shared" si="16"/>
        <v>Error?</v>
      </c>
    </row>
    <row r="1125" spans="1:4" x14ac:dyDescent="0.2">
      <c r="A1125" s="5">
        <v>1064</v>
      </c>
      <c r="B1125" s="138">
        <f>'Expenditures 15-22'!K57</f>
        <v>1094384</v>
      </c>
      <c r="C1125" s="2" t="s">
        <v>594</v>
      </c>
      <c r="D1125" s="2" t="str">
        <f t="shared" si="16"/>
        <v>Error?</v>
      </c>
    </row>
    <row r="1126" spans="1:4" x14ac:dyDescent="0.2">
      <c r="A1126" s="5">
        <v>1065</v>
      </c>
      <c r="B1126" s="138">
        <f>'Expenditures 15-22'!K59</f>
        <v>97135</v>
      </c>
      <c r="C1126" s="2" t="s">
        <v>594</v>
      </c>
      <c r="D1126" s="2" t="str">
        <f t="shared" si="16"/>
        <v>Error?</v>
      </c>
    </row>
    <row r="1127" spans="1:4" x14ac:dyDescent="0.2">
      <c r="A1127" s="5">
        <v>1066</v>
      </c>
      <c r="B1127" s="138">
        <f>'Expenditures 15-22'!K60</f>
        <v>1223</v>
      </c>
      <c r="C1127" s="2" t="s">
        <v>594</v>
      </c>
      <c r="D1127" s="2" t="str">
        <f t="shared" si="16"/>
        <v>Error?</v>
      </c>
    </row>
    <row r="1128" spans="1:4" x14ac:dyDescent="0.2">
      <c r="A1128" s="5">
        <v>1067</v>
      </c>
      <c r="B1128" s="138">
        <f>'Expenditures 15-22'!K61</f>
        <v>836713</v>
      </c>
      <c r="C1128" s="2" t="s">
        <v>594</v>
      </c>
      <c r="D1128" s="2" t="str">
        <f t="shared" si="16"/>
        <v>Error?</v>
      </c>
    </row>
    <row r="1129" spans="1:4" x14ac:dyDescent="0.2">
      <c r="A1129" s="5">
        <v>1068</v>
      </c>
      <c r="B1129" s="138">
        <f>'Expenditures 15-22'!K62</f>
        <v>11</v>
      </c>
      <c r="C1129" s="2" t="s">
        <v>594</v>
      </c>
      <c r="D1129" s="2" t="str">
        <f t="shared" si="16"/>
        <v>Error?</v>
      </c>
    </row>
    <row r="1130" spans="1:4" x14ac:dyDescent="0.2">
      <c r="A1130" s="5">
        <v>1069</v>
      </c>
      <c r="B1130" s="138">
        <f>'Expenditures 15-22'!K63</f>
        <v>859626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1794708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527181</v>
      </c>
      <c r="C1142" s="2" t="s">
        <v>594</v>
      </c>
      <c r="D1142" s="2" t="str">
        <f t="shared" si="16"/>
        <v>Error?</v>
      </c>
    </row>
    <row r="1143" spans="1:4" x14ac:dyDescent="0.2">
      <c r="A1143" s="5">
        <v>1082</v>
      </c>
      <c r="B1143" s="138">
        <f>'Expenditures 15-22'!K74</f>
        <v>4376291</v>
      </c>
      <c r="C1143" s="2" t="s">
        <v>594</v>
      </c>
      <c r="D1143" s="2" t="str">
        <f t="shared" si="16"/>
        <v>Error?</v>
      </c>
    </row>
    <row r="1144" spans="1:4" x14ac:dyDescent="0.2">
      <c r="A1144" s="5">
        <v>1083</v>
      </c>
      <c r="B1144" s="138">
        <f>'Expenditures 15-22'!K75</f>
        <v>83402</v>
      </c>
      <c r="C1144" s="2" t="s">
        <v>594</v>
      </c>
      <c r="D1144" s="2" t="str">
        <f t="shared" si="16"/>
        <v>Error?</v>
      </c>
    </row>
    <row r="1145" spans="1:4" x14ac:dyDescent="0.2">
      <c r="A1145" s="5">
        <v>1084</v>
      </c>
      <c r="B1145" s="138">
        <f>'Expenditures 15-22'!K102</f>
        <v>638049</v>
      </c>
      <c r="C1145" s="2" t="s">
        <v>594</v>
      </c>
      <c r="D1145" s="2" t="str">
        <f t="shared" si="16"/>
        <v>Error?</v>
      </c>
    </row>
    <row r="1146" spans="1:4" x14ac:dyDescent="0.2">
      <c r="A1146" s="5">
        <v>1085</v>
      </c>
      <c r="B1146" s="138">
        <f>'Expenditures 15-22'!K105</f>
        <v>7028</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7028</v>
      </c>
      <c r="C1151" s="2" t="s">
        <v>594</v>
      </c>
      <c r="D1151" s="2" t="str">
        <f t="shared" ref="D1151:D1214" si="17">IF(ISBLANK(B1151),"OK",IF(A1151-B1151=0,"OK","Error?"))</f>
        <v>Error?</v>
      </c>
    </row>
    <row r="1152" spans="1:4" x14ac:dyDescent="0.2">
      <c r="A1152" s="5">
        <v>1091</v>
      </c>
      <c r="B1152" s="138">
        <f>'Expenditures 15-22'!K114</f>
        <v>15478696</v>
      </c>
      <c r="C1152" s="2" t="s">
        <v>594</v>
      </c>
      <c r="D1152" s="2" t="str">
        <f t="shared" si="17"/>
        <v>Error?</v>
      </c>
    </row>
    <row r="1153" spans="1:4" x14ac:dyDescent="0.2">
      <c r="A1153" s="5">
        <v>1092</v>
      </c>
      <c r="B1153" s="138">
        <f>'Expenditures 15-22'!K115</f>
        <v>1795188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29107</v>
      </c>
      <c r="D1221" s="2" t="str">
        <f t="shared" si="18"/>
        <v>Error?</v>
      </c>
    </row>
    <row r="1222" spans="1:4" x14ac:dyDescent="0.2">
      <c r="A1222" s="10">
        <v>1161</v>
      </c>
      <c r="D1222" s="2" t="str">
        <f t="shared" si="18"/>
        <v>OK</v>
      </c>
    </row>
    <row r="1223" spans="1:4" x14ac:dyDescent="0.2">
      <c r="A1223" s="5">
        <v>1162</v>
      </c>
      <c r="B1223" s="138">
        <f>'Expenditures 15-22'!C127</f>
        <v>29107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29107</v>
      </c>
      <c r="C1225" s="2" t="s">
        <v>594</v>
      </c>
      <c r="D1225" s="2" t="str">
        <f t="shared" si="18"/>
        <v>Error?</v>
      </c>
    </row>
    <row r="1226" spans="1:4" x14ac:dyDescent="0.2">
      <c r="A1226" s="5">
        <v>1165</v>
      </c>
      <c r="B1226" s="138">
        <f>'Expenditures 15-22'!C151</f>
        <v>29107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4843</v>
      </c>
      <c r="D1229" s="2" t="str">
        <f t="shared" si="18"/>
        <v>Error?</v>
      </c>
    </row>
    <row r="1230" spans="1:4" x14ac:dyDescent="0.2">
      <c r="A1230" s="10">
        <v>1169</v>
      </c>
      <c r="D1230" s="2" t="str">
        <f t="shared" si="18"/>
        <v>OK</v>
      </c>
    </row>
    <row r="1231" spans="1:4" x14ac:dyDescent="0.2">
      <c r="A1231" s="5">
        <v>1170</v>
      </c>
      <c r="B1231" s="138">
        <f>'Expenditures 15-22'!D127</f>
        <v>4843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4843</v>
      </c>
      <c r="C1233" s="2" t="s">
        <v>594</v>
      </c>
      <c r="D1233" s="2" t="str">
        <f t="shared" si="18"/>
        <v>Error?</v>
      </c>
    </row>
    <row r="1234" spans="1:4" x14ac:dyDescent="0.2">
      <c r="A1234" s="5">
        <v>1173</v>
      </c>
      <c r="B1234" s="138">
        <f>'Expenditures 15-22'!D151</f>
        <v>4843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223969</v>
      </c>
      <c r="D1237" s="2" t="str">
        <f t="shared" si="18"/>
        <v>Error?</v>
      </c>
    </row>
    <row r="1238" spans="1:4" x14ac:dyDescent="0.2">
      <c r="A1238" s="10">
        <v>1177</v>
      </c>
      <c r="D1238" s="2" t="str">
        <f t="shared" si="18"/>
        <v>OK</v>
      </c>
    </row>
    <row r="1239" spans="1:4" x14ac:dyDescent="0.2">
      <c r="A1239" s="5">
        <v>1178</v>
      </c>
      <c r="B1239" s="138">
        <f>'Expenditures 15-22'!E127</f>
        <v>223969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223969</v>
      </c>
      <c r="C1241" s="2" t="s">
        <v>594</v>
      </c>
      <c r="D1241" s="2" t="str">
        <f t="shared" si="18"/>
        <v>Error?</v>
      </c>
    </row>
    <row r="1242" spans="1:4" x14ac:dyDescent="0.2">
      <c r="A1242" s="5">
        <v>1181</v>
      </c>
      <c r="B1242" s="138">
        <f>'Expenditures 15-22'!E151</f>
        <v>223969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518547</v>
      </c>
      <c r="D1245" s="2" t="str">
        <f t="shared" si="18"/>
        <v>Error?</v>
      </c>
    </row>
    <row r="1246" spans="1:4" x14ac:dyDescent="0.2">
      <c r="A1246" s="10">
        <v>1185</v>
      </c>
      <c r="D1246" s="2" t="str">
        <f t="shared" si="18"/>
        <v>OK</v>
      </c>
    </row>
    <row r="1247" spans="1:4" x14ac:dyDescent="0.2">
      <c r="A1247" s="5">
        <v>1186</v>
      </c>
      <c r="B1247" s="138">
        <f>'Expenditures 15-22'!F127</f>
        <v>518547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518547</v>
      </c>
      <c r="C1249" s="2" t="s">
        <v>594</v>
      </c>
      <c r="D1249" s="2" t="str">
        <f t="shared" si="18"/>
        <v>Error?</v>
      </c>
    </row>
    <row r="1250" spans="1:4" x14ac:dyDescent="0.2">
      <c r="A1250" s="5">
        <v>1189</v>
      </c>
      <c r="B1250" s="138">
        <f>'Expenditures 15-22'!F151</f>
        <v>518547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14396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14396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14396</v>
      </c>
      <c r="C1258" s="2" t="s">
        <v>594</v>
      </c>
      <c r="D1258" s="2" t="str">
        <f t="shared" si="18"/>
        <v>Error?</v>
      </c>
    </row>
    <row r="1259" spans="1:4" x14ac:dyDescent="0.2">
      <c r="A1259" s="5">
        <v>1198</v>
      </c>
      <c r="B1259" s="138">
        <f>'Expenditures 15-22'!G151</f>
        <v>14396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3576</v>
      </c>
      <c r="D1262" s="2" t="str">
        <f t="shared" si="18"/>
        <v>Error?</v>
      </c>
    </row>
    <row r="1263" spans="1:4" x14ac:dyDescent="0.2">
      <c r="A1263" s="10">
        <v>1202</v>
      </c>
      <c r="D1263" s="2" t="str">
        <f t="shared" si="18"/>
        <v>OK</v>
      </c>
    </row>
    <row r="1264" spans="1:4" x14ac:dyDescent="0.2">
      <c r="A1264" s="5">
        <v>1203</v>
      </c>
      <c r="B1264" s="138">
        <f>'Expenditures 15-22'!H127</f>
        <v>3576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3576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3576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794438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794438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794438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794438</v>
      </c>
      <c r="C1288" s="2" t="s">
        <v>594</v>
      </c>
      <c r="D1288" s="2" t="str">
        <f t="shared" si="19"/>
        <v>Error?</v>
      </c>
    </row>
    <row r="1289" spans="1:4" x14ac:dyDescent="0.2">
      <c r="A1289" s="5">
        <v>1228</v>
      </c>
      <c r="B1289" s="138">
        <f>'Expenditures 15-22'!K152</f>
        <v>-44125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479374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589642</v>
      </c>
      <c r="D1315" s="2" t="str">
        <f t="shared" si="19"/>
        <v>Error?</v>
      </c>
    </row>
    <row r="1316" spans="1:4" x14ac:dyDescent="0.2">
      <c r="A1316" s="5">
        <v>1255</v>
      </c>
      <c r="B1316" s="138">
        <f>'Expenditures 15-22'!H171</f>
        <v>1742</v>
      </c>
      <c r="D1316" s="2" t="str">
        <f t="shared" si="19"/>
        <v>Error?</v>
      </c>
    </row>
    <row r="1317" spans="1:4" x14ac:dyDescent="0.2">
      <c r="A1317" s="5">
        <v>1256</v>
      </c>
      <c r="B1317" s="138">
        <f>'Expenditures 15-22'!H172</f>
        <v>1070758</v>
      </c>
      <c r="C1317" s="2" t="s">
        <v>594</v>
      </c>
      <c r="D1317" s="2" t="str">
        <f t="shared" si="19"/>
        <v>Error?</v>
      </c>
    </row>
    <row r="1318" spans="1:4" x14ac:dyDescent="0.2">
      <c r="A1318" s="5">
        <v>1257</v>
      </c>
      <c r="B1318" s="138">
        <f>'Expenditures 15-22'!H174</f>
        <v>1070758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479374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589642</v>
      </c>
      <c r="C1329" s="2" t="s">
        <v>594</v>
      </c>
      <c r="D1329" s="2" t="str">
        <f t="shared" si="19"/>
        <v>Error?</v>
      </c>
    </row>
    <row r="1330" spans="1:4" x14ac:dyDescent="0.2">
      <c r="A1330" s="5">
        <v>1269</v>
      </c>
      <c r="B1330" s="138">
        <f>'Expenditures 15-22'!K171</f>
        <v>1742</v>
      </c>
      <c r="C1330" s="2" t="s">
        <v>594</v>
      </c>
      <c r="D1330" s="2" t="str">
        <f t="shared" si="19"/>
        <v>Error?</v>
      </c>
    </row>
    <row r="1331" spans="1:4" x14ac:dyDescent="0.2">
      <c r="A1331" s="5">
        <v>1270</v>
      </c>
      <c r="B1331" s="138">
        <f>'Expenditures 15-22'!K172</f>
        <v>1070758</v>
      </c>
      <c r="C1331" s="2" t="s">
        <v>594</v>
      </c>
      <c r="D1331" s="2" t="str">
        <f t="shared" si="19"/>
        <v>Error?</v>
      </c>
    </row>
    <row r="1332" spans="1:4" x14ac:dyDescent="0.2">
      <c r="A1332" s="5">
        <v>1271</v>
      </c>
      <c r="B1332" s="138">
        <f>'Expenditures 15-22'!K174</f>
        <v>1070758</v>
      </c>
      <c r="C1332" s="2" t="s">
        <v>594</v>
      </c>
      <c r="D1332" s="2" t="str">
        <f t="shared" si="19"/>
        <v>Error?</v>
      </c>
    </row>
    <row r="1333" spans="1:4" x14ac:dyDescent="0.2">
      <c r="A1333" s="5">
        <v>1272</v>
      </c>
      <c r="B1333" s="138">
        <f>'Expenditures 15-22'!K175</f>
        <v>-22832</v>
      </c>
      <c r="C1333" s="2" t="s">
        <v>594</v>
      </c>
      <c r="D1333" s="2" t="str">
        <f t="shared" si="19"/>
        <v>Error?</v>
      </c>
    </row>
    <row r="1334" spans="1:4" x14ac:dyDescent="0.2">
      <c r="A1334" s="10">
        <v>1273</v>
      </c>
      <c r="D1334" s="2" t="str">
        <f t="shared" si="19"/>
        <v>OK</v>
      </c>
    </row>
    <row r="1335" spans="1:4" x14ac:dyDescent="0.2">
      <c r="A1335" s="5">
        <v>1274</v>
      </c>
      <c r="B1335" s="138">
        <f>'Expenditures 15-22'!C182</f>
        <v>1750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1750</v>
      </c>
      <c r="C1339" s="2" t="s">
        <v>594</v>
      </c>
      <c r="D1339" s="2" t="str">
        <f t="shared" si="19"/>
        <v>Error?</v>
      </c>
    </row>
    <row r="1340" spans="1:4" x14ac:dyDescent="0.2">
      <c r="A1340" s="5">
        <v>1279</v>
      </c>
      <c r="B1340" s="138">
        <f>'Expenditures 15-22'!C210</f>
        <v>1750</v>
      </c>
      <c r="C1340" s="2" t="s">
        <v>594</v>
      </c>
      <c r="D1340" s="2" t="str">
        <f t="shared" si="19"/>
        <v>Error?</v>
      </c>
    </row>
    <row r="1341" spans="1:4" x14ac:dyDescent="0.2">
      <c r="A1341" s="5">
        <v>1280</v>
      </c>
      <c r="B1341" s="138">
        <f>'Expenditures 15-22'!D182</f>
        <v>199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199</v>
      </c>
      <c r="C1345" s="2" t="s">
        <v>594</v>
      </c>
      <c r="D1345" s="2" t="str">
        <f t="shared" si="20"/>
        <v>Error?</v>
      </c>
    </row>
    <row r="1346" spans="1:4" x14ac:dyDescent="0.2">
      <c r="A1346" s="5">
        <v>1285</v>
      </c>
      <c r="B1346" s="138">
        <f>'Expenditures 15-22'!D210</f>
        <v>199</v>
      </c>
      <c r="C1346" s="2" t="s">
        <v>594</v>
      </c>
      <c r="D1346" s="2" t="str">
        <f t="shared" si="20"/>
        <v>Error?</v>
      </c>
    </row>
    <row r="1347" spans="1:4" x14ac:dyDescent="0.2">
      <c r="A1347" s="5">
        <v>1286</v>
      </c>
      <c r="B1347" s="138">
        <f>'Expenditures 15-22'!E182</f>
        <v>1034001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1034001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1034001</v>
      </c>
      <c r="C1353" s="2" t="s">
        <v>594</v>
      </c>
      <c r="D1353" s="2" t="str">
        <f t="shared" si="20"/>
        <v>Error?</v>
      </c>
    </row>
    <row r="1354" spans="1:4" x14ac:dyDescent="0.2">
      <c r="A1354" s="5">
        <v>1293</v>
      </c>
      <c r="B1354" s="138">
        <f>'Expenditures 15-22'!F182</f>
        <v>19863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19863</v>
      </c>
      <c r="C1358" s="2" t="s">
        <v>594</v>
      </c>
      <c r="D1358" s="2" t="str">
        <f t="shared" si="20"/>
        <v>Error?</v>
      </c>
    </row>
    <row r="1359" spans="1:4" x14ac:dyDescent="0.2">
      <c r="A1359" s="5">
        <v>1298</v>
      </c>
      <c r="B1359" s="138">
        <f>'Expenditures 15-22'!F210</f>
        <v>19863</v>
      </c>
      <c r="C1359" s="2" t="s">
        <v>594</v>
      </c>
      <c r="D1359" s="2" t="str">
        <f t="shared" si="20"/>
        <v>Error?</v>
      </c>
    </row>
    <row r="1360" spans="1:4" x14ac:dyDescent="0.2">
      <c r="A1360" s="5">
        <v>1299</v>
      </c>
      <c r="B1360" s="138">
        <f>'Expenditures 15-22'!G182</f>
        <v>22040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22040</v>
      </c>
      <c r="C1364" s="2" t="s">
        <v>594</v>
      </c>
      <c r="D1364" s="2" t="str">
        <f t="shared" si="20"/>
        <v>Error?</v>
      </c>
    </row>
    <row r="1365" spans="1:4" x14ac:dyDescent="0.2">
      <c r="A1365" s="5">
        <v>1304</v>
      </c>
      <c r="B1365" s="138">
        <f>'Expenditures 15-22'!G210</f>
        <v>22040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1077853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1077853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1077853</v>
      </c>
      <c r="C1388" s="2" t="s">
        <v>594</v>
      </c>
      <c r="D1388" s="2" t="str">
        <f t="shared" si="20"/>
        <v>Error?</v>
      </c>
    </row>
    <row r="1389" spans="1:4" x14ac:dyDescent="0.2">
      <c r="A1389" s="5">
        <v>1328</v>
      </c>
      <c r="B1389" s="138">
        <f>'Expenditures 15-22'!K211</f>
        <v>118717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2402</v>
      </c>
      <c r="D1407" s="2" t="str">
        <f t="shared" ref="D1407:D1470" si="21">IF(ISBLANK(B1407),"OK",IF(A1407-B1407=0,"OK","Error?"))</f>
        <v>Error?</v>
      </c>
    </row>
    <row r="1408" spans="1:4" x14ac:dyDescent="0.2">
      <c r="A1408" s="5">
        <v>1347</v>
      </c>
      <c r="B1408" s="138">
        <f>'Expenditures 15-22'!D223</f>
        <v>9300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290205</v>
      </c>
      <c r="C1410" s="2" t="s">
        <v>594</v>
      </c>
      <c r="D1410" s="2" t="str">
        <f t="shared" si="21"/>
        <v>Error?</v>
      </c>
    </row>
    <row r="1411" spans="1:4" x14ac:dyDescent="0.2">
      <c r="A1411" s="5">
        <v>1350</v>
      </c>
      <c r="B1411" s="138">
        <f>'Expenditures 15-22'!D232</f>
        <v>1154</v>
      </c>
      <c r="D1411" s="2" t="str">
        <f t="shared" si="21"/>
        <v>Error?</v>
      </c>
    </row>
    <row r="1412" spans="1:4" x14ac:dyDescent="0.2">
      <c r="A1412" s="5">
        <v>1351</v>
      </c>
      <c r="B1412" s="138">
        <f>'Expenditures 15-22'!D233</f>
        <v>11664</v>
      </c>
      <c r="D1412" s="2" t="str">
        <f t="shared" si="21"/>
        <v>Error?</v>
      </c>
    </row>
    <row r="1413" spans="1:4" x14ac:dyDescent="0.2">
      <c r="A1413" s="5">
        <v>1352</v>
      </c>
      <c r="B1413" s="138">
        <f>'Expenditures 15-22'!D234</f>
        <v>9762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22580</v>
      </c>
      <c r="C1417" s="2" t="s">
        <v>594</v>
      </c>
      <c r="D1417" s="2" t="str">
        <f t="shared" si="21"/>
        <v>Error?</v>
      </c>
    </row>
    <row r="1418" spans="1:4" x14ac:dyDescent="0.2">
      <c r="A1418" s="5">
        <v>1357</v>
      </c>
      <c r="B1418" s="138">
        <f>'Expenditures 15-22'!D240</f>
        <v>1008</v>
      </c>
      <c r="D1418" s="2" t="str">
        <f t="shared" si="21"/>
        <v>Error?</v>
      </c>
    </row>
    <row r="1419" spans="1:4" x14ac:dyDescent="0.2">
      <c r="A1419" s="5">
        <v>1358</v>
      </c>
      <c r="B1419" s="138">
        <f>'Expenditures 15-22'!D241</f>
        <v>21006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22014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5256</v>
      </c>
      <c r="D1423" s="2" t="str">
        <f t="shared" si="21"/>
        <v>Error?</v>
      </c>
    </row>
    <row r="1424" spans="1:4" x14ac:dyDescent="0.2">
      <c r="A1424" s="5">
        <v>1363</v>
      </c>
      <c r="B1424" s="138">
        <f>'Expenditures 15-22'!D257</f>
        <v>5256</v>
      </c>
      <c r="C1424" s="2" t="s">
        <v>594</v>
      </c>
      <c r="D1424" s="2" t="str">
        <f t="shared" si="21"/>
        <v>Error?</v>
      </c>
    </row>
    <row r="1425" spans="1:4" x14ac:dyDescent="0.2">
      <c r="A1425" s="5">
        <v>1364</v>
      </c>
      <c r="B1425" s="138">
        <f>'Expenditures 15-22'!D259</f>
        <v>59182</v>
      </c>
      <c r="D1425" s="2" t="str">
        <f t="shared" si="21"/>
        <v>Error?</v>
      </c>
    </row>
    <row r="1426" spans="1:4" x14ac:dyDescent="0.2">
      <c r="A1426" s="5">
        <v>1365</v>
      </c>
      <c r="B1426" s="138">
        <f>'Expenditures 15-22'!D260</f>
        <v>413</v>
      </c>
      <c r="D1426" s="2" t="str">
        <f t="shared" si="21"/>
        <v>Error?</v>
      </c>
    </row>
    <row r="1427" spans="1:4" x14ac:dyDescent="0.2">
      <c r="A1427" s="5">
        <v>1366</v>
      </c>
      <c r="B1427" s="138">
        <f>'Expenditures 15-22'!D261</f>
        <v>59595</v>
      </c>
      <c r="C1427" s="2" t="s">
        <v>594</v>
      </c>
      <c r="D1427" s="2" t="str">
        <f t="shared" si="21"/>
        <v>Error?</v>
      </c>
    </row>
    <row r="1428" spans="1:4" x14ac:dyDescent="0.2">
      <c r="A1428" s="5">
        <v>1367</v>
      </c>
      <c r="B1428" s="138">
        <f>'Expenditures 15-22'!D263</f>
        <v>13345</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124040</v>
      </c>
      <c r="D1431" s="2" t="str">
        <f t="shared" si="21"/>
        <v>Error?</v>
      </c>
    </row>
    <row r="1432" spans="1:4" x14ac:dyDescent="0.2">
      <c r="A1432" s="5">
        <v>1371</v>
      </c>
      <c r="B1432" s="138">
        <f>'Expenditures 15-22'!D267</f>
        <v>19</v>
      </c>
      <c r="D1432" s="2" t="str">
        <f t="shared" si="21"/>
        <v>Error?</v>
      </c>
    </row>
    <row r="1433" spans="1:4" x14ac:dyDescent="0.2">
      <c r="A1433" s="5">
        <v>1372</v>
      </c>
      <c r="B1433" s="138">
        <f>'Expenditures 15-22'!D268</f>
        <v>45698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183102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4840</v>
      </c>
      <c r="D1445" s="2" t="str">
        <f t="shared" si="21"/>
        <v>Error?</v>
      </c>
    </row>
    <row r="1446" spans="1:4" x14ac:dyDescent="0.2">
      <c r="A1446" s="5">
        <v>1385</v>
      </c>
      <c r="B1446" s="138">
        <f>'Expenditures 15-22'!D279</f>
        <v>297387</v>
      </c>
      <c r="C1446" s="2" t="s">
        <v>594</v>
      </c>
      <c r="D1446" s="2" t="str">
        <f t="shared" si="21"/>
        <v>Error?</v>
      </c>
    </row>
    <row r="1447" spans="1:4" x14ac:dyDescent="0.2">
      <c r="A1447" s="5">
        <v>1386</v>
      </c>
      <c r="B1447" s="138">
        <f>'Expenditures 15-22'!D280</f>
        <v>1290</v>
      </c>
      <c r="D1447" s="2" t="str">
        <f t="shared" si="21"/>
        <v>Error?</v>
      </c>
    </row>
    <row r="1448" spans="1:4" x14ac:dyDescent="0.2">
      <c r="A1448" s="5">
        <v>1387</v>
      </c>
      <c r="B1448" s="138">
        <f>'Expenditures 15-22'!D295</f>
        <v>588882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2402</v>
      </c>
      <c r="C1471" s="2" t="s">
        <v>594</v>
      </c>
      <c r="D1471" s="2" t="str">
        <f t="shared" ref="D1471:D1534" si="22">IF(ISBLANK(B1471),"OK",IF(A1471-B1471=0,"OK","Error?"))</f>
        <v>Error?</v>
      </c>
    </row>
    <row r="1472" spans="1:4" x14ac:dyDescent="0.2">
      <c r="A1472" s="5">
        <v>1411</v>
      </c>
      <c r="B1472" s="138">
        <f>'Expenditures 15-22'!K223</f>
        <v>9300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290205</v>
      </c>
      <c r="C1474" s="2" t="s">
        <v>594</v>
      </c>
      <c r="D1474" s="2" t="str">
        <f t="shared" si="22"/>
        <v>Error?</v>
      </c>
    </row>
    <row r="1475" spans="1:4" x14ac:dyDescent="0.2">
      <c r="A1475" s="5">
        <v>1414</v>
      </c>
      <c r="B1475" s="138">
        <f>'Expenditures 15-22'!K232</f>
        <v>1154</v>
      </c>
      <c r="C1475" s="2" t="s">
        <v>594</v>
      </c>
      <c r="D1475" s="2" t="str">
        <f t="shared" si="22"/>
        <v>Error?</v>
      </c>
    </row>
    <row r="1476" spans="1:4" x14ac:dyDescent="0.2">
      <c r="A1476" s="5">
        <v>1415</v>
      </c>
      <c r="B1476" s="138">
        <f>'Expenditures 15-22'!K233</f>
        <v>11664</v>
      </c>
      <c r="C1476" s="2" t="s">
        <v>594</v>
      </c>
      <c r="D1476" s="2" t="str">
        <f t="shared" si="22"/>
        <v>Error?</v>
      </c>
    </row>
    <row r="1477" spans="1:4" x14ac:dyDescent="0.2">
      <c r="A1477" s="5">
        <v>1416</v>
      </c>
      <c r="B1477" s="138">
        <f>'Expenditures 15-22'!K234</f>
        <v>9762</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22580</v>
      </c>
      <c r="C1481" s="2" t="s">
        <v>594</v>
      </c>
      <c r="D1481" s="2" t="str">
        <f t="shared" si="22"/>
        <v>Error?</v>
      </c>
    </row>
    <row r="1482" spans="1:4" x14ac:dyDescent="0.2">
      <c r="A1482" s="5">
        <v>1421</v>
      </c>
      <c r="B1482" s="138">
        <f>'Expenditures 15-22'!K240</f>
        <v>1008</v>
      </c>
      <c r="C1482" s="2" t="s">
        <v>594</v>
      </c>
      <c r="D1482" s="2" t="str">
        <f t="shared" si="22"/>
        <v>Error?</v>
      </c>
    </row>
    <row r="1483" spans="1:4" x14ac:dyDescent="0.2">
      <c r="A1483" s="5">
        <v>1422</v>
      </c>
      <c r="B1483" s="138">
        <f>'Expenditures 15-22'!K241</f>
        <v>21006</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22014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5256</v>
      </c>
      <c r="C1487" s="2" t="s">
        <v>594</v>
      </c>
      <c r="D1487" s="2" t="str">
        <f t="shared" si="22"/>
        <v>Error?</v>
      </c>
    </row>
    <row r="1488" spans="1:4" x14ac:dyDescent="0.2">
      <c r="A1488" s="5">
        <v>1427</v>
      </c>
      <c r="B1488" s="138">
        <f>'Expenditures 15-22'!K257</f>
        <v>5256</v>
      </c>
      <c r="C1488" s="2" t="s">
        <v>594</v>
      </c>
      <c r="D1488" s="2" t="str">
        <f t="shared" si="22"/>
        <v>Error?</v>
      </c>
    </row>
    <row r="1489" spans="1:4" x14ac:dyDescent="0.2">
      <c r="A1489" s="5">
        <v>1428</v>
      </c>
      <c r="B1489" s="138">
        <f>'Expenditures 15-22'!K259</f>
        <v>59182</v>
      </c>
      <c r="C1489" s="2" t="s">
        <v>594</v>
      </c>
      <c r="D1489" s="2" t="str">
        <f t="shared" si="22"/>
        <v>Error?</v>
      </c>
    </row>
    <row r="1490" spans="1:4" x14ac:dyDescent="0.2">
      <c r="A1490" s="5">
        <v>1429</v>
      </c>
      <c r="B1490" s="138">
        <f>'Expenditures 15-22'!K260</f>
        <v>413</v>
      </c>
      <c r="C1490" s="2" t="s">
        <v>594</v>
      </c>
      <c r="D1490" s="2" t="str">
        <f t="shared" si="22"/>
        <v>Error?</v>
      </c>
    </row>
    <row r="1491" spans="1:4" x14ac:dyDescent="0.2">
      <c r="A1491" s="5">
        <v>1430</v>
      </c>
      <c r="B1491" s="138">
        <f>'Expenditures 15-22'!K261</f>
        <v>59595</v>
      </c>
      <c r="C1491" s="2" t="s">
        <v>594</v>
      </c>
      <c r="D1491" s="2" t="str">
        <f t="shared" si="22"/>
        <v>Error?</v>
      </c>
    </row>
    <row r="1492" spans="1:4" x14ac:dyDescent="0.2">
      <c r="A1492" s="5">
        <v>1431</v>
      </c>
      <c r="B1492" s="138">
        <f>'Expenditures 15-22'!K263</f>
        <v>13345</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124040</v>
      </c>
      <c r="C1495" s="2" t="s">
        <v>594</v>
      </c>
      <c r="D1495" s="2" t="str">
        <f t="shared" si="22"/>
        <v>Error?</v>
      </c>
    </row>
    <row r="1496" spans="1:4" x14ac:dyDescent="0.2">
      <c r="A1496" s="5">
        <v>1435</v>
      </c>
      <c r="B1496" s="138">
        <f>'Expenditures 15-22'!K267</f>
        <v>19</v>
      </c>
      <c r="C1496" s="2" t="s">
        <v>594</v>
      </c>
      <c r="D1496" s="2" t="str">
        <f t="shared" si="22"/>
        <v>Error?</v>
      </c>
    </row>
    <row r="1497" spans="1:4" x14ac:dyDescent="0.2">
      <c r="A1497" s="5">
        <v>1436</v>
      </c>
      <c r="B1497" s="138">
        <f>'Expenditures 15-22'!K268</f>
        <v>45698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183102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4840</v>
      </c>
      <c r="C1509" s="2" t="s">
        <v>594</v>
      </c>
      <c r="D1509" s="2" t="str">
        <f t="shared" si="22"/>
        <v>Error?</v>
      </c>
    </row>
    <row r="1510" spans="1:4" x14ac:dyDescent="0.2">
      <c r="A1510" s="5">
        <v>1449</v>
      </c>
      <c r="B1510" s="138">
        <f>'Expenditures 15-22'!K279</f>
        <v>297387</v>
      </c>
      <c r="C1510" s="2" t="s">
        <v>594</v>
      </c>
      <c r="D1510" s="2" t="str">
        <f t="shared" si="22"/>
        <v>Error?</v>
      </c>
    </row>
    <row r="1511" spans="1:4" x14ac:dyDescent="0.2">
      <c r="A1511" s="5">
        <v>1450</v>
      </c>
      <c r="B1511" s="138">
        <f>'Expenditures 15-22'!K280</f>
        <v>1290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588882</v>
      </c>
      <c r="C1517" s="2" t="s">
        <v>594</v>
      </c>
      <c r="D1517" s="2" t="str">
        <f t="shared" si="22"/>
        <v>Error?</v>
      </c>
    </row>
    <row r="1518" spans="1:4" x14ac:dyDescent="0.2">
      <c r="A1518" s="5">
        <v>1457</v>
      </c>
      <c r="B1518" s="138">
        <f>'Expenditures 15-22'!K296</f>
        <v>21547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7273594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7273594</v>
      </c>
      <c r="C1547" s="2" t="s">
        <v>594</v>
      </c>
      <c r="D1547" s="2" t="str">
        <f t="shared" si="23"/>
        <v>Error?</v>
      </c>
    </row>
    <row r="1548" spans="1:4" x14ac:dyDescent="0.2">
      <c r="A1548" s="5">
        <v>1487</v>
      </c>
      <c r="B1548" s="138">
        <f>'Expenditures 15-22'!G312</f>
        <v>7273594</v>
      </c>
      <c r="C1548" s="2" t="s">
        <v>594</v>
      </c>
      <c r="D1548" s="2" t="str">
        <f t="shared" si="23"/>
        <v>Error?</v>
      </c>
    </row>
    <row r="1549" spans="1:4" x14ac:dyDescent="0.2">
      <c r="A1549" s="5">
        <v>1488</v>
      </c>
      <c r="B1549" s="138">
        <f>'Expenditures 15-22'!H301</f>
        <v>832537</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832537</v>
      </c>
      <c r="C1553" s="2" t="s">
        <v>594</v>
      </c>
      <c r="D1553" s="2" t="str">
        <f t="shared" si="23"/>
        <v>Error?</v>
      </c>
    </row>
    <row r="1554" spans="1:4" x14ac:dyDescent="0.2">
      <c r="A1554" s="5">
        <v>1493</v>
      </c>
      <c r="B1554" s="138">
        <f>'Expenditures 15-22'!H312</f>
        <v>832537</v>
      </c>
      <c r="C1554" s="2" t="s">
        <v>594</v>
      </c>
      <c r="D1554" s="2" t="str">
        <f t="shared" si="23"/>
        <v>Error?</v>
      </c>
    </row>
    <row r="1555" spans="1:4" x14ac:dyDescent="0.2">
      <c r="A1555" s="5">
        <v>1494</v>
      </c>
      <c r="B1555" s="138">
        <f>'Expenditures 15-22'!K301</f>
        <v>8106131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8106131</v>
      </c>
      <c r="C1559" s="2" t="s">
        <v>594</v>
      </c>
      <c r="D1559" s="2" t="str">
        <f t="shared" si="23"/>
        <v>Error?</v>
      </c>
    </row>
    <row r="1560" spans="1:4" x14ac:dyDescent="0.2">
      <c r="A1560" s="5">
        <v>1499</v>
      </c>
      <c r="B1560" s="138">
        <f>'Expenditures 15-22'!K312</f>
        <v>8106131</v>
      </c>
      <c r="C1560" s="2" t="s">
        <v>594</v>
      </c>
      <c r="D1560" s="2" t="str">
        <f t="shared" si="23"/>
        <v>Error?</v>
      </c>
    </row>
    <row r="1561" spans="1:4" x14ac:dyDescent="0.2">
      <c r="A1561" s="5">
        <v>1500</v>
      </c>
      <c r="B1561" s="138">
        <f>'Expenditures 15-22'!K313</f>
        <v>-7094568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793411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2562396</v>
      </c>
      <c r="C1630" s="2" t="s">
        <v>594</v>
      </c>
      <c r="D1630" s="2" t="str">
        <f t="shared" si="24"/>
        <v>Error?</v>
      </c>
    </row>
    <row r="1631" spans="1:4" x14ac:dyDescent="0.2">
      <c r="A1631" s="5">
        <v>1570</v>
      </c>
      <c r="B1631" s="138">
        <f>'Acct Summary 7-8'!D79</f>
        <v>67934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23809</v>
      </c>
      <c r="C1644" s="2" t="s">
        <v>594</v>
      </c>
      <c r="D1644" s="2" t="str">
        <f t="shared" si="24"/>
        <v>Error?</v>
      </c>
    </row>
    <row r="1645" spans="1:4" x14ac:dyDescent="0.2">
      <c r="A1645" s="5">
        <v>1584</v>
      </c>
      <c r="B1645" s="138">
        <f>'Acct Summary 7-8'!E79</f>
        <v>75032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78403</v>
      </c>
      <c r="C1658" s="2" t="s">
        <v>594</v>
      </c>
      <c r="D1658" s="2" t="str">
        <f t="shared" si="24"/>
        <v>Error?</v>
      </c>
    </row>
    <row r="1659" spans="1:4" x14ac:dyDescent="0.2">
      <c r="A1659" s="5">
        <v>1598</v>
      </c>
      <c r="B1659" s="138">
        <f>'Acct Summary 7-8'!F79</f>
        <v>13383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132100</v>
      </c>
      <c r="C1672" s="2" t="s">
        <v>594</v>
      </c>
      <c r="D1672" s="2" t="str">
        <f t="shared" si="25"/>
        <v>Error?</v>
      </c>
    </row>
    <row r="1673" spans="1:4" x14ac:dyDescent="0.2">
      <c r="A1673" s="5">
        <v>1612</v>
      </c>
      <c r="B1673" s="138">
        <f>'Acct Summary 7-8'!G79</f>
        <v>233892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255439</v>
      </c>
      <c r="C1686" s="2" t="s">
        <v>594</v>
      </c>
      <c r="D1686" s="2" t="str">
        <f t="shared" si="25"/>
        <v>Error?</v>
      </c>
    </row>
    <row r="1687" spans="1:4" x14ac:dyDescent="0.2">
      <c r="A1687" s="5">
        <v>1626</v>
      </c>
      <c r="B1687" s="138">
        <f>'Acct Summary 7-8'!H79</f>
        <v>9202086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2107518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2590376</v>
      </c>
      <c r="C1744" s="2" t="s">
        <v>594</v>
      </c>
      <c r="D1744" s="2" t="str">
        <f t="shared" si="26"/>
        <v>Error?</v>
      </c>
    </row>
    <row r="1745" spans="1:5" x14ac:dyDescent="0.2">
      <c r="A1745" s="5">
        <v>1684</v>
      </c>
      <c r="B1745" s="138">
        <f>'Tax Sched 23'!B5</f>
        <v>647594</v>
      </c>
      <c r="C1745" s="2" t="s">
        <v>594</v>
      </c>
      <c r="D1745" s="2" t="str">
        <f t="shared" si="26"/>
        <v>Error?</v>
      </c>
    </row>
    <row r="1746" spans="1:5" x14ac:dyDescent="0.2">
      <c r="A1746" s="5">
        <v>1685</v>
      </c>
      <c r="B1746" s="138">
        <f>'Tax Sched 23'!B6</f>
        <v>1047175</v>
      </c>
      <c r="C1746" s="2" t="s">
        <v>594</v>
      </c>
      <c r="D1746" s="2" t="str">
        <f t="shared" si="26"/>
        <v>Error?</v>
      </c>
    </row>
    <row r="1747" spans="1:5" x14ac:dyDescent="0.2">
      <c r="A1747" s="5">
        <v>1686</v>
      </c>
      <c r="B1747" s="138">
        <f>'Tax Sched 23'!B7</f>
        <v>259039</v>
      </c>
      <c r="C1747" s="2" t="s">
        <v>594</v>
      </c>
      <c r="D1747" s="2" t="str">
        <f t="shared" si="26"/>
        <v>Error?</v>
      </c>
    </row>
    <row r="1748" spans="1:5" x14ac:dyDescent="0.2">
      <c r="A1748" s="5">
        <v>1687</v>
      </c>
      <c r="B1748" s="138">
        <f>'Tax Sched 23'!B8</f>
        <v>304281</v>
      </c>
      <c r="C1748" s="2" t="s">
        <v>594</v>
      </c>
      <c r="D1748" s="2" t="str">
        <f t="shared" si="26"/>
        <v>Error?</v>
      </c>
    </row>
    <row r="1749" spans="1:5" x14ac:dyDescent="0.2">
      <c r="A1749" s="5">
        <v>1688</v>
      </c>
      <c r="B1749" s="138">
        <f>'Tax Sched 23'!B10</f>
        <v>64761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532217</v>
      </c>
      <c r="C1752" s="2" t="s">
        <v>594</v>
      </c>
      <c r="D1752" s="2" t="str">
        <f t="shared" si="26"/>
        <v>Error?</v>
      </c>
    </row>
    <row r="1753" spans="1:5" x14ac:dyDescent="0.2">
      <c r="A1753" s="5">
        <v>1692</v>
      </c>
      <c r="B1753" s="138">
        <f>'Tax Sched 23'!B12</f>
        <v>64761</v>
      </c>
      <c r="C1753" s="2" t="s">
        <v>594</v>
      </c>
      <c r="D1753" s="2" t="str">
        <f t="shared" si="26"/>
        <v>Error?</v>
      </c>
    </row>
    <row r="1754" spans="1:5" x14ac:dyDescent="0.2">
      <c r="A1754" s="5">
        <v>1693</v>
      </c>
      <c r="B1754" s="138">
        <f>'Tax Sched 23'!B14</f>
        <v>51808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5931054</v>
      </c>
      <c r="C1759" s="2" t="s">
        <v>594</v>
      </c>
      <c r="D1759" s="2" t="str">
        <f t="shared" si="26"/>
        <v>Error?</v>
      </c>
    </row>
    <row r="1760" spans="1:5" x14ac:dyDescent="0.2">
      <c r="A1760" s="5">
        <v>1699</v>
      </c>
      <c r="B1760" s="138">
        <f>'Tax Sched 23'!D4</f>
        <v>2590376</v>
      </c>
      <c r="C1760" s="2" t="s">
        <v>594</v>
      </c>
      <c r="D1760" s="2" t="str">
        <f t="shared" si="26"/>
        <v>Error?</v>
      </c>
    </row>
    <row r="1761" spans="1:5" x14ac:dyDescent="0.2">
      <c r="A1761" s="5">
        <v>1700</v>
      </c>
      <c r="B1761" s="138">
        <f>'Tax Sched 23'!D5</f>
        <v>647594</v>
      </c>
      <c r="C1761" s="2" t="s">
        <v>594</v>
      </c>
      <c r="D1761" s="2" t="str">
        <f t="shared" si="26"/>
        <v>Error?</v>
      </c>
    </row>
    <row r="1762" spans="1:5" s="8" customFormat="1" x14ac:dyDescent="0.2">
      <c r="A1762" s="5">
        <v>1701</v>
      </c>
      <c r="B1762" s="138">
        <f>'Tax Sched 23'!D6</f>
        <v>1047175</v>
      </c>
      <c r="C1762" s="2" t="s">
        <v>594</v>
      </c>
      <c r="D1762" s="2" t="str">
        <f t="shared" si="26"/>
        <v>Error?</v>
      </c>
      <c r="E1762" s="9"/>
    </row>
    <row r="1763" spans="1:5" x14ac:dyDescent="0.2">
      <c r="A1763" s="5">
        <v>1702</v>
      </c>
      <c r="B1763" s="138">
        <f>'Tax Sched 23'!D7</f>
        <v>259039</v>
      </c>
      <c r="C1763" s="2" t="s">
        <v>594</v>
      </c>
      <c r="D1763" s="2" t="str">
        <f t="shared" si="26"/>
        <v>Error?</v>
      </c>
    </row>
    <row r="1764" spans="1:5" x14ac:dyDescent="0.2">
      <c r="A1764" s="5">
        <v>1703</v>
      </c>
      <c r="B1764" s="138">
        <f>'Tax Sched 23'!D8</f>
        <v>304281</v>
      </c>
      <c r="C1764" s="2" t="s">
        <v>594</v>
      </c>
      <c r="D1764" s="2" t="str">
        <f t="shared" si="26"/>
        <v>Error?</v>
      </c>
    </row>
    <row r="1765" spans="1:5" x14ac:dyDescent="0.2">
      <c r="A1765" s="5">
        <v>1704</v>
      </c>
      <c r="B1765" s="138">
        <f>'Tax Sched 23'!D10</f>
        <v>64761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532217</v>
      </c>
      <c r="C1768" s="2" t="s">
        <v>594</v>
      </c>
      <c r="D1768" s="2" t="str">
        <f t="shared" si="26"/>
        <v>Error?</v>
      </c>
    </row>
    <row r="1769" spans="1:5" x14ac:dyDescent="0.2">
      <c r="A1769" s="5">
        <v>1708</v>
      </c>
      <c r="B1769" s="138">
        <f>'Tax Sched 23'!D12</f>
        <v>64761</v>
      </c>
      <c r="C1769" s="2" t="s">
        <v>594</v>
      </c>
      <c r="D1769" s="2" t="str">
        <f t="shared" si="26"/>
        <v>Error?</v>
      </c>
    </row>
    <row r="1770" spans="1:5" x14ac:dyDescent="0.2">
      <c r="A1770" s="5">
        <v>1709</v>
      </c>
      <c r="B1770" s="138">
        <f>'Tax Sched 23'!D14</f>
        <v>51808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5931054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2638363</v>
      </c>
      <c r="C1792" s="2" t="s">
        <v>594</v>
      </c>
      <c r="D1792" s="2" t="str">
        <f t="shared" si="27"/>
        <v>Error?</v>
      </c>
    </row>
    <row r="1793" spans="1:4" x14ac:dyDescent="0.2">
      <c r="A1793" s="5">
        <v>1732</v>
      </c>
      <c r="B1793" s="138">
        <f>'Tax Sched 23'!F5</f>
        <v>659591</v>
      </c>
      <c r="C1793" s="2" t="s">
        <v>594</v>
      </c>
      <c r="D1793" s="2" t="str">
        <f t="shared" si="27"/>
        <v>Error?</v>
      </c>
    </row>
    <row r="1794" spans="1:4" x14ac:dyDescent="0.2">
      <c r="A1794" s="5">
        <v>1733</v>
      </c>
      <c r="B1794" s="138">
        <f>'Tax Sched 23'!F6</f>
        <v>1066572</v>
      </c>
      <c r="C1794" s="2" t="s">
        <v>594</v>
      </c>
      <c r="D1794" s="2" t="str">
        <f t="shared" si="27"/>
        <v>Error?</v>
      </c>
    </row>
    <row r="1795" spans="1:4" x14ac:dyDescent="0.2">
      <c r="A1795" s="5">
        <v>1734</v>
      </c>
      <c r="B1795" s="138">
        <f>'Tax Sched 23'!F7</f>
        <v>263836</v>
      </c>
      <c r="C1795" s="2" t="s">
        <v>594</v>
      </c>
      <c r="D1795" s="2" t="str">
        <f t="shared" si="27"/>
        <v>Error?</v>
      </c>
    </row>
    <row r="1796" spans="1:4" x14ac:dyDescent="0.2">
      <c r="A1796" s="5">
        <v>1735</v>
      </c>
      <c r="B1796" s="138">
        <f>'Tax Sched 23'!F8</f>
        <v>309915</v>
      </c>
      <c r="C1796" s="2" t="s">
        <v>594</v>
      </c>
      <c r="D1796" s="2" t="str">
        <f t="shared" si="27"/>
        <v>Error?</v>
      </c>
    </row>
    <row r="1797" spans="1:4" x14ac:dyDescent="0.2">
      <c r="A1797" s="5">
        <v>1736</v>
      </c>
      <c r="B1797" s="138">
        <f>'Tax Sched 23'!F10</f>
        <v>65959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542078</v>
      </c>
      <c r="C1800" s="2" t="s">
        <v>594</v>
      </c>
      <c r="D1800" s="2" t="str">
        <f t="shared" si="27"/>
        <v>Error?</v>
      </c>
    </row>
    <row r="1801" spans="1:4" x14ac:dyDescent="0.2">
      <c r="A1801" s="5">
        <v>1740</v>
      </c>
      <c r="B1801" s="138">
        <f>'Tax Sched 23'!F12</f>
        <v>65959</v>
      </c>
      <c r="C1801" s="2" t="s">
        <v>594</v>
      </c>
      <c r="D1801" s="2" t="str">
        <f t="shared" si="27"/>
        <v>Error?</v>
      </c>
    </row>
    <row r="1802" spans="1:4" x14ac:dyDescent="0.2">
      <c r="A1802" s="5">
        <v>1741</v>
      </c>
      <c r="B1802" s="138">
        <f>'Tax Sched 23'!F14</f>
        <v>52767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6993256</v>
      </c>
      <c r="C1807" s="2" t="s">
        <v>594</v>
      </c>
      <c r="D1807" s="2" t="str">
        <f t="shared" si="27"/>
        <v>Error?</v>
      </c>
    </row>
    <row r="1808" spans="1:4" x14ac:dyDescent="0.2">
      <c r="A1808" s="5">
        <v>1747</v>
      </c>
      <c r="B1808" s="138">
        <f>'Tax Sched 23'!E4</f>
        <v>2638363</v>
      </c>
      <c r="D1808" s="2" t="str">
        <f t="shared" si="27"/>
        <v>Error?</v>
      </c>
    </row>
    <row r="1809" spans="1:4" x14ac:dyDescent="0.2">
      <c r="A1809" s="5">
        <v>1748</v>
      </c>
      <c r="B1809" s="138">
        <f>'Tax Sched 23'!E5</f>
        <v>659591</v>
      </c>
      <c r="D1809" s="2" t="str">
        <f t="shared" si="27"/>
        <v>Error?</v>
      </c>
    </row>
    <row r="1810" spans="1:4" x14ac:dyDescent="0.2">
      <c r="A1810" s="5">
        <v>1749</v>
      </c>
      <c r="B1810" s="138">
        <f>'Tax Sched 23'!E6</f>
        <v>1066572</v>
      </c>
      <c r="D1810" s="2" t="str">
        <f t="shared" si="27"/>
        <v>Error?</v>
      </c>
    </row>
    <row r="1811" spans="1:4" x14ac:dyDescent="0.2">
      <c r="A1811" s="5">
        <v>1750</v>
      </c>
      <c r="B1811" s="138">
        <f>'Tax Sched 23'!E7</f>
        <v>263836</v>
      </c>
      <c r="D1811" s="2" t="str">
        <f t="shared" si="27"/>
        <v>Error?</v>
      </c>
    </row>
    <row r="1812" spans="1:4" x14ac:dyDescent="0.2">
      <c r="A1812" s="5">
        <v>1751</v>
      </c>
      <c r="B1812" s="138">
        <f>'Tax Sched 23'!E8</f>
        <v>309915</v>
      </c>
      <c r="D1812" s="2" t="str">
        <f t="shared" si="27"/>
        <v>Error?</v>
      </c>
    </row>
    <row r="1813" spans="1:4" x14ac:dyDescent="0.2">
      <c r="A1813" s="5">
        <v>1752</v>
      </c>
      <c r="B1813" s="138">
        <f>'Tax Sched 23'!E10</f>
        <v>65959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542078</v>
      </c>
      <c r="D1816" s="2" t="str">
        <f t="shared" si="27"/>
        <v>Error?</v>
      </c>
    </row>
    <row r="1817" spans="1:4" x14ac:dyDescent="0.2">
      <c r="A1817" s="5">
        <v>1756</v>
      </c>
      <c r="B1817" s="138">
        <f>'Tax Sched 23'!E12</f>
        <v>65959</v>
      </c>
      <c r="D1817" s="2" t="str">
        <f t="shared" si="27"/>
        <v>Error?</v>
      </c>
    </row>
    <row r="1818" spans="1:4" x14ac:dyDescent="0.2">
      <c r="A1818" s="5">
        <v>1757</v>
      </c>
      <c r="B1818" s="138">
        <f>'Tax Sched 23'!E14</f>
        <v>52767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6993256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1000000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1000000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1000000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1000000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27323985</v>
      </c>
      <c r="C1939" s="2" t="s">
        <v>594</v>
      </c>
      <c r="D1939" s="2" t="str">
        <f t="shared" si="29"/>
        <v>Error?</v>
      </c>
    </row>
    <row r="1940" spans="1:5" x14ac:dyDescent="0.2">
      <c r="A1940" s="5">
        <v>1879</v>
      </c>
      <c r="B1940" s="138">
        <f>'Short-Term Long-Term Debt 24'!F49</f>
        <v>14127</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51808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51808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51808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1726560</v>
      </c>
      <c r="D2008" s="2" t="str">
        <f t="shared" si="30"/>
        <v>Error?</v>
      </c>
    </row>
    <row r="2009" spans="1:4" x14ac:dyDescent="0.2">
      <c r="A2009" s="5">
        <v>1948</v>
      </c>
      <c r="B2009" s="138">
        <f>'Cap Outlay Deprec 26'!C8</f>
        <v>29327858</v>
      </c>
      <c r="D2009" s="2" t="str">
        <f t="shared" si="30"/>
        <v>Error?</v>
      </c>
    </row>
    <row r="2010" spans="1:4" x14ac:dyDescent="0.2">
      <c r="A2010" s="5">
        <v>1949</v>
      </c>
      <c r="B2010" s="138">
        <f>'Cap Outlay Deprec 26'!C10</f>
        <v>1230775</v>
      </c>
      <c r="D2010" s="2" t="str">
        <f t="shared" si="30"/>
        <v>Error?</v>
      </c>
    </row>
    <row r="2011" spans="1:4" x14ac:dyDescent="0.2">
      <c r="A2011" s="5">
        <v>1950</v>
      </c>
      <c r="B2011" s="138">
        <f>'Cap Outlay Deprec 26'!C12</f>
        <v>1891173</v>
      </c>
      <c r="D2011" s="2" t="str">
        <f t="shared" si="30"/>
        <v>Error?</v>
      </c>
    </row>
    <row r="2012" spans="1:4" x14ac:dyDescent="0.2">
      <c r="A2012" s="5">
        <v>1951</v>
      </c>
      <c r="B2012" s="138">
        <f>'Cap Outlay Deprec 26'!C13</f>
        <v>422199</v>
      </c>
      <c r="D2012" s="2" t="str">
        <f t="shared" si="30"/>
        <v>Error?</v>
      </c>
    </row>
    <row r="2013" spans="1:4" x14ac:dyDescent="0.2">
      <c r="A2013" s="5">
        <v>1952</v>
      </c>
      <c r="B2013" s="138">
        <f>'Cap Outlay Deprec 26'!C16</f>
        <v>47991235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51025</v>
      </c>
      <c r="D2015" s="2" t="str">
        <f t="shared" si="30"/>
        <v>Error?</v>
      </c>
    </row>
    <row r="2016" spans="1:4" x14ac:dyDescent="0.2">
      <c r="A2016" s="5">
        <v>1955</v>
      </c>
      <c r="B2016" s="138">
        <f>'Cap Outlay Deprec 26'!D10</f>
        <v>6211</v>
      </c>
      <c r="D2016" s="2" t="str">
        <f t="shared" si="30"/>
        <v>Error?</v>
      </c>
    </row>
    <row r="2017" spans="1:4" x14ac:dyDescent="0.2">
      <c r="A2017" s="5">
        <v>1956</v>
      </c>
      <c r="B2017" s="138">
        <f>'Cap Outlay Deprec 26'!D12</f>
        <v>5974</v>
      </c>
      <c r="D2017" s="2" t="str">
        <f t="shared" si="30"/>
        <v>Error?</v>
      </c>
    </row>
    <row r="2018" spans="1:4" x14ac:dyDescent="0.2">
      <c r="A2018" s="5">
        <v>1957</v>
      </c>
      <c r="B2018" s="138">
        <f>'Cap Outlay Deprec 26'!D13</f>
        <v>67012</v>
      </c>
      <c r="D2018" s="2" t="str">
        <f t="shared" si="30"/>
        <v>Error?</v>
      </c>
    </row>
    <row r="2019" spans="1:4" x14ac:dyDescent="0.2">
      <c r="A2019" s="5">
        <v>1958</v>
      </c>
      <c r="B2019" s="138">
        <f>'Cap Outlay Deprec 26'!D16</f>
        <v>8919228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1726560</v>
      </c>
      <c r="C2026" s="2" t="s">
        <v>594</v>
      </c>
      <c r="D2026" s="2" t="str">
        <f t="shared" si="30"/>
        <v>Error?</v>
      </c>
    </row>
    <row r="2027" spans="1:4" x14ac:dyDescent="0.2">
      <c r="A2027" s="5">
        <v>1966</v>
      </c>
      <c r="B2027" s="138">
        <f>'Cap Outlay Deprec 26'!F8</f>
        <v>29378883</v>
      </c>
      <c r="C2027" s="2" t="s">
        <v>594</v>
      </c>
      <c r="D2027" s="2" t="str">
        <f t="shared" si="30"/>
        <v>Error?</v>
      </c>
    </row>
    <row r="2028" spans="1:4" x14ac:dyDescent="0.2">
      <c r="A2028" s="5">
        <v>1967</v>
      </c>
      <c r="B2028" s="138">
        <f>'Cap Outlay Deprec 26'!F10</f>
        <v>1236986</v>
      </c>
      <c r="C2028" s="2" t="s">
        <v>594</v>
      </c>
      <c r="D2028" s="2" t="str">
        <f t="shared" si="30"/>
        <v>Error?</v>
      </c>
    </row>
    <row r="2029" spans="1:4" x14ac:dyDescent="0.2">
      <c r="A2029" s="5">
        <v>1968</v>
      </c>
      <c r="B2029" s="138">
        <f>'Cap Outlay Deprec 26'!F12</f>
        <v>1897147</v>
      </c>
      <c r="C2029" s="2" t="s">
        <v>594</v>
      </c>
      <c r="D2029" s="2" t="str">
        <f t="shared" si="30"/>
        <v>Error?</v>
      </c>
    </row>
    <row r="2030" spans="1:4" x14ac:dyDescent="0.2">
      <c r="A2030" s="5">
        <v>1969</v>
      </c>
      <c r="B2030" s="138">
        <f>'Cap Outlay Deprec 26'!F13</f>
        <v>489211</v>
      </c>
      <c r="C2030" s="2" t="s">
        <v>594</v>
      </c>
      <c r="D2030" s="2" t="str">
        <f t="shared" si="30"/>
        <v>Error?</v>
      </c>
    </row>
    <row r="2031" spans="1:4" x14ac:dyDescent="0.2">
      <c r="A2031" s="5">
        <v>1970</v>
      </c>
      <c r="B2031" s="138">
        <f>'Cap Outlay Deprec 26'!F16</f>
        <v>56910463</v>
      </c>
      <c r="C2031" s="2" t="s">
        <v>594</v>
      </c>
      <c r="D2031" s="2" t="str">
        <f t="shared" si="30"/>
        <v>Error?</v>
      </c>
    </row>
    <row r="2032" spans="1:4" x14ac:dyDescent="0.2">
      <c r="A2032" s="10">
        <v>1971</v>
      </c>
      <c r="D2032" s="2" t="str">
        <f t="shared" si="30"/>
        <v>OK</v>
      </c>
    </row>
    <row r="2033" spans="1:4" x14ac:dyDescent="0.2">
      <c r="A2033" s="5">
        <v>1972</v>
      </c>
      <c r="B2033" s="138">
        <f>'Cap Outlay Deprec 26'!H8</f>
        <v>12045261</v>
      </c>
      <c r="D2033" s="2" t="str">
        <f t="shared" si="30"/>
        <v>Error?</v>
      </c>
    </row>
    <row r="2034" spans="1:4" x14ac:dyDescent="0.2">
      <c r="A2034" s="5">
        <v>1973</v>
      </c>
      <c r="B2034" s="138">
        <f>'Cap Outlay Deprec 26'!H10</f>
        <v>867351</v>
      </c>
      <c r="D2034" s="2" t="str">
        <f t="shared" si="30"/>
        <v>Error?</v>
      </c>
    </row>
    <row r="2035" spans="1:4" x14ac:dyDescent="0.2">
      <c r="A2035" s="5">
        <v>1974</v>
      </c>
      <c r="B2035" s="138">
        <f>'Cap Outlay Deprec 26'!H12</f>
        <v>1548333</v>
      </c>
      <c r="D2035" s="2" t="str">
        <f t="shared" si="30"/>
        <v>Error?</v>
      </c>
    </row>
    <row r="2036" spans="1:4" x14ac:dyDescent="0.2">
      <c r="A2036" s="5">
        <v>1975</v>
      </c>
      <c r="B2036" s="138">
        <f>'Cap Outlay Deprec 26'!H13</f>
        <v>286156</v>
      </c>
      <c r="D2036" s="2" t="str">
        <f t="shared" si="30"/>
        <v>Error?</v>
      </c>
    </row>
    <row r="2037" spans="1:4" x14ac:dyDescent="0.2">
      <c r="A2037" s="5">
        <v>1976</v>
      </c>
      <c r="B2037" s="138">
        <f>'Cap Outlay Deprec 26'!H16</f>
        <v>14747101</v>
      </c>
      <c r="C2037" s="2" t="s">
        <v>594</v>
      </c>
      <c r="D2037" s="2" t="str">
        <f t="shared" si="30"/>
        <v>Error?</v>
      </c>
    </row>
    <row r="2038" spans="1:4" x14ac:dyDescent="0.2">
      <c r="A2038" s="10">
        <v>1977</v>
      </c>
      <c r="D2038" s="2" t="str">
        <f t="shared" si="30"/>
        <v>OK</v>
      </c>
    </row>
    <row r="2039" spans="1:4" x14ac:dyDescent="0.2">
      <c r="A2039" s="5">
        <v>1978</v>
      </c>
      <c r="B2039" s="138">
        <f>'Cap Outlay Deprec 26'!I8</f>
        <v>549354</v>
      </c>
      <c r="D2039" s="2" t="str">
        <f t="shared" si="30"/>
        <v>Error?</v>
      </c>
    </row>
    <row r="2040" spans="1:4" x14ac:dyDescent="0.2">
      <c r="A2040" s="5">
        <v>1979</v>
      </c>
      <c r="B2040" s="138">
        <f>'Cap Outlay Deprec 26'!I10</f>
        <v>54649</v>
      </c>
      <c r="D2040" s="2" t="str">
        <f t="shared" si="30"/>
        <v>Error?</v>
      </c>
    </row>
    <row r="2041" spans="1:4" x14ac:dyDescent="0.2">
      <c r="A2041" s="5">
        <v>1980</v>
      </c>
      <c r="B2041" s="138">
        <f>'Cap Outlay Deprec 26'!I12</f>
        <v>98157</v>
      </c>
      <c r="D2041" s="2" t="str">
        <f t="shared" si="30"/>
        <v>Error?</v>
      </c>
    </row>
    <row r="2042" spans="1:4" x14ac:dyDescent="0.2">
      <c r="A2042" s="5">
        <v>1981</v>
      </c>
      <c r="B2042" s="138">
        <f>'Cap Outlay Deprec 26'!I13</f>
        <v>50978</v>
      </c>
      <c r="D2042" s="2" t="str">
        <f t="shared" si="30"/>
        <v>Error?</v>
      </c>
    </row>
    <row r="2043" spans="1:4" x14ac:dyDescent="0.2">
      <c r="A2043" s="5">
        <v>1982</v>
      </c>
      <c r="B2043" s="138">
        <f>'Cap Outlay Deprec 26'!I16</f>
        <v>753138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12594615</v>
      </c>
      <c r="C2051" s="2" t="s">
        <v>594</v>
      </c>
      <c r="D2051" s="2" t="str">
        <f t="shared" si="31"/>
        <v>Error?</v>
      </c>
    </row>
    <row r="2052" spans="1:4" x14ac:dyDescent="0.2">
      <c r="A2052" s="5">
        <v>1991</v>
      </c>
      <c r="B2052" s="138">
        <f>'Cap Outlay Deprec 26'!K10</f>
        <v>922000</v>
      </c>
      <c r="C2052" s="2" t="s">
        <v>594</v>
      </c>
      <c r="D2052" s="2" t="str">
        <f t="shared" si="31"/>
        <v>Error?</v>
      </c>
    </row>
    <row r="2053" spans="1:4" x14ac:dyDescent="0.2">
      <c r="A2053" s="5">
        <v>1992</v>
      </c>
      <c r="B2053" s="138">
        <f>'Cap Outlay Deprec 26'!K12</f>
        <v>1646490</v>
      </c>
      <c r="C2053" s="2" t="s">
        <v>594</v>
      </c>
      <c r="D2053" s="2" t="str">
        <f t="shared" si="31"/>
        <v>Error?</v>
      </c>
    </row>
    <row r="2054" spans="1:4" x14ac:dyDescent="0.2">
      <c r="A2054" s="5">
        <v>1993</v>
      </c>
      <c r="B2054" s="138">
        <f>'Cap Outlay Deprec 26'!K13</f>
        <v>337134</v>
      </c>
      <c r="C2054" s="2" t="s">
        <v>594</v>
      </c>
      <c r="D2054" s="2" t="str">
        <f t="shared" si="31"/>
        <v>Error?</v>
      </c>
    </row>
    <row r="2055" spans="1:4" x14ac:dyDescent="0.2">
      <c r="A2055" s="5">
        <v>1994</v>
      </c>
      <c r="B2055" s="138">
        <f>'Cap Outlay Deprec 26'!K16</f>
        <v>15500239</v>
      </c>
      <c r="C2055" s="2" t="s">
        <v>594</v>
      </c>
      <c r="D2055" s="2" t="str">
        <f t="shared" si="31"/>
        <v>Error?</v>
      </c>
    </row>
    <row r="2056" spans="1:4" x14ac:dyDescent="0.2">
      <c r="A2056" s="5">
        <v>1995</v>
      </c>
      <c r="B2056" s="138">
        <f>'Cap Outlay Deprec 26'!L5</f>
        <v>1726560</v>
      </c>
      <c r="C2056" s="2" t="s">
        <v>594</v>
      </c>
      <c r="D2056" s="2" t="str">
        <f t="shared" si="31"/>
        <v>Error?</v>
      </c>
    </row>
    <row r="2057" spans="1:4" x14ac:dyDescent="0.2">
      <c r="A2057" s="5">
        <v>1996</v>
      </c>
      <c r="B2057" s="138">
        <f>'Cap Outlay Deprec 26'!L8</f>
        <v>16784268</v>
      </c>
      <c r="C2057" s="2" t="s">
        <v>594</v>
      </c>
      <c r="D2057" s="2" t="str">
        <f t="shared" si="31"/>
        <v>Error?</v>
      </c>
    </row>
    <row r="2058" spans="1:4" x14ac:dyDescent="0.2">
      <c r="A2058" s="5">
        <v>1997</v>
      </c>
      <c r="B2058" s="138">
        <f>'Cap Outlay Deprec 26'!L10</f>
        <v>314986</v>
      </c>
      <c r="C2058" s="2" t="s">
        <v>594</v>
      </c>
      <c r="D2058" s="2" t="str">
        <f t="shared" si="31"/>
        <v>Error?</v>
      </c>
    </row>
    <row r="2059" spans="1:4" x14ac:dyDescent="0.2">
      <c r="A2059" s="5">
        <v>1998</v>
      </c>
      <c r="B2059" s="138">
        <f>'Cap Outlay Deprec 26'!L12</f>
        <v>250657</v>
      </c>
      <c r="C2059" s="2" t="s">
        <v>594</v>
      </c>
      <c r="D2059" s="2" t="str">
        <f t="shared" si="31"/>
        <v>Error?</v>
      </c>
    </row>
    <row r="2060" spans="1:4" x14ac:dyDescent="0.2">
      <c r="A2060" s="5">
        <v>1999</v>
      </c>
      <c r="B2060" s="138">
        <f>'Cap Outlay Deprec 26'!L13</f>
        <v>152077</v>
      </c>
      <c r="C2060" s="2" t="s">
        <v>594</v>
      </c>
      <c r="D2060" s="2" t="str">
        <f t="shared" si="31"/>
        <v>Error?</v>
      </c>
    </row>
    <row r="2061" spans="1:4" x14ac:dyDescent="0.2">
      <c r="A2061" s="5">
        <v>2000</v>
      </c>
      <c r="B2061" s="138">
        <f>'Cap Outlay Deprec 26'!L16</f>
        <v>41410224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45273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45273</v>
      </c>
      <c r="C2088" s="2" t="s">
        <v>594</v>
      </c>
      <c r="D2088" s="2" t="str">
        <f t="shared" si="31"/>
        <v>Error?</v>
      </c>
    </row>
    <row r="2089" spans="1:4" x14ac:dyDescent="0.2">
      <c r="A2089" s="5">
        <v>2028</v>
      </c>
      <c r="B2089" s="138">
        <f>'Expenditures 15-22'!K92</f>
        <v>592776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3527888</v>
      </c>
      <c r="C2551" s="2" t="s">
        <v>594</v>
      </c>
      <c r="D2551" s="2" t="str">
        <f t="shared" si="38"/>
        <v>Error?</v>
      </c>
    </row>
    <row r="2552" spans="1:4" x14ac:dyDescent="0.2">
      <c r="A2552" s="10">
        <v>2491</v>
      </c>
      <c r="D2552" s="2" t="str">
        <f t="shared" si="38"/>
        <v>OK</v>
      </c>
    </row>
    <row r="2553" spans="1:4" x14ac:dyDescent="0.2">
      <c r="A2553" s="5">
        <v>2492</v>
      </c>
      <c r="B2553" s="138">
        <f>'Acct Summary 7-8'!C6</f>
        <v>11616046</v>
      </c>
      <c r="C2553" s="2" t="s">
        <v>594</v>
      </c>
      <c r="D2553" s="2" t="str">
        <f t="shared" si="38"/>
        <v>Error?</v>
      </c>
    </row>
    <row r="2554" spans="1:4" x14ac:dyDescent="0.2">
      <c r="A2554" s="5">
        <v>2493</v>
      </c>
      <c r="B2554" s="138">
        <f>'Acct Summary 7-8'!C7</f>
        <v>2129950</v>
      </c>
      <c r="C2554" s="2" t="s">
        <v>594</v>
      </c>
      <c r="D2554" s="2" t="str">
        <f t="shared" si="38"/>
        <v>Error?</v>
      </c>
    </row>
    <row r="2555" spans="1:4" x14ac:dyDescent="0.2">
      <c r="A2555" s="5">
        <v>2494</v>
      </c>
      <c r="B2555" s="138">
        <f>'Acct Summary 7-8'!C8</f>
        <v>17273884</v>
      </c>
      <c r="C2555" s="2" t="s">
        <v>594</v>
      </c>
      <c r="D2555" s="2" t="str">
        <f t="shared" si="38"/>
        <v>Error?</v>
      </c>
    </row>
    <row r="2556" spans="1:4" x14ac:dyDescent="0.2">
      <c r="A2556" s="5">
        <v>2495</v>
      </c>
      <c r="B2556" s="138">
        <f>'Acct Summary 7-8'!C12</f>
        <v>10373926</v>
      </c>
      <c r="C2556" s="2" t="s">
        <v>594</v>
      </c>
      <c r="D2556" s="2" t="str">
        <f t="shared" si="38"/>
        <v>Error?</v>
      </c>
    </row>
    <row r="2557" spans="1:4" x14ac:dyDescent="0.2">
      <c r="A2557" s="5">
        <v>2496</v>
      </c>
      <c r="B2557" s="138">
        <f>'Acct Summary 7-8'!C13</f>
        <v>4376291</v>
      </c>
      <c r="C2557" s="2" t="s">
        <v>594</v>
      </c>
      <c r="D2557" s="2" t="str">
        <f t="shared" si="38"/>
        <v>Error?</v>
      </c>
    </row>
    <row r="2558" spans="1:4" x14ac:dyDescent="0.2">
      <c r="A2558" s="5">
        <v>2497</v>
      </c>
      <c r="B2558" s="138">
        <f>'Acct Summary 7-8'!C14</f>
        <v>83402</v>
      </c>
      <c r="C2558" s="2" t="s">
        <v>594</v>
      </c>
      <c r="D2558" s="2" t="str">
        <f t="shared" si="38"/>
        <v>Error?</v>
      </c>
    </row>
    <row r="2559" spans="1:4" x14ac:dyDescent="0.2">
      <c r="A2559" s="5">
        <v>2498</v>
      </c>
      <c r="B2559" s="138">
        <f>'Acct Summary 7-8'!C15</f>
        <v>638049</v>
      </c>
      <c r="C2559" s="2" t="s">
        <v>594</v>
      </c>
      <c r="D2559" s="2" t="str">
        <f t="shared" ref="D2559:D2622" si="39">IF(ISBLANK(B2559),"OK",IF(A2559-B2559=0,"OK","Error?"))</f>
        <v>Error?</v>
      </c>
    </row>
    <row r="2560" spans="1:4" x14ac:dyDescent="0.2">
      <c r="A2560" s="5">
        <v>2499</v>
      </c>
      <c r="B2560" s="138">
        <f>'Acct Summary 7-8'!C16</f>
        <v>7028</v>
      </c>
      <c r="C2560" s="2" t="s">
        <v>594</v>
      </c>
      <c r="D2560" s="2" t="str">
        <f t="shared" si="39"/>
        <v>Error?</v>
      </c>
    </row>
    <row r="2561" spans="1:4" x14ac:dyDescent="0.2">
      <c r="A2561" s="5">
        <v>2500</v>
      </c>
      <c r="B2561" s="138">
        <f>'Acct Summary 7-8'!C17</f>
        <v>15478696</v>
      </c>
      <c r="C2561" s="2" t="s">
        <v>594</v>
      </c>
      <c r="D2561" s="2" t="str">
        <f t="shared" si="39"/>
        <v>Error?</v>
      </c>
    </row>
    <row r="2562" spans="1:4" x14ac:dyDescent="0.2">
      <c r="A2562" s="5">
        <v>2501</v>
      </c>
      <c r="B2562" s="138">
        <f>'Acct Summary 7-8'!C20</f>
        <v>1795188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670313</v>
      </c>
      <c r="C2564" s="2" t="s">
        <v>594</v>
      </c>
      <c r="D2564" s="2" t="str">
        <f t="shared" si="39"/>
        <v>Error?</v>
      </c>
    </row>
    <row r="2565" spans="1:4" x14ac:dyDescent="0.2">
      <c r="A2565" s="10">
        <v>2504</v>
      </c>
      <c r="D2565" s="2" t="str">
        <f t="shared" si="39"/>
        <v>OK</v>
      </c>
    </row>
    <row r="2566" spans="1:4" x14ac:dyDescent="0.2">
      <c r="A2566" s="5">
        <v>2505</v>
      </c>
      <c r="B2566" s="138">
        <f>'Acct Summary 7-8'!D6</f>
        <v>80000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750313</v>
      </c>
      <c r="C2568" s="2" t="s">
        <v>594</v>
      </c>
      <c r="D2568" s="2" t="str">
        <f t="shared" si="39"/>
        <v>Error?</v>
      </c>
    </row>
    <row r="2569" spans="1:4" x14ac:dyDescent="0.2">
      <c r="A2569" s="5">
        <v>2508</v>
      </c>
      <c r="B2569" s="138">
        <f>'Acct Summary 7-8'!D13</f>
        <v>794438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794438</v>
      </c>
      <c r="C2573" s="2" t="s">
        <v>594</v>
      </c>
      <c r="D2573" s="2" t="str">
        <f t="shared" si="39"/>
        <v>Error?</v>
      </c>
    </row>
    <row r="2574" spans="1:4" x14ac:dyDescent="0.2">
      <c r="A2574" s="5">
        <v>2513</v>
      </c>
      <c r="B2574" s="138">
        <f>'Acct Summary 7-8'!D20</f>
        <v>-44125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284975</v>
      </c>
      <c r="C2591" s="2" t="s">
        <v>594</v>
      </c>
      <c r="D2591" s="2" t="str">
        <f t="shared" si="39"/>
        <v>Error?</v>
      </c>
    </row>
    <row r="2592" spans="1:4" x14ac:dyDescent="0.2">
      <c r="A2592" s="10">
        <v>2531</v>
      </c>
      <c r="D2592" s="2" t="str">
        <f t="shared" si="39"/>
        <v>OK</v>
      </c>
    </row>
    <row r="2593" spans="1:4" x14ac:dyDescent="0.2">
      <c r="A2593" s="5">
        <v>2532</v>
      </c>
      <c r="B2593" s="138">
        <f>'Acct Summary 7-8'!F6</f>
        <v>911595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1196570</v>
      </c>
      <c r="C2595" s="2" t="s">
        <v>594</v>
      </c>
      <c r="D2595" s="2" t="str">
        <f t="shared" si="39"/>
        <v>Error?</v>
      </c>
    </row>
    <row r="2596" spans="1:4" x14ac:dyDescent="0.2">
      <c r="A2596" s="5">
        <v>2535</v>
      </c>
      <c r="B2596" s="138">
        <f>'Acct Summary 7-8'!F13</f>
        <v>1077853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1077853</v>
      </c>
      <c r="C2600" s="2" t="s">
        <v>594</v>
      </c>
      <c r="D2600" s="2" t="str">
        <f t="shared" si="39"/>
        <v>Error?</v>
      </c>
    </row>
    <row r="2601" spans="1:4" x14ac:dyDescent="0.2">
      <c r="A2601" s="5">
        <v>2540</v>
      </c>
      <c r="B2601" s="138">
        <f>'Acct Summary 7-8'!F20</f>
        <v>118717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610429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610429</v>
      </c>
      <c r="C2606" s="2" t="s">
        <v>594</v>
      </c>
      <c r="D2606" s="2" t="str">
        <f t="shared" si="39"/>
        <v>Error?</v>
      </c>
    </row>
    <row r="2607" spans="1:4" x14ac:dyDescent="0.2">
      <c r="A2607" s="5">
        <v>2546</v>
      </c>
      <c r="B2607" s="138">
        <f>'Acct Summary 7-8'!G12</f>
        <v>290205</v>
      </c>
      <c r="C2607" s="2" t="s">
        <v>594</v>
      </c>
      <c r="D2607" s="2" t="str">
        <f t="shared" si="39"/>
        <v>Error?</v>
      </c>
    </row>
    <row r="2608" spans="1:4" x14ac:dyDescent="0.2">
      <c r="A2608" s="5">
        <v>2547</v>
      </c>
      <c r="B2608" s="138">
        <f>'Acct Summary 7-8'!G13</f>
        <v>297387</v>
      </c>
      <c r="C2608" s="2" t="s">
        <v>594</v>
      </c>
      <c r="D2608" s="2" t="str">
        <f t="shared" si="39"/>
        <v>Error?</v>
      </c>
    </row>
    <row r="2609" spans="1:4" x14ac:dyDescent="0.2">
      <c r="A2609" s="5">
        <v>2548</v>
      </c>
      <c r="B2609" s="138">
        <f>'Acct Summary 7-8'!G14</f>
        <v>1290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588882</v>
      </c>
      <c r="C2612" s="2" t="s">
        <v>594</v>
      </c>
      <c r="D2612" s="2" t="str">
        <f t="shared" si="39"/>
        <v>Error?</v>
      </c>
    </row>
    <row r="2613" spans="1:4" x14ac:dyDescent="0.2">
      <c r="A2613" s="5">
        <v>2552</v>
      </c>
      <c r="B2613" s="138">
        <f>'Acct Summary 7-8'!G20</f>
        <v>21547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1047926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1047926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1070758</v>
      </c>
      <c r="C2634" s="2" t="s">
        <v>594</v>
      </c>
      <c r="D2634" s="2" t="str">
        <f t="shared" si="40"/>
        <v>Error?</v>
      </c>
    </row>
    <row r="2635" spans="1:4" x14ac:dyDescent="0.2">
      <c r="A2635" s="5">
        <v>2574</v>
      </c>
      <c r="B2635" s="138">
        <f>'Acct Summary 7-8'!E17</f>
        <v>1070758</v>
      </c>
      <c r="C2635" s="2" t="s">
        <v>594</v>
      </c>
      <c r="D2635" s="2" t="str">
        <f t="shared" si="40"/>
        <v>Error?</v>
      </c>
    </row>
    <row r="2636" spans="1:4" x14ac:dyDescent="0.2">
      <c r="A2636" s="5">
        <v>2575</v>
      </c>
      <c r="B2636" s="138">
        <f>'Acct Summary 7-8'!E20</f>
        <v>-22832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1011563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1011563</v>
      </c>
      <c r="C2658" s="2" t="s">
        <v>594</v>
      </c>
      <c r="D2658" s="2" t="str">
        <f t="shared" si="40"/>
        <v>Error?</v>
      </c>
    </row>
    <row r="2659" spans="1:4" x14ac:dyDescent="0.2">
      <c r="A2659" s="5">
        <v>2598</v>
      </c>
      <c r="B2659" s="138">
        <f>'Acct Summary 7-8'!H13</f>
        <v>8106131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8106131</v>
      </c>
      <c r="C2661" s="2" t="s">
        <v>594</v>
      </c>
      <c r="D2661" s="2" t="str">
        <f t="shared" si="40"/>
        <v>Error?</v>
      </c>
    </row>
    <row r="2662" spans="1:4" x14ac:dyDescent="0.2">
      <c r="A2662" s="5">
        <v>2601</v>
      </c>
      <c r="B2662" s="138">
        <f>'Acct Summary 7-8'!H20</f>
        <v>-7094568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22181676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309111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56297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432144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309111</v>
      </c>
      <c r="D2912" s="2" t="str">
        <f t="shared" si="44"/>
        <v>Error?</v>
      </c>
    </row>
    <row r="2913" spans="1:4" x14ac:dyDescent="0.2">
      <c r="A2913" s="5">
        <v>2852</v>
      </c>
      <c r="B2913" s="138">
        <f>'Assets-Liab 5-6'!I41</f>
        <v>309111</v>
      </c>
      <c r="C2913" s="2" t="s">
        <v>594</v>
      </c>
      <c r="D2913" s="2" t="str">
        <f t="shared" si="44"/>
        <v>Error?</v>
      </c>
    </row>
    <row r="2914" spans="1:4" x14ac:dyDescent="0.2">
      <c r="A2914" s="5">
        <v>2853</v>
      </c>
      <c r="B2914" s="138">
        <f>'Assets-Liab 5-6'!L33</f>
        <v>432144</v>
      </c>
      <c r="D2914" s="2" t="str">
        <f t="shared" si="44"/>
        <v>Error?</v>
      </c>
    </row>
    <row r="2915" spans="1:4" x14ac:dyDescent="0.2">
      <c r="A2915" s="10">
        <v>2854</v>
      </c>
      <c r="D2915" s="2" t="str">
        <f t="shared" si="44"/>
        <v>OK</v>
      </c>
    </row>
    <row r="2916" spans="1:4" x14ac:dyDescent="0.2">
      <c r="A2916" s="5">
        <v>2855</v>
      </c>
      <c r="B2916" s="138">
        <f>'Assets-Liab 5-6'!L34</f>
        <v>432144</v>
      </c>
      <c r="C2916" s="2" t="s">
        <v>594</v>
      </c>
      <c r="D2916" s="2" t="str">
        <f t="shared" si="44"/>
        <v>Error?</v>
      </c>
    </row>
    <row r="2917" spans="1:4" x14ac:dyDescent="0.2">
      <c r="A2917" s="5">
        <v>2856</v>
      </c>
      <c r="B2917" s="138">
        <f>'Assets-Liab 5-6'!L41</f>
        <v>432144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24703</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3090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17480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24703</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3090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17480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512792</v>
      </c>
      <c r="D3055" s="2" t="str">
        <f t="shared" si="46"/>
        <v>Error?</v>
      </c>
    </row>
    <row r="3056" spans="1:4" x14ac:dyDescent="0.2">
      <c r="A3056" s="5">
        <v>2995</v>
      </c>
      <c r="B3056" s="138">
        <f>'Expenditures 15-22'!D10</f>
        <v>94395</v>
      </c>
      <c r="D3056" s="2" t="str">
        <f t="shared" si="46"/>
        <v>Error?</v>
      </c>
    </row>
    <row r="3057" spans="1:4" x14ac:dyDescent="0.2">
      <c r="A3057" s="5">
        <v>2996</v>
      </c>
      <c r="B3057" s="138">
        <f>'Expenditures 15-22'!E10</f>
        <v>30640</v>
      </c>
      <c r="D3057" s="2" t="str">
        <f t="shared" si="46"/>
        <v>Error?</v>
      </c>
    </row>
    <row r="3058" spans="1:4" x14ac:dyDescent="0.2">
      <c r="A3058" s="5">
        <v>2997</v>
      </c>
      <c r="B3058" s="138">
        <f>'Expenditures 15-22'!F10</f>
        <v>116893</v>
      </c>
      <c r="D3058" s="2" t="str">
        <f t="shared" si="46"/>
        <v>Error?</v>
      </c>
    </row>
    <row r="3059" spans="1:4" x14ac:dyDescent="0.2">
      <c r="A3059" s="5">
        <v>2998</v>
      </c>
      <c r="B3059" s="138">
        <f>'Expenditures 15-22'!G10</f>
        <v>9849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764569</v>
      </c>
      <c r="C3062" s="2" t="s">
        <v>594</v>
      </c>
      <c r="D3062" s="2" t="str">
        <f t="shared" si="46"/>
        <v>Error?</v>
      </c>
    </row>
    <row r="3063" spans="1:4" x14ac:dyDescent="0.2">
      <c r="A3063" s="10">
        <v>3002</v>
      </c>
      <c r="D3063" s="2" t="str">
        <f t="shared" si="46"/>
        <v>OK</v>
      </c>
    </row>
    <row r="3064" spans="1:4" x14ac:dyDescent="0.2">
      <c r="A3064" s="5">
        <v>3003</v>
      </c>
      <c r="B3064" s="138">
        <f>'Expenditures 15-22'!D219</f>
        <v>60237</v>
      </c>
      <c r="D3064" s="2" t="str">
        <f t="shared" si="46"/>
        <v>Error?</v>
      </c>
    </row>
    <row r="3065" spans="1:4" x14ac:dyDescent="0.2">
      <c r="A3065" s="5">
        <v>3004</v>
      </c>
      <c r="B3065" s="138">
        <f>'Expenditures 15-22'!K219</f>
        <v>60237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66503</v>
      </c>
      <c r="C3225" s="2" t="s">
        <v>594</v>
      </c>
      <c r="D3225" s="2" t="str">
        <f t="shared" si="49"/>
        <v>Error?</v>
      </c>
    </row>
    <row r="3226" spans="1:4" x14ac:dyDescent="0.2">
      <c r="A3226" s="5">
        <v>3165</v>
      </c>
      <c r="B3226" s="138">
        <f>'Acct Summary 7-8'!I8</f>
        <v>66503</v>
      </c>
      <c r="C3226" s="2" t="s">
        <v>594</v>
      </c>
      <c r="D3226" s="2" t="str">
        <f t="shared" si="49"/>
        <v>Error?</v>
      </c>
    </row>
    <row r="3227" spans="1:4" x14ac:dyDescent="0.2">
      <c r="A3227" s="5">
        <v>3166</v>
      </c>
      <c r="B3227" s="138">
        <f>'Acct Summary 7-8'!I20</f>
        <v>66503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26203</v>
      </c>
      <c r="C3231" s="2" t="s">
        <v>594</v>
      </c>
      <c r="D3231" s="2" t="str">
        <f t="shared" si="49"/>
        <v>Error?</v>
      </c>
    </row>
    <row r="3232" spans="1:4" x14ac:dyDescent="0.2">
      <c r="A3232" s="5">
        <v>3171</v>
      </c>
      <c r="B3232" s="138">
        <f>'Acct Summary 7-8'!C77</f>
        <v>-26203</v>
      </c>
      <c r="C3232" s="2" t="s">
        <v>594</v>
      </c>
      <c r="D3232" s="2" t="str">
        <f t="shared" si="49"/>
        <v>Error?</v>
      </c>
    </row>
    <row r="3233" spans="1:4" x14ac:dyDescent="0.2">
      <c r="A3233" s="5">
        <v>3172</v>
      </c>
      <c r="B3233" s="138">
        <f>'Acct Summary 7-8'!C78</f>
        <v>1768985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-44125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118717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21547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26203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26203</v>
      </c>
      <c r="C3277" s="2" t="s">
        <v>594</v>
      </c>
      <c r="D3277" s="2" t="str">
        <f t="shared" si="50"/>
        <v>Error?</v>
      </c>
    </row>
    <row r="3278" spans="1:4" x14ac:dyDescent="0.2">
      <c r="A3278" s="5">
        <v>3217</v>
      </c>
      <c r="B3278" s="138">
        <f>'Acct Summary 7-8'!E78</f>
        <v>3371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-7094568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66503</v>
      </c>
      <c r="C3320" s="2" t="s">
        <v>594</v>
      </c>
      <c r="D3320" s="2" t="str">
        <f t="shared" si="50"/>
        <v>Error?</v>
      </c>
    </row>
    <row r="3321" spans="1:4" x14ac:dyDescent="0.2">
      <c r="A3321" s="5">
        <v>3260</v>
      </c>
      <c r="B3321" s="138">
        <f>'Acct Summary 7-8'!I79</f>
        <v>242608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309111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1854249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328103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2190148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98405</v>
      </c>
      <c r="D3387" s="2" t="str">
        <f t="shared" si="51"/>
        <v>Error?</v>
      </c>
    </row>
    <row r="3388" spans="1:4" x14ac:dyDescent="0.2">
      <c r="A3388" s="5">
        <v>3327</v>
      </c>
      <c r="B3388" s="138">
        <f>'Expenditures 15-22'!D217</f>
        <v>119861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98405</v>
      </c>
      <c r="C3390" s="2" t="s">
        <v>594</v>
      </c>
      <c r="D3390" s="2" t="str">
        <f t="shared" si="51"/>
        <v>Error?</v>
      </c>
    </row>
    <row r="3391" spans="1:4" x14ac:dyDescent="0.2">
      <c r="A3391" s="5">
        <v>3330</v>
      </c>
      <c r="B3391" s="138">
        <f>'Expenditures 15-22'!K217</f>
        <v>119861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2551806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78403</v>
      </c>
      <c r="D3417" s="2" t="str">
        <f t="shared" si="52"/>
        <v>Error?</v>
      </c>
    </row>
    <row r="3418" spans="1:4" x14ac:dyDescent="0.2">
      <c r="A3418" s="10">
        <v>3357</v>
      </c>
      <c r="D3418" s="2" t="str">
        <f t="shared" si="52"/>
        <v>OK</v>
      </c>
    </row>
    <row r="3419" spans="1:4" x14ac:dyDescent="0.2">
      <c r="A3419" s="5">
        <v>3358</v>
      </c>
      <c r="B3419" s="138">
        <f>'Assets-Liab 5-6'!F4</f>
        <v>132100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255439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2107518</v>
      </c>
      <c r="D3425" s="2" t="str">
        <f t="shared" si="52"/>
        <v>Error?</v>
      </c>
    </row>
    <row r="3426" spans="1:4" x14ac:dyDescent="0.2">
      <c r="A3426" s="10">
        <v>3365</v>
      </c>
      <c r="D3426" s="2" t="str">
        <f t="shared" si="52"/>
        <v>OK</v>
      </c>
    </row>
    <row r="3427" spans="1:4" x14ac:dyDescent="0.2">
      <c r="A3427" s="5">
        <v>3366</v>
      </c>
      <c r="B3427" s="138">
        <f>'Assets-Liab 5-6'!I4</f>
        <v>309111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375847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304281</v>
      </c>
      <c r="C3446" s="2" t="s">
        <v>594</v>
      </c>
      <c r="D3446" s="2" t="str">
        <f t="shared" si="52"/>
        <v>Error?</v>
      </c>
    </row>
    <row r="3447" spans="1:4" x14ac:dyDescent="0.2">
      <c r="A3447" s="5">
        <v>3386</v>
      </c>
      <c r="B3447" s="138">
        <f>'Tax Sched 23'!D16</f>
        <v>304281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309915</v>
      </c>
      <c r="C3449" s="2" t="s">
        <v>594</v>
      </c>
      <c r="D3449" s="2" t="str">
        <f t="shared" si="52"/>
        <v>Error?</v>
      </c>
    </row>
    <row r="3450" spans="1:4" x14ac:dyDescent="0.2">
      <c r="A3450" s="5">
        <v>3389</v>
      </c>
      <c r="B3450" s="138">
        <f>'Tax Sched 23'!E16</f>
        <v>309915</v>
      </c>
      <c r="D3450" s="2" t="str">
        <f t="shared" si="52"/>
        <v>Error?</v>
      </c>
    </row>
    <row r="3451" spans="1:4" x14ac:dyDescent="0.2">
      <c r="A3451" s="5">
        <v>3390</v>
      </c>
      <c r="B3451" s="138">
        <f>'Cap Outlay Deprec 26'!C15</f>
        <v>13392670</v>
      </c>
      <c r="D3451" s="2" t="str">
        <f t="shared" si="52"/>
        <v>Error?</v>
      </c>
    </row>
    <row r="3452" spans="1:4" x14ac:dyDescent="0.2">
      <c r="A3452" s="5">
        <v>3391</v>
      </c>
      <c r="B3452" s="138">
        <f>'Cap Outlay Deprec 26'!D15</f>
        <v>8789006</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22181676</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22181676</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1172953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1172953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1172953</v>
      </c>
      <c r="D3567" s="2" t="str">
        <f t="shared" si="54"/>
        <v>Error?</v>
      </c>
    </row>
    <row r="3568" spans="1:4" x14ac:dyDescent="0.2">
      <c r="A3568" s="5">
        <v>3507</v>
      </c>
      <c r="B3568" s="138">
        <f>'Assets-Liab 5-6'!K41</f>
        <v>1172953</v>
      </c>
      <c r="C3568" s="2" t="s">
        <v>594</v>
      </c>
      <c r="D3568" s="2" t="str">
        <f t="shared" si="54"/>
        <v>Error?</v>
      </c>
    </row>
    <row r="3569" spans="1:4" x14ac:dyDescent="0.2">
      <c r="A3569" s="5">
        <v>3508</v>
      </c>
      <c r="B3569" s="138">
        <f>'Acct Summary 7-8'!K4</f>
        <v>74144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74144</v>
      </c>
      <c r="C3571" s="2" t="s">
        <v>594</v>
      </c>
      <c r="D3571" s="2" t="str">
        <f t="shared" si="54"/>
        <v>Error?</v>
      </c>
    </row>
    <row r="3572" spans="1:4" x14ac:dyDescent="0.2">
      <c r="A3572" s="5">
        <v>3511</v>
      </c>
      <c r="B3572" s="138">
        <f>'Acct Summary 7-8'!K13</f>
        <v>1515412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1515412</v>
      </c>
      <c r="C3575" s="2" t="s">
        <v>594</v>
      </c>
      <c r="D3575" s="2" t="str">
        <f t="shared" si="54"/>
        <v>Error?</v>
      </c>
    </row>
    <row r="3576" spans="1:4" x14ac:dyDescent="0.2">
      <c r="A3576" s="5">
        <v>3515</v>
      </c>
      <c r="B3576" s="138">
        <f>'Acct Summary 7-8'!K20</f>
        <v>-1441268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-1441268</v>
      </c>
      <c r="C3588" s="2" t="s">
        <v>594</v>
      </c>
      <c r="D3588" s="2" t="str">
        <f t="shared" si="55"/>
        <v>Error?</v>
      </c>
    </row>
    <row r="3589" spans="1:4" x14ac:dyDescent="0.2">
      <c r="A3589" s="5">
        <v>3528</v>
      </c>
      <c r="B3589" s="138">
        <f>'Acct Summary 7-8'!K79</f>
        <v>2614221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1172953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1515412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1515412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1515412</v>
      </c>
      <c r="C3649" s="2" t="s">
        <v>594</v>
      </c>
      <c r="D3649" s="2" t="str">
        <f t="shared" si="56"/>
        <v>Error?</v>
      </c>
    </row>
    <row r="3650" spans="1:4" x14ac:dyDescent="0.2">
      <c r="A3650" s="5">
        <v>3589</v>
      </c>
      <c r="B3650" s="138">
        <f>'Expenditures 15-22'!G367</f>
        <v>1515412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1515412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1515412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1515412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1515412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-1441268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64761</v>
      </c>
      <c r="C3725" s="2" t="s">
        <v>594</v>
      </c>
      <c r="D3725" s="2" t="str">
        <f t="shared" si="57"/>
        <v>Error?</v>
      </c>
    </row>
    <row r="3726" spans="1:4" x14ac:dyDescent="0.2">
      <c r="A3726" s="5">
        <v>3665</v>
      </c>
      <c r="B3726" s="138">
        <f>'Tax Sched 23'!D13</f>
        <v>64761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65959</v>
      </c>
      <c r="C3728" s="2" t="s">
        <v>594</v>
      </c>
      <c r="D3728" s="2" t="str">
        <f t="shared" si="57"/>
        <v>Error?</v>
      </c>
    </row>
    <row r="3729" spans="1:4" x14ac:dyDescent="0.2">
      <c r="A3729" s="5">
        <v>3668</v>
      </c>
      <c r="B3729" s="138">
        <f>'Tax Sched 23'!E13</f>
        <v>65959</v>
      </c>
      <c r="D3729" s="2" t="str">
        <f t="shared" si="57"/>
        <v>Error?</v>
      </c>
    </row>
    <row r="3730" spans="1:4" x14ac:dyDescent="0.2">
      <c r="A3730" s="5">
        <v>3669</v>
      </c>
      <c r="B3730" s="138">
        <f>'ICR Computation 30'!E10</f>
        <v>500194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952342</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952342</v>
      </c>
      <c r="D4111" s="2" t="str">
        <f t="shared" si="63"/>
        <v>Error?</v>
      </c>
    </row>
    <row r="4112" spans="1:4" x14ac:dyDescent="0.2">
      <c r="A4112" s="10">
        <v>4051</v>
      </c>
      <c r="D4112" s="2" t="str">
        <f t="shared" si="63"/>
        <v>OK</v>
      </c>
    </row>
    <row r="4113" spans="1:4" x14ac:dyDescent="0.2">
      <c r="A4113" s="5">
        <v>4052</v>
      </c>
      <c r="B4113" s="138">
        <f>'Acct Summary 7-8'!C9</f>
        <v>12773097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30046981</v>
      </c>
      <c r="C4122" s="2" t="s">
        <v>594</v>
      </c>
      <c r="D4122" s="2" t="str">
        <f t="shared" si="63"/>
        <v>Error?</v>
      </c>
    </row>
    <row r="4123" spans="1:4" x14ac:dyDescent="0.2">
      <c r="A4123" s="5">
        <v>4062</v>
      </c>
      <c r="B4123" s="138">
        <f>'Acct Summary 7-8'!D10</f>
        <v>750313</v>
      </c>
      <c r="C4123" s="2" t="s">
        <v>594</v>
      </c>
      <c r="D4123" s="2" t="str">
        <f t="shared" si="63"/>
        <v>Error?</v>
      </c>
    </row>
    <row r="4124" spans="1:4" x14ac:dyDescent="0.2">
      <c r="A4124" s="5">
        <v>4063</v>
      </c>
      <c r="B4124" s="138">
        <f>'Acct Summary 7-8'!E10</f>
        <v>1047926</v>
      </c>
      <c r="C4124" s="2" t="s">
        <v>594</v>
      </c>
      <c r="D4124" s="2" t="str">
        <f t="shared" si="63"/>
        <v>Error?</v>
      </c>
    </row>
    <row r="4125" spans="1:4" x14ac:dyDescent="0.2">
      <c r="A4125" s="5">
        <v>4064</v>
      </c>
      <c r="B4125" s="138">
        <f>'Acct Summary 7-8'!F10</f>
        <v>1196570</v>
      </c>
      <c r="C4125" s="2" t="s">
        <v>594</v>
      </c>
      <c r="D4125" s="2" t="str">
        <f t="shared" si="63"/>
        <v>Error?</v>
      </c>
    </row>
    <row r="4126" spans="1:4" x14ac:dyDescent="0.2">
      <c r="A4126" s="5">
        <v>4065</v>
      </c>
      <c r="B4126" s="138">
        <f>'Acct Summary 7-8'!G10</f>
        <v>610429</v>
      </c>
      <c r="C4126" s="2" t="s">
        <v>594</v>
      </c>
      <c r="D4126" s="2" t="str">
        <f t="shared" si="63"/>
        <v>Error?</v>
      </c>
    </row>
    <row r="4127" spans="1:4" x14ac:dyDescent="0.2">
      <c r="A4127" s="5">
        <v>4066</v>
      </c>
      <c r="B4127" s="138">
        <f>'Acct Summary 7-8'!H10</f>
        <v>1011563</v>
      </c>
      <c r="C4127" s="2" t="s">
        <v>594</v>
      </c>
      <c r="D4127" s="2" t="str">
        <f t="shared" si="63"/>
        <v>Error?</v>
      </c>
    </row>
    <row r="4128" spans="1:4" x14ac:dyDescent="0.2">
      <c r="A4128" s="5">
        <v>4067</v>
      </c>
      <c r="B4128" s="138">
        <f>'Acct Summary 7-8'!I10</f>
        <v>66503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74144</v>
      </c>
      <c r="C4130" s="2" t="s">
        <v>594</v>
      </c>
      <c r="D4130" s="2" t="str">
        <f t="shared" si="63"/>
        <v>Error?</v>
      </c>
    </row>
    <row r="4131" spans="1:4" x14ac:dyDescent="0.2">
      <c r="A4131" s="5">
        <v>4070</v>
      </c>
      <c r="B4131" s="138">
        <f>'Acct Summary 7-8'!C18</f>
        <v>12773097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28251793</v>
      </c>
      <c r="C4136" s="2" t="s">
        <v>594</v>
      </c>
      <c r="D4136" s="2" t="str">
        <f t="shared" si="63"/>
        <v>Error?</v>
      </c>
    </row>
    <row r="4137" spans="1:4" x14ac:dyDescent="0.2">
      <c r="A4137" s="5">
        <v>4076</v>
      </c>
      <c r="B4137" s="138">
        <f>'Acct Summary 7-8'!D19</f>
        <v>794438</v>
      </c>
      <c r="C4137" s="2" t="s">
        <v>594</v>
      </c>
      <c r="D4137" s="2" t="str">
        <f t="shared" si="63"/>
        <v>Error?</v>
      </c>
    </row>
    <row r="4138" spans="1:4" x14ac:dyDescent="0.2">
      <c r="A4138" s="5">
        <v>4077</v>
      </c>
      <c r="B4138" s="138">
        <f>'Acct Summary 7-8'!E19</f>
        <v>1070758</v>
      </c>
      <c r="C4138" s="2" t="s">
        <v>594</v>
      </c>
      <c r="D4138" s="2" t="str">
        <f t="shared" si="63"/>
        <v>Error?</v>
      </c>
    </row>
    <row r="4139" spans="1:4" x14ac:dyDescent="0.2">
      <c r="A4139" s="5">
        <v>4078</v>
      </c>
      <c r="B4139" s="138">
        <f>'Acct Summary 7-8'!F19</f>
        <v>1077853</v>
      </c>
      <c r="C4139" s="2" t="s">
        <v>594</v>
      </c>
      <c r="D4139" s="2" t="str">
        <f t="shared" si="63"/>
        <v>Error?</v>
      </c>
    </row>
    <row r="4140" spans="1:4" x14ac:dyDescent="0.2">
      <c r="A4140" s="5">
        <v>4079</v>
      </c>
      <c r="B4140" s="138">
        <f>'Acct Summary 7-8'!G19</f>
        <v>588882</v>
      </c>
      <c r="C4140" s="2" t="s">
        <v>594</v>
      </c>
      <c r="D4140" s="2" t="str">
        <f t="shared" si="63"/>
        <v>Error?</v>
      </c>
    </row>
    <row r="4141" spans="1:4" x14ac:dyDescent="0.2">
      <c r="A4141" s="5">
        <v>4080</v>
      </c>
      <c r="B4141" s="138">
        <f>'Acct Summary 7-8'!H19</f>
        <v>8106131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1515412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26478470</v>
      </c>
      <c r="C4171" s="2" t="s">
        <v>594</v>
      </c>
      <c r="D4171" s="2" t="str">
        <f t="shared" si="64"/>
        <v>Error?</v>
      </c>
    </row>
    <row r="4172" spans="1:4" x14ac:dyDescent="0.2">
      <c r="A4172" s="5">
        <v>4111</v>
      </c>
      <c r="B4172" s="138">
        <f>'Short-Term Long-Term Debt 24'!J49</f>
        <v>26404293</v>
      </c>
      <c r="C4172" s="2" t="s">
        <v>594</v>
      </c>
      <c r="D4172" s="2" t="str">
        <f t="shared" si="64"/>
        <v>Error?</v>
      </c>
    </row>
    <row r="4173" spans="1:4" x14ac:dyDescent="0.2">
      <c r="A4173" s="5">
        <v>4112</v>
      </c>
      <c r="B4173" s="138">
        <f>'Short-Term Long-Term Debt 24'!H49</f>
        <v>859642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2700</v>
      </c>
      <c r="C4268" s="2" t="s">
        <v>594</v>
      </c>
      <c r="D4268" s="2" t="str">
        <f t="shared" si="65"/>
        <v>Error?</v>
      </c>
    </row>
    <row r="4269" spans="1:5" x14ac:dyDescent="0.2">
      <c r="A4269" s="12">
        <v>4208</v>
      </c>
      <c r="B4269" s="138">
        <f>'FP Info 3'!J16</f>
        <v>3027416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18208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43774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34609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34609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18792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122949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61298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488127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131918161</v>
      </c>
      <c r="D4995" s="2" t="str">
        <f t="shared" si="77"/>
        <v>Error?</v>
      </c>
    </row>
    <row r="4996" spans="1:4" x14ac:dyDescent="0.2">
      <c r="A4996" s="12">
        <v>4935</v>
      </c>
      <c r="B4996" s="138">
        <f>'FP Info 3'!H31</f>
        <v>18204706.218000002</v>
      </c>
      <c r="D4996" s="2" t="str">
        <f t="shared" si="77"/>
        <v>Error?</v>
      </c>
    </row>
    <row r="4997" spans="1:4" x14ac:dyDescent="0.2">
      <c r="A4997" s="12">
        <v>4936</v>
      </c>
      <c r="B4997" s="138">
        <f>'FP Info 3'!H37</f>
        <v>26478470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64761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2590376</v>
      </c>
      <c r="D5061" s="2" t="str">
        <f t="shared" si="78"/>
        <v>Error?</v>
      </c>
    </row>
    <row r="5062" spans="1:4" x14ac:dyDescent="0.2">
      <c r="A5062" s="10">
        <v>5001</v>
      </c>
      <c r="D5062" s="2" t="str">
        <f t="shared" si="78"/>
        <v>OK</v>
      </c>
    </row>
    <row r="5063" spans="1:4" x14ac:dyDescent="0.2">
      <c r="A5063" s="5">
        <v>5002</v>
      </c>
      <c r="B5063" s="138">
        <f>'Revenues 9-14'!C7</f>
        <v>51808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2706945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264013</v>
      </c>
      <c r="D5069" s="2" t="str">
        <f t="shared" si="78"/>
        <v>Error?</v>
      </c>
    </row>
    <row r="5070" spans="1:4" x14ac:dyDescent="0.2">
      <c r="A5070" s="5">
        <v>5009</v>
      </c>
      <c r="B5070" s="138">
        <f>'Revenues 9-14'!C17</f>
        <v>1018</v>
      </c>
      <c r="D5070" s="2" t="str">
        <f t="shared" si="78"/>
        <v>Error?</v>
      </c>
    </row>
    <row r="5071" spans="1:4" x14ac:dyDescent="0.2">
      <c r="A5071" s="5">
        <v>5010</v>
      </c>
      <c r="B5071" s="138">
        <f>'Revenues 9-14'!C18</f>
        <v>265031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49406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49406</v>
      </c>
      <c r="C5087" s="2" t="s">
        <v>594</v>
      </c>
      <c r="D5087" s="2" t="str">
        <f t="shared" si="78"/>
        <v>Error?</v>
      </c>
    </row>
    <row r="5088" spans="1:4" x14ac:dyDescent="0.2">
      <c r="A5088" s="5">
        <v>5027</v>
      </c>
      <c r="B5088" s="138">
        <f>'Revenues 9-14'!C65</f>
        <v>12401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12401</v>
      </c>
      <c r="C5090" s="2" t="s">
        <v>594</v>
      </c>
      <c r="D5090" s="2" t="str">
        <f t="shared" si="78"/>
        <v>Error?</v>
      </c>
    </row>
    <row r="5091" spans="1:4" x14ac:dyDescent="0.2">
      <c r="A5091" s="5">
        <v>5030</v>
      </c>
      <c r="B5091" s="138">
        <f>'Revenues 9-14'!C70</f>
        <v>13900</v>
      </c>
      <c r="D5091" s="2" t="str">
        <f t="shared" si="78"/>
        <v>Error?</v>
      </c>
    </row>
    <row r="5092" spans="1:4" x14ac:dyDescent="0.2">
      <c r="A5092" s="5">
        <v>5031</v>
      </c>
      <c r="B5092" s="138">
        <f>'Revenues 9-14'!C71</f>
        <v>33653</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9000</v>
      </c>
      <c r="D5094" s="2" t="str">
        <f t="shared" si="78"/>
        <v>Error?</v>
      </c>
    </row>
    <row r="5095" spans="1:4" x14ac:dyDescent="0.2">
      <c r="A5095" s="5">
        <v>5034</v>
      </c>
      <c r="B5095" s="138">
        <f>'Revenues 9-14'!C74</f>
        <v>24826</v>
      </c>
      <c r="D5095" s="2" t="str">
        <f t="shared" si="78"/>
        <v>Error?</v>
      </c>
    </row>
    <row r="5096" spans="1:4" x14ac:dyDescent="0.2">
      <c r="A5096" s="5">
        <v>5035</v>
      </c>
      <c r="B5096" s="138">
        <f>'Revenues 9-14'!C75</f>
        <v>181482</v>
      </c>
      <c r="C5096" s="2" t="s">
        <v>594</v>
      </c>
      <c r="D5096" s="2" t="str">
        <f t="shared" si="78"/>
        <v>Error?</v>
      </c>
    </row>
    <row r="5097" spans="1:4" x14ac:dyDescent="0.2">
      <c r="A5097" s="5">
        <v>5036</v>
      </c>
      <c r="B5097" s="138">
        <f>'Revenues 9-14'!C77</f>
        <v>53216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6461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59677</v>
      </c>
      <c r="C5102" s="2" t="s">
        <v>594</v>
      </c>
      <c r="D5102" s="2" t="str">
        <f t="shared" si="78"/>
        <v>Error?</v>
      </c>
    </row>
    <row r="5103" spans="1:4" x14ac:dyDescent="0.2">
      <c r="A5103" s="5">
        <v>5042</v>
      </c>
      <c r="B5103" s="138">
        <f>'Revenues 9-14'!C84</f>
        <v>23408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23408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98002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101439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26282</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229538</v>
      </c>
      <c r="C5120" s="2" t="s">
        <v>594</v>
      </c>
      <c r="D5120" s="2" t="str">
        <f t="shared" si="79"/>
        <v>Error?</v>
      </c>
    </row>
    <row r="5121" spans="1:4" x14ac:dyDescent="0.2">
      <c r="A5121" s="5">
        <v>5060</v>
      </c>
      <c r="B5121" s="138">
        <f>'Revenues 9-14'!C109</f>
        <v>3527888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10652033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10652033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139893</v>
      </c>
      <c r="D5134" s="2" t="str">
        <f t="shared" si="79"/>
        <v>Error?</v>
      </c>
    </row>
    <row r="5135" spans="1:4" x14ac:dyDescent="0.2">
      <c r="A5135" s="5">
        <v>5074</v>
      </c>
      <c r="B5135" s="138">
        <f>'Revenues 9-14'!C126</f>
        <v>171841</v>
      </c>
      <c r="D5135" s="2" t="str">
        <f t="shared" si="79"/>
        <v>Error?</v>
      </c>
    </row>
    <row r="5136" spans="1:4" x14ac:dyDescent="0.2">
      <c r="A5136" s="10">
        <v>5075</v>
      </c>
      <c r="D5136" s="2" t="str">
        <f t="shared" si="79"/>
        <v>OK</v>
      </c>
    </row>
    <row r="5137" spans="1:4" x14ac:dyDescent="0.2">
      <c r="A5137" s="5">
        <v>5076</v>
      </c>
      <c r="B5137" s="138">
        <f>'Revenues 9-14'!C127</f>
        <v>93959</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405693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37514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51989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9962</v>
      </c>
      <c r="D5167" s="2" t="str">
        <f t="shared" si="79"/>
        <v>Error?</v>
      </c>
    </row>
    <row r="5168" spans="1:4" x14ac:dyDescent="0.2">
      <c r="A5168" s="5">
        <v>5107</v>
      </c>
      <c r="B5168" s="138">
        <f>'Revenues 9-14'!C147</f>
        <v>27126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405276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2669</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964013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11616046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430208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172025</v>
      </c>
      <c r="D5241" s="2" t="str">
        <f t="shared" si="80"/>
        <v>Error?</v>
      </c>
    </row>
    <row r="5242" spans="1:4" x14ac:dyDescent="0.2">
      <c r="A5242" s="5">
        <v>5181</v>
      </c>
      <c r="B5242" s="138">
        <f>'Revenues 9-14'!C197</f>
        <v>38957</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641190</v>
      </c>
      <c r="C5246" s="2" t="s">
        <v>594</v>
      </c>
      <c r="D5246" s="2" t="str">
        <f t="shared" si="80"/>
        <v>Error?</v>
      </c>
    </row>
    <row r="5247" spans="1:4" x14ac:dyDescent="0.2">
      <c r="A5247" s="5">
        <v>5186</v>
      </c>
      <c r="B5247" s="138">
        <f>'Revenues 9-14'!C203</f>
        <v>755695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18792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755695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1058</v>
      </c>
      <c r="D5278" s="2" t="str">
        <f t="shared" si="81"/>
        <v>Error?</v>
      </c>
    </row>
    <row r="5279" spans="1:4" x14ac:dyDescent="0.2">
      <c r="A5279" s="5">
        <v>5218</v>
      </c>
      <c r="B5279" s="138">
        <f>'Revenues 9-14'!C221</f>
        <v>4255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5313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1293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1293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2129950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2129950</v>
      </c>
      <c r="C5326" s="2" t="s">
        <v>594</v>
      </c>
      <c r="D5326" s="2" t="str">
        <f t="shared" si="82"/>
        <v>Error?</v>
      </c>
    </row>
    <row r="5327" spans="1:4" x14ac:dyDescent="0.2">
      <c r="A5327" s="5">
        <v>5266</v>
      </c>
      <c r="B5327" s="138">
        <f>'Revenues 9-14'!C275</f>
        <v>17273884</v>
      </c>
      <c r="C5327" s="2" t="s">
        <v>594</v>
      </c>
      <c r="D5327" s="2" t="str">
        <f t="shared" si="82"/>
        <v>Error?</v>
      </c>
    </row>
    <row r="5328" spans="1:4" x14ac:dyDescent="0.2">
      <c r="A5328" s="5">
        <v>5267</v>
      </c>
      <c r="B5328" s="138">
        <f>'Revenues 9-14'!D5</f>
        <v>647594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647594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4336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4336</v>
      </c>
      <c r="C5339" s="2" t="s">
        <v>594</v>
      </c>
      <c r="D5339" s="2" t="str">
        <f t="shared" si="82"/>
        <v>Error?</v>
      </c>
    </row>
    <row r="5340" spans="1:4" x14ac:dyDescent="0.2">
      <c r="A5340" s="5">
        <v>5279</v>
      </c>
      <c r="B5340" s="138">
        <f>'Revenues 9-14'!D65</f>
        <v>360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18023</v>
      </c>
      <c r="D5354" s="2" t="str">
        <f t="shared" si="82"/>
        <v>Error?</v>
      </c>
    </row>
    <row r="5355" spans="1:4" x14ac:dyDescent="0.2">
      <c r="A5355" s="5">
        <v>5294</v>
      </c>
      <c r="B5355" s="138">
        <f>'Revenues 9-14'!D108</f>
        <v>18023</v>
      </c>
      <c r="C5355" s="2" t="s">
        <v>594</v>
      </c>
      <c r="D5355" s="2" t="str">
        <f t="shared" si="82"/>
        <v>Error?</v>
      </c>
    </row>
    <row r="5356" spans="1:4" x14ac:dyDescent="0.2">
      <c r="A5356" s="5">
        <v>5295</v>
      </c>
      <c r="B5356" s="138">
        <f>'Revenues 9-14'!D109</f>
        <v>670313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750313</v>
      </c>
      <c r="C5508" s="2" t="s">
        <v>594</v>
      </c>
      <c r="D5508" s="2" t="str">
        <f t="shared" si="85"/>
        <v>Error?</v>
      </c>
    </row>
    <row r="5509" spans="1:4" x14ac:dyDescent="0.2">
      <c r="A5509" s="5">
        <v>5448</v>
      </c>
      <c r="B5509" s="138">
        <f>'Revenues 9-14'!E5</f>
        <v>1047175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1047175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751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1047926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1047926</v>
      </c>
      <c r="C5552" s="2" t="s">
        <v>594</v>
      </c>
      <c r="D5552" s="2" t="str">
        <f t="shared" si="85"/>
        <v>Error?</v>
      </c>
    </row>
    <row r="5553" spans="1:4" x14ac:dyDescent="0.2">
      <c r="A5553" s="5">
        <v>5492</v>
      </c>
      <c r="B5553" s="138">
        <f>'Revenues 9-14'!F5</f>
        <v>259039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259039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25702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25702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284975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100000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547304</v>
      </c>
      <c r="D5615" s="2" t="str">
        <f t="shared" si="86"/>
        <v>Error?</v>
      </c>
    </row>
    <row r="5616" spans="1:4" x14ac:dyDescent="0.2">
      <c r="A5616" s="10">
        <v>5555</v>
      </c>
      <c r="D5616" s="2" t="str">
        <f t="shared" si="86"/>
        <v>OK</v>
      </c>
    </row>
    <row r="5617" spans="1:4" x14ac:dyDescent="0.2">
      <c r="A5617" s="5">
        <v>5556</v>
      </c>
      <c r="B5617" s="138">
        <f>'Revenues 9-14'!F152</f>
        <v>264291</v>
      </c>
      <c r="D5617" s="2" t="str">
        <f t="shared" si="86"/>
        <v>Error?</v>
      </c>
    </row>
    <row r="5618" spans="1:4" x14ac:dyDescent="0.2">
      <c r="A5618" s="5">
        <v>5557</v>
      </c>
      <c r="B5618" s="138">
        <f>'Revenues 9-14'!F154</f>
        <v>811595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811595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911595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1196570</v>
      </c>
      <c r="C5720" s="2" t="s">
        <v>594</v>
      </c>
      <c r="D5720" s="2" t="str">
        <f t="shared" si="88"/>
        <v>Error?</v>
      </c>
    </row>
    <row r="5721" spans="1:4" x14ac:dyDescent="0.2">
      <c r="A5721" s="5">
        <v>5660</v>
      </c>
      <c r="B5721" s="138">
        <f>'Revenues 9-14'!G5</f>
        <v>304281</v>
      </c>
      <c r="D5721" s="2" t="str">
        <f t="shared" si="88"/>
        <v>Error?</v>
      </c>
    </row>
    <row r="5722" spans="1:4" x14ac:dyDescent="0.2">
      <c r="A5722" s="5">
        <v>5661</v>
      </c>
      <c r="B5722" s="138">
        <f>'Revenues 9-14'!G7</f>
        <v>0</v>
      </c>
      <c r="D5722" s="2" t="str">
        <f t="shared" si="88"/>
        <v>Error?</v>
      </c>
    </row>
    <row r="5723" spans="1:4" x14ac:dyDescent="0.2">
      <c r="A5723" s="5">
        <v>5662</v>
      </c>
      <c r="B5723" s="138">
        <f>'Revenues 9-14'!G8</f>
        <v>304281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608562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1867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1867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610429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25052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25052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23062</v>
      </c>
      <c r="D5885" s="2" t="str">
        <f t="shared" si="90"/>
        <v>Error?</v>
      </c>
    </row>
    <row r="5886" spans="1:4" x14ac:dyDescent="0.2">
      <c r="A5886" s="5">
        <v>5825</v>
      </c>
      <c r="B5886" s="138">
        <f>'Revenues 9-14'!H108</f>
        <v>986511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1011563</v>
      </c>
      <c r="C5915" s="2" t="s">
        <v>594</v>
      </c>
      <c r="D5915" s="2" t="str">
        <f t="shared" si="91"/>
        <v>Error?</v>
      </c>
    </row>
    <row r="5916" spans="1:4" x14ac:dyDescent="0.2">
      <c r="A5916" s="5">
        <v>5855</v>
      </c>
      <c r="B5916" s="138">
        <f>'Revenues 9-14'!I5</f>
        <v>64761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64761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66503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64761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64761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9383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9383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74144</v>
      </c>
      <c r="C6023" s="2" t="s">
        <v>594</v>
      </c>
      <c r="D6023" s="2" t="str">
        <f t="shared" si="93"/>
        <v>Error?</v>
      </c>
    </row>
    <row r="6024" spans="1:5" x14ac:dyDescent="0.2">
      <c r="A6024" s="5">
        <v>5963</v>
      </c>
      <c r="B6024" s="138">
        <f>'Revenues 9-14'!G109</f>
        <v>610429</v>
      </c>
      <c r="C6024" s="2" t="s">
        <v>594</v>
      </c>
      <c r="D6024" s="2" t="str">
        <f t="shared" si="93"/>
        <v>Error?</v>
      </c>
    </row>
    <row r="6025" spans="1:5" x14ac:dyDescent="0.2">
      <c r="A6025" s="5">
        <v>5964</v>
      </c>
      <c r="B6025" s="138">
        <f>'Revenues 9-14'!H109</f>
        <v>1011563</v>
      </c>
      <c r="C6025" s="2" t="s">
        <v>594</v>
      </c>
      <c r="D6025" s="2" t="str">
        <f t="shared" si="93"/>
        <v>Error?</v>
      </c>
    </row>
    <row r="6026" spans="1:5" x14ac:dyDescent="0.2">
      <c r="A6026" s="5">
        <v>5965</v>
      </c>
      <c r="B6026" s="138">
        <f>'Revenues 9-14'!I109</f>
        <v>66503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74144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100103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71592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1764.53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10590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116551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116551</v>
      </c>
      <c r="D6215" s="2" t="str">
        <f t="shared" si="96"/>
        <v>Error?</v>
      </c>
      <c r="E6215" s="2" t="s">
        <v>199</v>
      </c>
    </row>
    <row r="6216" spans="1:5" x14ac:dyDescent="0.2">
      <c r="A6216">
        <v>6155</v>
      </c>
      <c r="B6216" s="138">
        <f>'Assets-Liab 5-6'!J41</f>
        <v>116551</v>
      </c>
      <c r="D6216" s="2" t="str">
        <f t="shared" si="96"/>
        <v>Error?</v>
      </c>
      <c r="E6216" s="2" t="s">
        <v>199</v>
      </c>
    </row>
    <row r="6217" spans="1:5" x14ac:dyDescent="0.2">
      <c r="A6217">
        <v>6156</v>
      </c>
      <c r="B6217" s="138">
        <f>'Assets-Liab 5-6'!J4</f>
        <v>116551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537438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537438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537438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465604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465604</v>
      </c>
      <c r="D6229" s="2" t="str">
        <f t="shared" si="96"/>
        <v>Error?</v>
      </c>
      <c r="E6229" s="2" t="s">
        <v>199</v>
      </c>
    </row>
    <row r="6230" spans="1:5" x14ac:dyDescent="0.2">
      <c r="A6230">
        <v>6169</v>
      </c>
      <c r="B6230" s="138">
        <f>'Acct Summary 7-8'!J20</f>
        <v>71834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71834</v>
      </c>
      <c r="D6263" s="2" t="str">
        <f t="shared" si="96"/>
        <v>Error?</v>
      </c>
      <c r="E6263" s="2" t="s">
        <v>199</v>
      </c>
    </row>
    <row r="6264" spans="1:5" x14ac:dyDescent="0.2">
      <c r="A6264">
        <v>6203</v>
      </c>
      <c r="B6264" s="138">
        <f>'Acct Summary 7-8'!J79</f>
        <v>44717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116551</v>
      </c>
      <c r="D6266" s="2" t="str">
        <f t="shared" si="96"/>
        <v>Error?</v>
      </c>
      <c r="E6266" s="2" t="s">
        <v>199</v>
      </c>
    </row>
    <row r="6267" spans="1:5" x14ac:dyDescent="0.2">
      <c r="A6267">
        <v>6206</v>
      </c>
      <c r="B6267" s="138">
        <f>'Acct Summary 7-8'!C82</f>
        <v>1768985</v>
      </c>
      <c r="D6267" s="2" t="str">
        <f t="shared" si="96"/>
        <v>Error?</v>
      </c>
      <c r="E6267" s="2" t="s">
        <v>199</v>
      </c>
    </row>
    <row r="6268" spans="1:5" x14ac:dyDescent="0.2">
      <c r="A6268">
        <v>6207</v>
      </c>
      <c r="B6268" s="138">
        <f>'Acct Summary 7-8'!D82</f>
        <v>-44125</v>
      </c>
      <c r="D6268" s="2" t="str">
        <f t="shared" si="96"/>
        <v>Error?</v>
      </c>
      <c r="E6268" s="2" t="s">
        <v>199</v>
      </c>
    </row>
    <row r="6269" spans="1:5" x14ac:dyDescent="0.2">
      <c r="A6269">
        <v>6208</v>
      </c>
      <c r="B6269" s="138">
        <f>'Acct Summary 7-8'!E82</f>
        <v>3371</v>
      </c>
      <c r="D6269" s="2" t="str">
        <f t="shared" si="96"/>
        <v>Error?</v>
      </c>
      <c r="E6269" s="2" t="s">
        <v>199</v>
      </c>
    </row>
    <row r="6270" spans="1:5" x14ac:dyDescent="0.2">
      <c r="A6270">
        <v>6209</v>
      </c>
      <c r="B6270" s="138">
        <f>'Acct Summary 7-8'!F82</f>
        <v>118717</v>
      </c>
      <c r="D6270" s="2" t="str">
        <f t="shared" si="96"/>
        <v>Error?</v>
      </c>
      <c r="E6270" s="2" t="s">
        <v>199</v>
      </c>
    </row>
    <row r="6271" spans="1:5" x14ac:dyDescent="0.2">
      <c r="A6271">
        <v>6210</v>
      </c>
      <c r="B6271" s="138">
        <f>'Acct Summary 7-8'!G82</f>
        <v>21547</v>
      </c>
      <c r="D6271" s="2" t="str">
        <f t="shared" ref="D6271:D6334" si="97">IF(ISBLANK(B6271),"OK",IF(A6271-B6271=0,"OK","Error?"))</f>
        <v>Error?</v>
      </c>
      <c r="E6271" s="2" t="s">
        <v>199</v>
      </c>
    </row>
    <row r="6272" spans="1:5" x14ac:dyDescent="0.2">
      <c r="A6272">
        <v>6211</v>
      </c>
      <c r="B6272" s="138">
        <f>'Acct Summary 7-8'!H82</f>
        <v>-7094568</v>
      </c>
      <c r="D6272" s="2" t="str">
        <f t="shared" si="97"/>
        <v>Error?</v>
      </c>
      <c r="E6272" s="2" t="s">
        <v>199</v>
      </c>
    </row>
    <row r="6273" spans="1:5" x14ac:dyDescent="0.2">
      <c r="A6273">
        <v>6212</v>
      </c>
      <c r="B6273" s="138">
        <f>'Acct Summary 7-8'!I82</f>
        <v>66503</v>
      </c>
      <c r="D6273" s="2" t="str">
        <f t="shared" si="97"/>
        <v>Error?</v>
      </c>
      <c r="E6273" s="2" t="s">
        <v>199</v>
      </c>
    </row>
    <row r="6274" spans="1:5" x14ac:dyDescent="0.2">
      <c r="A6274">
        <v>6213</v>
      </c>
      <c r="B6274" s="138">
        <f>'Acct Summary 7-8'!J82</f>
        <v>71834</v>
      </c>
      <c r="D6274" s="2" t="str">
        <f t="shared" si="97"/>
        <v>Error?</v>
      </c>
      <c r="E6274" s="2" t="s">
        <v>199</v>
      </c>
    </row>
    <row r="6275" spans="1:5" x14ac:dyDescent="0.2">
      <c r="A6275">
        <v>6214</v>
      </c>
      <c r="B6275" s="138">
        <f>'Acct Summary 7-8'!K82</f>
        <v>-1441268</v>
      </c>
      <c r="D6275" s="2" t="str">
        <f t="shared" si="97"/>
        <v>Error?</v>
      </c>
      <c r="E6275" s="2" t="s">
        <v>199</v>
      </c>
    </row>
    <row r="6276" spans="1:5" x14ac:dyDescent="0.2">
      <c r="A6276">
        <v>6215</v>
      </c>
      <c r="B6276" s="138">
        <f>'Acct Summary 7-8'!C83</f>
        <v>0.69036362841652887</v>
      </c>
      <c r="D6276" s="2" t="str">
        <f t="shared" si="97"/>
        <v>Error?</v>
      </c>
      <c r="E6276" s="2" t="s">
        <v>199</v>
      </c>
    </row>
    <row r="6277" spans="1:5" x14ac:dyDescent="0.2">
      <c r="A6277">
        <v>6216</v>
      </c>
      <c r="B6277" s="138">
        <f>'Acct Summary 7-8'!D83</f>
        <v>-1.8532907723969927</v>
      </c>
      <c r="D6277" s="2" t="str">
        <f t="shared" si="97"/>
        <v>Error?</v>
      </c>
      <c r="E6277" s="2" t="s">
        <v>199</v>
      </c>
    </row>
    <row r="6278" spans="1:5" x14ac:dyDescent="0.2">
      <c r="A6278">
        <v>6217</v>
      </c>
      <c r="B6278" s="138">
        <f>'Acct Summary 7-8'!E83</f>
        <v>4.299580373200005E-2</v>
      </c>
      <c r="D6278" s="2" t="str">
        <f t="shared" si="97"/>
        <v>Error?</v>
      </c>
      <c r="E6278" s="2" t="s">
        <v>199</v>
      </c>
    </row>
    <row r="6279" spans="1:5" x14ac:dyDescent="0.2">
      <c r="A6279">
        <v>6218</v>
      </c>
      <c r="B6279" s="138">
        <f>'Acct Summary 7-8'!F83</f>
        <v>0.89869038607115825</v>
      </c>
      <c r="D6279" s="2" t="str">
        <f t="shared" si="97"/>
        <v>Error?</v>
      </c>
      <c r="E6279" s="2" t="s">
        <v>199</v>
      </c>
    </row>
    <row r="6280" spans="1:5" x14ac:dyDescent="0.2">
      <c r="A6280">
        <v>6219</v>
      </c>
      <c r="B6280" s="138">
        <f>'Acct Summary 7-8'!G83</f>
        <v>8.4352820047056243E-2</v>
      </c>
      <c r="D6280" s="2" t="str">
        <f t="shared" si="97"/>
        <v>Error?</v>
      </c>
      <c r="E6280" s="2" t="s">
        <v>199</v>
      </c>
    </row>
    <row r="6281" spans="1:5" x14ac:dyDescent="0.2">
      <c r="A6281">
        <v>6220</v>
      </c>
      <c r="B6281" s="138">
        <f>'Acct Summary 7-8'!H83</f>
        <v>-3.3663143090592822</v>
      </c>
      <c r="D6281" s="2" t="str">
        <f t="shared" si="97"/>
        <v>Error?</v>
      </c>
      <c r="E6281" s="2" t="s">
        <v>199</v>
      </c>
    </row>
    <row r="6282" spans="1:5" x14ac:dyDescent="0.2">
      <c r="A6282">
        <v>6221</v>
      </c>
      <c r="B6282" s="138">
        <f>'Acct Summary 7-8'!I83</f>
        <v>0.21514278042515472</v>
      </c>
      <c r="D6282" s="2" t="str">
        <f t="shared" si="97"/>
        <v>Error?</v>
      </c>
      <c r="E6282" s="2" t="s">
        <v>199</v>
      </c>
    </row>
    <row r="6283" spans="1:5" x14ac:dyDescent="0.2">
      <c r="A6283">
        <v>6222</v>
      </c>
      <c r="B6283" s="138">
        <f>'Acct Summary 7-8'!J83</f>
        <v>0.61633104821065454</v>
      </c>
      <c r="D6283" s="2" t="str">
        <f t="shared" si="97"/>
        <v>Error?</v>
      </c>
      <c r="E6283" s="2" t="s">
        <v>199</v>
      </c>
    </row>
    <row r="6284" spans="1:5" x14ac:dyDescent="0.2">
      <c r="A6284">
        <v>6223</v>
      </c>
      <c r="B6284" s="138">
        <f>'Acct Summary 7-8'!K83</f>
        <v>-1.2287517061638447</v>
      </c>
      <c r="D6284" s="2" t="str">
        <f t="shared" si="97"/>
        <v>Error?</v>
      </c>
      <c r="E6284" s="2" t="s">
        <v>199</v>
      </c>
    </row>
    <row r="6285" spans="1:5" x14ac:dyDescent="0.2">
      <c r="A6285">
        <v>6224</v>
      </c>
      <c r="B6285" s="138">
        <f>'Acct Summary 7-8'!E37</f>
        <v>20810</v>
      </c>
      <c r="D6285" s="2" t="str">
        <f t="shared" si="97"/>
        <v>Error?</v>
      </c>
      <c r="E6285" s="2" t="s">
        <v>199</v>
      </c>
    </row>
    <row r="6286" spans="1:5" x14ac:dyDescent="0.2">
      <c r="A6286">
        <v>6225</v>
      </c>
      <c r="B6286" s="138">
        <f>'Acct Summary 7-8'!E38</f>
        <v>5393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532217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532217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1192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1192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3815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4029</v>
      </c>
      <c r="D6350" s="2" t="str">
        <f t="shared" si="98"/>
        <v>Error?</v>
      </c>
      <c r="E6350" s="2" t="s">
        <v>199</v>
      </c>
    </row>
    <row r="6351" spans="1:5" x14ac:dyDescent="0.2">
      <c r="A6351">
        <v>6290</v>
      </c>
      <c r="B6351" s="138">
        <f>'Revenues 9-14'!J108</f>
        <v>4029</v>
      </c>
      <c r="D6351" s="2" t="str">
        <f t="shared" si="98"/>
        <v>Error?</v>
      </c>
      <c r="E6351" s="2" t="s">
        <v>199</v>
      </c>
    </row>
    <row r="6352" spans="1:5" x14ac:dyDescent="0.2">
      <c r="A6352">
        <v>6291</v>
      </c>
      <c r="B6352" s="138">
        <f>'Revenues 9-14'!J109</f>
        <v>537438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14475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242026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341160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587756</v>
      </c>
      <c r="D6983" s="2" t="str">
        <f t="shared" si="108"/>
        <v>Error?</v>
      </c>
    </row>
    <row r="6984" spans="1:4" x14ac:dyDescent="0.2">
      <c r="A6984">
        <v>6923</v>
      </c>
      <c r="B6984" s="138">
        <f>'Expenditures 15-22'!K86</f>
        <v>587756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5020</v>
      </c>
      <c r="D6991" s="2" t="str">
        <f t="shared" si="108"/>
        <v>Error?</v>
      </c>
    </row>
    <row r="6992" spans="1:4" x14ac:dyDescent="0.2">
      <c r="A6992">
        <v>6931</v>
      </c>
      <c r="B6992" s="138">
        <f>'Expenditures 15-22'!K90</f>
        <v>5020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592776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7028</v>
      </c>
      <c r="D7018" s="2" t="str">
        <f t="shared" si="108"/>
        <v>Error?</v>
      </c>
    </row>
    <row r="7019" spans="1:4" x14ac:dyDescent="0.2">
      <c r="A7019">
        <v>6958</v>
      </c>
      <c r="B7019" s="138">
        <f>'Expenditures 15-22'!K112</f>
        <v>7028</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465604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537438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456</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456</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87457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87457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241465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241465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3775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3775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89998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1000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90998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17314</v>
      </c>
      <c r="D7192" s="2" t="str">
        <f t="shared" si="111"/>
        <v>Error?</v>
      </c>
    </row>
    <row r="7193" spans="1:4" x14ac:dyDescent="0.2">
      <c r="A7193">
        <v>7132</v>
      </c>
      <c r="B7193" s="138">
        <f>'Expenditures 15-22'!F327</f>
        <v>24139</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41453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440465</v>
      </c>
      <c r="D7201" s="2" t="str">
        <f t="shared" si="111"/>
        <v>Error?</v>
      </c>
    </row>
    <row r="7202" spans="1:4" x14ac:dyDescent="0.2">
      <c r="A7202">
        <v>7141</v>
      </c>
      <c r="B7202" s="138">
        <f>'Expenditures 15-22'!F330</f>
        <v>24139</v>
      </c>
      <c r="D7202" s="2" t="str">
        <f t="shared" si="111"/>
        <v>Error?</v>
      </c>
    </row>
    <row r="7203" spans="1:4" x14ac:dyDescent="0.2">
      <c r="A7203">
        <v>7142</v>
      </c>
      <c r="B7203" s="138">
        <f>'Expenditures 15-22'!G330</f>
        <v>1000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465604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440465</v>
      </c>
      <c r="D7218" s="2" t="str">
        <f t="shared" si="111"/>
        <v>Error?</v>
      </c>
    </row>
    <row r="7219" spans="1:4" x14ac:dyDescent="0.2">
      <c r="A7219">
        <v>7158</v>
      </c>
      <c r="B7219" s="138">
        <f>'Expenditures 15-22'!F342</f>
        <v>24139</v>
      </c>
      <c r="D7219" s="2" t="str">
        <f t="shared" si="111"/>
        <v>Error?</v>
      </c>
    </row>
    <row r="7220" spans="1:4" x14ac:dyDescent="0.2">
      <c r="A7220">
        <v>7159</v>
      </c>
      <c r="B7220" s="138">
        <f>'Expenditures 15-22'!G342</f>
        <v>1000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465604</v>
      </c>
      <c r="D7224" s="2" t="str">
        <f t="shared" si="111"/>
        <v>Error?</v>
      </c>
    </row>
    <row r="7225" spans="1:4" x14ac:dyDescent="0.2">
      <c r="A7225">
        <v>7164</v>
      </c>
      <c r="B7225" s="138">
        <f>'Expenditures 15-22'!K343</f>
        <v>71834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53123</v>
      </c>
      <c r="D7246" s="2" t="str">
        <f t="shared" si="112"/>
        <v>Error?</v>
      </c>
    </row>
    <row r="7247" spans="1:4" x14ac:dyDescent="0.2">
      <c r="A7247">
        <f t="shared" si="113"/>
        <v>7186</v>
      </c>
      <c r="B7247" s="138">
        <f>'Expenditures 15-22'!E7</f>
        <v>2396</v>
      </c>
      <c r="D7247" s="2" t="str">
        <f t="shared" si="112"/>
        <v>Error?</v>
      </c>
    </row>
    <row r="7248" spans="1:4" x14ac:dyDescent="0.2">
      <c r="A7248">
        <f t="shared" si="113"/>
        <v>7187</v>
      </c>
      <c r="B7248" s="138">
        <f>'Expenditures 15-22'!F7</f>
        <v>36044</v>
      </c>
      <c r="D7248" s="2" t="str">
        <f t="shared" si="112"/>
        <v>Error?</v>
      </c>
    </row>
    <row r="7249" spans="1:4" x14ac:dyDescent="0.2">
      <c r="A7249">
        <f t="shared" si="113"/>
        <v>7188</v>
      </c>
      <c r="B7249" s="138">
        <f>'Expenditures 15-22'!G7</f>
        <v>7571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753138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20810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5393</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963449</v>
      </c>
      <c r="D7713" s="2" t="str">
        <f t="shared" si="126"/>
        <v>Error?</v>
      </c>
      <c r="E7713" s="2" t="s">
        <v>881</v>
      </c>
    </row>
    <row r="7714" spans="1:6" x14ac:dyDescent="0.2">
      <c r="A7714">
        <v>7653</v>
      </c>
      <c r="B7714" s="138">
        <f>'Rest Tax Levies-Tort Im 25'!K9</f>
        <v>27126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963449</v>
      </c>
      <c r="D7718" s="2" t="str">
        <f t="shared" si="126"/>
        <v>Error?</v>
      </c>
      <c r="E7718" s="2" t="s">
        <v>881</v>
      </c>
    </row>
    <row r="7719" spans="1:6" x14ac:dyDescent="0.2">
      <c r="A7719">
        <v>7658</v>
      </c>
      <c r="B7719" s="138">
        <f>'Rest Tax Levies-Tort Im 25'!K12</f>
        <v>27126</v>
      </c>
      <c r="D7719" s="2" t="str">
        <f t="shared" si="126"/>
        <v>Error?</v>
      </c>
      <c r="E7719" s="2" t="s">
        <v>881</v>
      </c>
    </row>
    <row r="7720" spans="1:6" x14ac:dyDescent="0.2">
      <c r="A7720">
        <v>7659</v>
      </c>
      <c r="B7720" s="138">
        <f>'Rest Tax Levies-Tort Im 25'!H14</f>
        <v>51808</v>
      </c>
      <c r="D7720" s="2" t="str">
        <f t="shared" si="126"/>
        <v>Error?</v>
      </c>
      <c r="E7720" s="2" t="s">
        <v>881</v>
      </c>
    </row>
    <row r="7721" spans="1:6" x14ac:dyDescent="0.2">
      <c r="A7721">
        <v>7660</v>
      </c>
      <c r="B7721" s="138">
        <f>'Rest Tax Levies-Tort Im 25'!K14</f>
        <v>27126</v>
      </c>
      <c r="D7721" s="2" t="str">
        <f t="shared" si="126"/>
        <v>Error?</v>
      </c>
      <c r="E7721" s="2" t="s">
        <v>881</v>
      </c>
    </row>
    <row r="7722" spans="1:6" x14ac:dyDescent="0.2">
      <c r="A7722">
        <v>7661</v>
      </c>
      <c r="B7722" s="138">
        <f>'Rest Tax Levies-Tort Im 25'!J15</f>
        <v>963449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963449</v>
      </c>
      <c r="D7730" s="2" t="str">
        <f t="shared" si="126"/>
        <v>Error?</v>
      </c>
      <c r="E7730" s="2" t="s">
        <v>881</v>
      </c>
    </row>
    <row r="7731" spans="1:6" x14ac:dyDescent="0.2">
      <c r="A7731">
        <v>7670</v>
      </c>
      <c r="B7731" s="138">
        <f>'Revenues 9-14'!H103</f>
        <v>963449</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2197024</v>
      </c>
      <c r="D7797" s="2" t="str">
        <f t="shared" si="127"/>
        <v>Error?</v>
      </c>
      <c r="E7797" s="4" t="s">
        <v>2016</v>
      </c>
    </row>
    <row r="7798" spans="1:5" x14ac:dyDescent="0.2">
      <c r="A7798">
        <v>7737</v>
      </c>
      <c r="B7798" s="138">
        <f>'Contracts Paid in CY 29'!F141</f>
        <v>373609</v>
      </c>
      <c r="D7798" s="2" t="str">
        <f t="shared" si="127"/>
        <v>Error?</v>
      </c>
      <c r="E7798" s="4" t="s">
        <v>2016</v>
      </c>
    </row>
    <row r="7799" spans="1:5" x14ac:dyDescent="0.2">
      <c r="A7799">
        <v>7738</v>
      </c>
      <c r="B7799" s="138">
        <f>'Contracts Paid in CY 29'!G141</f>
        <v>1715138</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22" t="s">
        <v>1252</v>
      </c>
      <c r="B3" s="2422"/>
      <c r="C3" s="2422"/>
      <c r="D3" s="2422"/>
      <c r="E3" s="2422"/>
      <c r="F3" s="2422"/>
      <c r="G3" s="2422"/>
      <c r="H3" s="2422"/>
      <c r="I3" s="2422"/>
      <c r="J3" s="2422"/>
      <c r="K3" s="2422"/>
      <c r="L3" s="2422"/>
    </row>
    <row r="4" spans="1:29" ht="13.5" customHeight="1" x14ac:dyDescent="0.2">
      <c r="A4" s="2436" t="s">
        <v>1798</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6" t="str">
        <f>COVER!A17</f>
        <v>Harrisburg CUSD 3</v>
      </c>
      <c r="B7" s="2417"/>
      <c r="C7" s="2417"/>
      <c r="D7" s="2454"/>
      <c r="E7" s="2455">
        <f>COVER!A13</f>
        <v>20083003026</v>
      </c>
      <c r="F7" s="2456"/>
      <c r="G7" s="2423">
        <f>COVER!T23</f>
        <v>60.009546999999998</v>
      </c>
      <c r="H7" s="2424"/>
      <c r="I7" s="2424"/>
      <c r="J7" s="2424"/>
      <c r="K7" s="2424"/>
      <c r="L7" s="2425"/>
    </row>
    <row r="8" spans="1:29" ht="13.5" customHeight="1" x14ac:dyDescent="0.2">
      <c r="A8" s="1185" t="s">
        <v>1596</v>
      </c>
      <c r="B8" s="1186"/>
      <c r="C8" s="1187"/>
      <c r="D8" s="1187"/>
      <c r="E8" s="1192"/>
      <c r="F8" s="1191"/>
      <c r="G8" s="1193" t="s">
        <v>1248</v>
      </c>
      <c r="H8" s="1194"/>
      <c r="I8" s="1194"/>
      <c r="J8" s="1194"/>
      <c r="K8" s="1194"/>
      <c r="L8" s="1195"/>
    </row>
    <row r="9" spans="1:29" ht="13.5" customHeight="1" x14ac:dyDescent="0.2">
      <c r="A9" s="2426"/>
      <c r="B9" s="2427"/>
      <c r="C9" s="2427"/>
      <c r="D9" s="2427"/>
      <c r="E9" s="2427"/>
      <c r="F9" s="2428"/>
      <c r="G9" s="2429" t="str">
        <f>COVER!T13</f>
        <v>Greg McCalley and Associates PC</v>
      </c>
      <c r="H9" s="2430"/>
      <c r="I9" s="2430"/>
      <c r="J9" s="2430"/>
      <c r="K9" s="2430"/>
      <c r="L9" s="2431"/>
    </row>
    <row r="10" spans="1:29" ht="13.5" customHeight="1" x14ac:dyDescent="0.2">
      <c r="A10" s="2413" t="str">
        <f>COVER!A38</f>
        <v>Michael Gauch</v>
      </c>
      <c r="B10" s="2414"/>
      <c r="C10" s="2414"/>
      <c r="D10" s="2414"/>
      <c r="E10" s="2414"/>
      <c r="F10" s="2415"/>
      <c r="G10" s="2429" t="str">
        <f>COVER!T17</f>
        <v>855 E Ferguson</v>
      </c>
      <c r="H10" s="2442"/>
      <c r="I10" s="2442"/>
      <c r="J10" s="2442"/>
      <c r="K10" s="2442"/>
      <c r="L10" s="2443"/>
    </row>
    <row r="11" spans="1:29" ht="13.5" customHeight="1" x14ac:dyDescent="0.2">
      <c r="A11" s="1185" t="s">
        <v>1598</v>
      </c>
      <c r="B11" s="1186"/>
      <c r="C11" s="1187"/>
      <c r="D11" s="1192"/>
      <c r="E11" s="1187"/>
      <c r="F11" s="1191"/>
      <c r="G11" s="2429" t="str">
        <f>COVER!T19</f>
        <v>Wood River</v>
      </c>
      <c r="H11" s="2442"/>
      <c r="I11" s="2442"/>
      <c r="J11" s="2442"/>
      <c r="K11" s="2442"/>
      <c r="L11" s="2443"/>
    </row>
    <row r="12" spans="1:29" ht="13.5" customHeight="1" x14ac:dyDescent="0.2">
      <c r="A12" s="2447" t="s">
        <v>1597</v>
      </c>
      <c r="B12" s="2448"/>
      <c r="C12" s="2448"/>
      <c r="D12" s="2448"/>
      <c r="E12" s="2448"/>
      <c r="F12" s="2449"/>
      <c r="G12" s="2444"/>
      <c r="H12" s="2445"/>
      <c r="I12" s="2445"/>
      <c r="J12" s="2445"/>
      <c r="K12" s="2445"/>
      <c r="L12" s="2446"/>
    </row>
    <row r="13" spans="1:29" ht="13.5" customHeight="1" x14ac:dyDescent="0.2">
      <c r="A13" s="2429"/>
      <c r="B13" s="2442"/>
      <c r="C13" s="2442"/>
      <c r="D13" s="2442"/>
      <c r="E13" s="2442"/>
      <c r="F13" s="2443"/>
      <c r="G13" s="2437" t="s">
        <v>1599</v>
      </c>
      <c r="H13" s="2438"/>
      <c r="I13" s="2450" t="str">
        <f>COVER!T25</f>
        <v>greg@dmacpa.com</v>
      </c>
      <c r="J13" s="2451"/>
      <c r="K13" s="2451"/>
      <c r="L13" s="2452"/>
    </row>
    <row r="14" spans="1:29" ht="13.5" customHeight="1" x14ac:dyDescent="0.2">
      <c r="A14" s="2429" t="str">
        <f>COVER!A19</f>
        <v xml:space="preserve">40 South Main </v>
      </c>
      <c r="B14" s="2442"/>
      <c r="C14" s="2442"/>
      <c r="D14" s="2442"/>
      <c r="E14" s="2442"/>
      <c r="F14" s="2443"/>
      <c r="G14" s="1196" t="s">
        <v>1247</v>
      </c>
      <c r="H14" s="1194"/>
      <c r="I14" s="1194"/>
      <c r="J14" s="1194"/>
      <c r="K14" s="1194"/>
      <c r="L14" s="1195"/>
    </row>
    <row r="15" spans="1:29" ht="13.5" customHeight="1" x14ac:dyDescent="0.2">
      <c r="A15" s="2429" t="str">
        <f>COVER!A21</f>
        <v xml:space="preserve">Harrisburg </v>
      </c>
      <c r="B15" s="2442"/>
      <c r="C15" s="2442"/>
      <c r="D15" s="2442"/>
      <c r="E15" s="2442"/>
      <c r="F15" s="2443"/>
      <c r="G15" s="2439" t="str">
        <f>COVER!T15</f>
        <v>Greg McCalley</v>
      </c>
      <c r="H15" s="2440"/>
      <c r="I15" s="2440"/>
      <c r="J15" s="2440"/>
      <c r="K15" s="2440"/>
      <c r="L15" s="2441"/>
    </row>
    <row r="16" spans="1:29" ht="12.2" customHeight="1" x14ac:dyDescent="0.2">
      <c r="A16" s="2419">
        <f>COVER!A25</f>
        <v>62946</v>
      </c>
      <c r="B16" s="2420"/>
      <c r="C16" s="2420"/>
      <c r="D16" s="2420"/>
      <c r="E16" s="2420"/>
      <c r="F16" s="2421"/>
      <c r="G16" s="2432"/>
      <c r="H16" s="2433"/>
      <c r="I16" s="2433"/>
      <c r="J16" s="2433"/>
      <c r="K16" s="2433"/>
      <c r="L16" s="2434"/>
    </row>
    <row r="17" spans="1:13" ht="12.2" customHeight="1" x14ac:dyDescent="0.2">
      <c r="A17" s="2435"/>
      <c r="B17" s="2420"/>
      <c r="C17" s="2420"/>
      <c r="D17" s="2420"/>
      <c r="E17" s="2420"/>
      <c r="F17" s="2421"/>
      <c r="G17" s="1196" t="s">
        <v>1246</v>
      </c>
      <c r="H17" s="1194"/>
      <c r="I17" s="1194"/>
      <c r="J17" s="1194"/>
      <c r="K17" s="1198" t="s">
        <v>1245</v>
      </c>
      <c r="L17" s="1191"/>
      <c r="M17" s="1184"/>
    </row>
    <row r="18" spans="1:13" ht="12.2" customHeight="1" x14ac:dyDescent="0.2">
      <c r="A18" s="2413"/>
      <c r="B18" s="2414"/>
      <c r="C18" s="2414"/>
      <c r="D18" s="2414"/>
      <c r="E18" s="2414"/>
      <c r="F18" s="2415"/>
      <c r="G18" s="2416" t="str">
        <f>COVER!T21</f>
        <v>(618) 254-8188</v>
      </c>
      <c r="H18" s="2417"/>
      <c r="I18" s="2417"/>
      <c r="J18" s="2417"/>
      <c r="K18" s="2416" t="str">
        <f>COVER!X21</f>
        <v>(618) 254-8680</v>
      </c>
      <c r="L18" s="2418"/>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&amp;C78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7" t="str">
        <f>'Single Audit Cover'!A7</f>
        <v>Harrisburg CUSD 3</v>
      </c>
      <c r="B1" s="2453"/>
      <c r="C1" s="2453"/>
      <c r="D1" s="2453"/>
    </row>
    <row r="2" spans="1:11" s="1215" customFormat="1" ht="12.75" x14ac:dyDescent="0.2">
      <c r="A2" s="2458">
        <f>'Single Audit Cover'!E7</f>
        <v>20083003026</v>
      </c>
      <c r="B2" s="2459"/>
      <c r="C2" s="2459"/>
      <c r="D2" s="2459"/>
    </row>
    <row r="3" spans="1:11" s="1215" customFormat="1" ht="12.75" x14ac:dyDescent="0.2">
      <c r="A3" s="2457" t="s">
        <v>1592</v>
      </c>
      <c r="B3" s="2453"/>
      <c r="C3" s="2453"/>
      <c r="D3" s="2453"/>
    </row>
    <row r="4" spans="1:11" s="1215" customFormat="1" ht="4.5" customHeight="1" x14ac:dyDescent="0.2">
      <c r="A4" s="1216"/>
      <c r="B4" s="1217"/>
      <c r="C4" s="1217"/>
      <c r="D4" s="1217"/>
    </row>
    <row r="5" spans="1:11" x14ac:dyDescent="0.2">
      <c r="B5" s="1219" t="s">
        <v>1593</v>
      </c>
      <c r="C5" s="1220"/>
      <c r="D5" s="1221"/>
    </row>
    <row r="6" spans="1:11" x14ac:dyDescent="0.2">
      <c r="B6" s="1219" t="s">
        <v>1287</v>
      </c>
      <c r="C6" s="1220"/>
      <c r="D6" s="1221"/>
    </row>
    <row r="7" spans="1:11" x14ac:dyDescent="0.2">
      <c r="B7" s="1219" t="s">
        <v>1594</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1269</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1" t="str">
        <f>'Single Audit Cover'!A7</f>
        <v>Harrisburg CUSD 3</v>
      </c>
      <c r="B1" s="2461"/>
      <c r="C1" s="2461"/>
      <c r="D1" s="2461"/>
      <c r="E1" s="2461"/>
    </row>
    <row r="2" spans="1:5" x14ac:dyDescent="0.2">
      <c r="A2" s="2462">
        <f>'Single Audit Cover'!E7</f>
        <v>20083003026</v>
      </c>
      <c r="B2" s="2462"/>
      <c r="C2" s="2462"/>
      <c r="D2" s="2462"/>
      <c r="E2" s="2462"/>
    </row>
    <row r="3" spans="1:5" ht="4.5" customHeight="1" x14ac:dyDescent="0.2"/>
    <row r="4" spans="1:5" x14ac:dyDescent="0.2">
      <c r="A4" s="2461" t="s">
        <v>1307</v>
      </c>
      <c r="B4" s="2461"/>
      <c r="C4" s="2461"/>
      <c r="D4" s="2461"/>
      <c r="E4" s="2461"/>
    </row>
    <row r="5" spans="1:5" x14ac:dyDescent="0.2">
      <c r="A5" s="2464" t="str">
        <f>'Single Audit Cover'!A4</f>
        <v>Year Ending June 30, 2018</v>
      </c>
      <c r="B5" s="2464"/>
      <c r="C5" s="2464"/>
      <c r="D5" s="2464"/>
      <c r="E5" s="2464"/>
    </row>
    <row r="6" spans="1:5" x14ac:dyDescent="0.2">
      <c r="A6" s="2461" t="s">
        <v>1306</v>
      </c>
      <c r="B6" s="2461"/>
      <c r="C6" s="2461"/>
      <c r="D6" s="2461"/>
      <c r="E6" s="2461"/>
    </row>
    <row r="8" spans="1:5" x14ac:dyDescent="0.2">
      <c r="A8" s="1260" t="s">
        <v>1305</v>
      </c>
    </row>
    <row r="10" spans="1:5" x14ac:dyDescent="0.2">
      <c r="A10" s="1261" t="s">
        <v>1304</v>
      </c>
      <c r="B10" s="1262" t="s">
        <v>1303</v>
      </c>
      <c r="C10" s="1262"/>
      <c r="D10" s="1263">
        <f>SUM('Acct Summary 7-8'!C7:K7)</f>
        <v>2129950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71592</v>
      </c>
    </row>
    <row r="15" spans="1:5" x14ac:dyDescent="0.2">
      <c r="A15" s="1261"/>
      <c r="B15" s="1262"/>
      <c r="C15" s="1262"/>
    </row>
    <row r="16" spans="1:5" x14ac:dyDescent="0.2">
      <c r="A16" s="1261" t="s">
        <v>1952</v>
      </c>
      <c r="B16" s="1262"/>
      <c r="C16" s="1262"/>
    </row>
    <row r="17" spans="1:4" x14ac:dyDescent="0.2">
      <c r="A17" s="1261" t="s">
        <v>1600</v>
      </c>
      <c r="B17" s="1262" t="s">
        <v>1298</v>
      </c>
      <c r="C17" s="1262"/>
      <c r="D17" s="1264">
        <f>-SUM('Revenues 9-14'!C271:D271,'Revenues 9-14'!F271:G271)</f>
        <v>-43774</v>
      </c>
    </row>
    <row r="19" spans="1:4" ht="13.5" thickBot="1" x14ac:dyDescent="0.25">
      <c r="A19" s="1265" t="s">
        <v>1297</v>
      </c>
      <c r="D19" s="1266">
        <f>SUM(D10:D17)</f>
        <v>2157768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3"/>
      <c r="B24" s="2463"/>
      <c r="D24" s="1268"/>
    </row>
    <row r="25" spans="1:4" x14ac:dyDescent="0.2">
      <c r="A25" s="2460"/>
      <c r="B25" s="2460"/>
      <c r="D25" s="1268"/>
    </row>
    <row r="26" spans="1:4" x14ac:dyDescent="0.2">
      <c r="A26" s="2460"/>
      <c r="B26" s="2460"/>
      <c r="D26" s="1268"/>
    </row>
    <row r="27" spans="1:4" x14ac:dyDescent="0.2">
      <c r="A27" s="2460"/>
      <c r="B27" s="2460"/>
      <c r="D27" s="1268"/>
    </row>
    <row r="28" spans="1:4" x14ac:dyDescent="0.2">
      <c r="A28" s="2460"/>
      <c r="B28" s="2460"/>
      <c r="D28" s="1268"/>
    </row>
    <row r="29" spans="1:4" x14ac:dyDescent="0.2">
      <c r="A29" s="2460"/>
      <c r="B29" s="2460"/>
      <c r="D29" s="1268"/>
    </row>
    <row r="30" spans="1:4" x14ac:dyDescent="0.2">
      <c r="A30" s="2460"/>
      <c r="B30" s="2460"/>
      <c r="D30" s="1268"/>
    </row>
    <row r="32" spans="1:4" x14ac:dyDescent="0.2">
      <c r="A32" s="1260" t="s">
        <v>1295</v>
      </c>
      <c r="D32" s="1263">
        <f>SUM(D19:D30)</f>
        <v>2157768</v>
      </c>
    </row>
    <row r="33" spans="1:4" x14ac:dyDescent="0.2">
      <c r="D33" s="1269"/>
    </row>
    <row r="34" spans="1:4" x14ac:dyDescent="0.2">
      <c r="A34" s="317" t="s">
        <v>1294</v>
      </c>
    </row>
    <row r="35" spans="1:4" x14ac:dyDescent="0.2">
      <c r="A35" s="317" t="s">
        <v>1293</v>
      </c>
      <c r="B35" s="1258" t="s">
        <v>1292</v>
      </c>
      <c r="D35" s="1270">
        <v>2157768</v>
      </c>
    </row>
    <row r="37" spans="1:4" x14ac:dyDescent="0.2">
      <c r="A37" s="1260" t="s">
        <v>1291</v>
      </c>
    </row>
    <row r="39" spans="1:4" ht="13.35" customHeight="1" x14ac:dyDescent="0.2">
      <c r="A39" s="1267" t="s">
        <v>1290</v>
      </c>
    </row>
    <row r="40" spans="1:4" x14ac:dyDescent="0.2">
      <c r="A40" s="2460"/>
      <c r="B40" s="2460"/>
      <c r="D40" s="1268"/>
    </row>
    <row r="41" spans="1:4" x14ac:dyDescent="0.2">
      <c r="A41" s="2460"/>
      <c r="B41" s="2460"/>
      <c r="D41" s="1271"/>
    </row>
    <row r="42" spans="1:4" x14ac:dyDescent="0.2">
      <c r="A42" s="2460"/>
      <c r="B42" s="2460"/>
      <c r="D42" s="1271"/>
    </row>
    <row r="43" spans="1:4" x14ac:dyDescent="0.2">
      <c r="A43" s="2460"/>
      <c r="B43" s="2460"/>
      <c r="D43" s="1271"/>
    </row>
    <row r="44" spans="1:4" x14ac:dyDescent="0.2">
      <c r="A44" s="2460"/>
      <c r="B44" s="2460"/>
      <c r="D44" s="1271"/>
    </row>
    <row r="45" spans="1:4" x14ac:dyDescent="0.2">
      <c r="A45" s="2460"/>
      <c r="B45" s="2460"/>
      <c r="D45" s="1271"/>
    </row>
    <row r="47" spans="1:4" x14ac:dyDescent="0.2">
      <c r="B47" s="1272" t="s">
        <v>1289</v>
      </c>
      <c r="C47" s="1272"/>
      <c r="D47" s="1273">
        <f>SUM(D35:D45)</f>
        <v>2157768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&amp;C85</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Harrisburg CUSD 3</v>
      </c>
      <c r="B1" s="2466"/>
      <c r="C1" s="2466"/>
      <c r="D1" s="2466"/>
      <c r="E1" s="2466"/>
      <c r="F1" s="2466"/>
    </row>
    <row r="2" spans="1:7" ht="13.5" customHeight="1" x14ac:dyDescent="0.2">
      <c r="A2" s="2467">
        <f>'Single Audit Cover'!E7</f>
        <v>20083003026</v>
      </c>
      <c r="B2" s="2467"/>
      <c r="C2" s="2467"/>
      <c r="D2" s="2467"/>
      <c r="E2" s="2467"/>
      <c r="F2" s="2467"/>
      <c r="G2" s="1275"/>
    </row>
    <row r="3" spans="1:7" ht="15.75" customHeight="1" x14ac:dyDescent="0.2">
      <c r="A3" s="2468" t="s">
        <v>1332</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1830</v>
      </c>
      <c r="C6" s="317"/>
      <c r="D6" s="317"/>
    </row>
    <row r="7" spans="1:7" ht="60.95" customHeight="1" x14ac:dyDescent="0.2">
      <c r="A7" s="2465" t="s">
        <v>2239</v>
      </c>
      <c r="B7" s="2465"/>
      <c r="C7" s="2465"/>
      <c r="D7" s="2465"/>
      <c r="E7" s="2465"/>
      <c r="F7" s="2465"/>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2153</v>
      </c>
      <c r="F10" s="1280" t="s">
        <v>101</v>
      </c>
      <c r="G10" s="1278"/>
    </row>
    <row r="11" spans="1:7" ht="12" customHeight="1" x14ac:dyDescent="0.2">
      <c r="A11" s="1279"/>
      <c r="B11" s="1280"/>
      <c r="C11" s="1925"/>
      <c r="D11" s="1280"/>
      <c r="E11" s="1925"/>
      <c r="F11" s="1280"/>
      <c r="G11" s="1278"/>
    </row>
    <row r="12" spans="1:7" x14ac:dyDescent="0.2">
      <c r="A12" s="1276" t="s">
        <v>1668</v>
      </c>
      <c r="C12" s="1260"/>
      <c r="D12" s="1260"/>
    </row>
    <row r="13" spans="1:7" ht="15" customHeight="1" x14ac:dyDescent="0.2">
      <c r="A13" s="2465" t="s">
        <v>2240</v>
      </c>
      <c r="B13" s="2465"/>
      <c r="C13" s="2465"/>
      <c r="D13" s="2465"/>
      <c r="E13" s="2465"/>
      <c r="F13" s="2465"/>
    </row>
    <row r="14" spans="1:7" ht="9.75" customHeight="1" x14ac:dyDescent="0.2">
      <c r="C14" s="1260"/>
      <c r="D14" s="1260"/>
    </row>
    <row r="15" spans="1:7" ht="13.5" customHeight="1" x14ac:dyDescent="0.2">
      <c r="C15" s="1869" t="s">
        <v>1331</v>
      </c>
      <c r="D15" s="2471" t="s">
        <v>1330</v>
      </c>
      <c r="E15" s="2471"/>
      <c r="F15" s="2471"/>
    </row>
    <row r="16" spans="1:7" ht="13.5" customHeight="1" x14ac:dyDescent="0.2">
      <c r="A16" s="1282"/>
      <c r="B16" s="1276" t="s">
        <v>1329</v>
      </c>
      <c r="C16" s="1869" t="s">
        <v>1328</v>
      </c>
      <c r="D16" s="2472" t="s">
        <v>1669</v>
      </c>
      <c r="E16" s="2472"/>
      <c r="F16" s="2472"/>
    </row>
    <row r="17" spans="1:6" ht="20.45" customHeight="1" x14ac:dyDescent="0.2">
      <c r="A17" s="1283"/>
      <c r="B17" s="1284" t="s">
        <v>2241</v>
      </c>
      <c r="C17" s="1285"/>
      <c r="D17" s="2470"/>
      <c r="E17" s="2470"/>
      <c r="F17" s="2470"/>
    </row>
    <row r="18" spans="1:6" ht="20.65" customHeight="1" x14ac:dyDescent="0.2">
      <c r="A18" s="1283"/>
      <c r="B18" s="1284"/>
      <c r="C18" s="1285"/>
      <c r="D18" s="2470"/>
      <c r="E18" s="2470"/>
      <c r="F18" s="2470"/>
    </row>
    <row r="19" spans="1:6" ht="20.65" customHeight="1" x14ac:dyDescent="0.2">
      <c r="A19" s="1283"/>
      <c r="B19" s="1284"/>
      <c r="C19" s="1285"/>
      <c r="D19" s="2470"/>
      <c r="E19" s="2470"/>
      <c r="F19" s="2470"/>
    </row>
    <row r="20" spans="1:6" ht="20.65" customHeight="1" x14ac:dyDescent="0.2">
      <c r="A20" s="1283"/>
      <c r="B20" s="1284"/>
      <c r="C20" s="1285"/>
      <c r="D20" s="2470"/>
      <c r="E20" s="2470"/>
      <c r="F20" s="2470"/>
    </row>
    <row r="21" spans="1:6" ht="20.65" customHeight="1" x14ac:dyDescent="0.2">
      <c r="A21" s="1283"/>
      <c r="B21" s="1284"/>
      <c r="C21" s="1285"/>
      <c r="D21" s="2470"/>
      <c r="E21" s="2470"/>
      <c r="F21" s="2470"/>
    </row>
    <row r="22" spans="1:6" ht="20.65" customHeight="1" x14ac:dyDescent="0.2">
      <c r="A22" s="1283"/>
      <c r="B22" s="1284"/>
      <c r="C22" s="1285"/>
      <c r="D22" s="2470"/>
      <c r="E22" s="2470"/>
      <c r="F22" s="2470"/>
    </row>
    <row r="23" spans="1:6" ht="20.65" customHeight="1" x14ac:dyDescent="0.2">
      <c r="A23" s="1283"/>
      <c r="B23" s="1284"/>
      <c r="C23" s="1285"/>
      <c r="D23" s="2470"/>
      <c r="E23" s="2470"/>
      <c r="F23" s="2470"/>
    </row>
    <row r="24" spans="1:6" ht="20.65" customHeight="1" x14ac:dyDescent="0.2">
      <c r="A24" s="1283"/>
      <c r="B24" s="1284"/>
      <c r="C24" s="1285"/>
      <c r="D24" s="2470"/>
      <c r="E24" s="2470"/>
      <c r="F24" s="2470"/>
    </row>
    <row r="25" spans="1:6" ht="20.65" customHeight="1" x14ac:dyDescent="0.2">
      <c r="A25" s="1283"/>
      <c r="B25" s="1284"/>
      <c r="C25" s="1285"/>
      <c r="D25" s="2470"/>
      <c r="E25" s="2470"/>
      <c r="F25" s="2470"/>
    </row>
    <row r="26" spans="1:6" ht="20.65" customHeight="1" x14ac:dyDescent="0.2">
      <c r="A26" s="1283"/>
      <c r="B26" s="1284"/>
      <c r="C26" s="1285"/>
      <c r="D26" s="2470"/>
      <c r="E26" s="2470"/>
      <c r="F26" s="2470"/>
    </row>
    <row r="27" spans="1:6" ht="20.65" customHeight="1" x14ac:dyDescent="0.2">
      <c r="A27" s="1283"/>
      <c r="B27" s="1284"/>
      <c r="C27" s="1285"/>
      <c r="D27" s="2470"/>
      <c r="E27" s="2470"/>
      <c r="F27" s="2470"/>
    </row>
    <row r="28" spans="1:6" ht="20.65" customHeight="1" x14ac:dyDescent="0.2">
      <c r="A28" s="1283"/>
      <c r="B28" s="1284"/>
      <c r="C28" s="1285"/>
      <c r="D28" s="2470"/>
      <c r="E28" s="2470"/>
      <c r="F28" s="2470"/>
    </row>
    <row r="29" spans="1:6" ht="20.65" customHeight="1" x14ac:dyDescent="0.2">
      <c r="A29" s="1283"/>
      <c r="B29" s="1284"/>
      <c r="C29" s="1285"/>
      <c r="D29" s="2470"/>
      <c r="E29" s="2470"/>
      <c r="F29" s="2470"/>
    </row>
    <row r="30" spans="1:6" ht="12" customHeight="1" x14ac:dyDescent="0.2">
      <c r="A30" s="328"/>
      <c r="B30" s="328"/>
      <c r="C30" s="1478"/>
      <c r="D30" s="1926"/>
      <c r="E30" s="1286"/>
    </row>
    <row r="31" spans="1:6" ht="12" customHeight="1" x14ac:dyDescent="0.2">
      <c r="A31" s="1287" t="s">
        <v>1629</v>
      </c>
      <c r="B31" s="328"/>
      <c r="C31" s="1478"/>
      <c r="D31" s="1926"/>
      <c r="E31" s="1286"/>
    </row>
    <row r="32" spans="1:6" ht="30" customHeight="1" x14ac:dyDescent="0.2">
      <c r="A32" s="2474" t="s">
        <v>1832</v>
      </c>
      <c r="B32" s="2474"/>
      <c r="C32" s="2474"/>
      <c r="D32" s="2474"/>
      <c r="E32" s="2474"/>
      <c r="F32" s="2474"/>
    </row>
    <row r="33" spans="1:6" ht="13.5" customHeight="1" x14ac:dyDescent="0.2">
      <c r="A33" s="328" t="s">
        <v>1508</v>
      </c>
      <c r="B33" s="328"/>
      <c r="C33" s="1288">
        <v>40016</v>
      </c>
      <c r="D33" s="1926"/>
      <c r="E33" s="1286"/>
    </row>
    <row r="34" spans="1:6" ht="13.5" customHeight="1" x14ac:dyDescent="0.2">
      <c r="A34" s="328" t="s">
        <v>1945</v>
      </c>
      <c r="B34" s="328"/>
      <c r="C34" s="1289">
        <v>31576</v>
      </c>
      <c r="D34" s="1926" t="s">
        <v>1670</v>
      </c>
      <c r="E34" s="2475">
        <f>+C33+C34</f>
        <v>71592</v>
      </c>
      <c r="F34" s="2476"/>
    </row>
    <row r="35" spans="1:6" ht="12" customHeight="1" x14ac:dyDescent="0.2">
      <c r="A35" s="328"/>
      <c r="B35" s="328"/>
      <c r="C35" s="1927"/>
      <c r="D35" s="1926"/>
      <c r="E35" s="1290"/>
      <c r="F35" s="1291"/>
    </row>
    <row r="36" spans="1:6" ht="13.5" customHeight="1" x14ac:dyDescent="0.2">
      <c r="A36" s="1287" t="s">
        <v>1630</v>
      </c>
      <c r="B36" s="328"/>
      <c r="C36" s="1478"/>
      <c r="D36" s="1926"/>
      <c r="E36" s="1286"/>
    </row>
    <row r="37" spans="1:6" ht="14.25" customHeight="1" x14ac:dyDescent="0.2">
      <c r="A37" s="328" t="s">
        <v>1562</v>
      </c>
      <c r="B37" s="328"/>
      <c r="C37" s="1928"/>
      <c r="D37" s="1926"/>
      <c r="E37" s="1286"/>
    </row>
    <row r="38" spans="1:6" ht="14.25" customHeight="1" x14ac:dyDescent="0.2">
      <c r="A38" s="328"/>
      <c r="B38" s="328" t="s">
        <v>1509</v>
      </c>
      <c r="C38" s="1292" t="s">
        <v>401</v>
      </c>
      <c r="D38" s="1926"/>
      <c r="E38" s="1286"/>
    </row>
    <row r="39" spans="1:6" ht="14.25" customHeight="1" x14ac:dyDescent="0.2">
      <c r="A39" s="328"/>
      <c r="B39" s="328" t="s">
        <v>1510</v>
      </c>
      <c r="C39" s="1292" t="s">
        <v>401</v>
      </c>
      <c r="D39" s="1926"/>
      <c r="E39" s="1286"/>
    </row>
    <row r="40" spans="1:6" ht="14.25" customHeight="1" x14ac:dyDescent="0.2">
      <c r="A40" s="328"/>
      <c r="B40" s="328" t="s">
        <v>1511</v>
      </c>
      <c r="C40" s="1292" t="s">
        <v>401</v>
      </c>
      <c r="D40" s="1926"/>
      <c r="E40" s="1286"/>
    </row>
    <row r="41" spans="1:6" ht="14.25" customHeight="1" x14ac:dyDescent="0.2">
      <c r="A41" s="328"/>
      <c r="B41" s="328" t="s">
        <v>1512</v>
      </c>
      <c r="C41" s="1292" t="s">
        <v>401</v>
      </c>
      <c r="D41" s="1926"/>
      <c r="E41" s="1286"/>
    </row>
    <row r="42" spans="1:6" ht="14.25" customHeight="1" x14ac:dyDescent="0.2">
      <c r="A42" s="328" t="s">
        <v>1513</v>
      </c>
      <c r="B42" s="328"/>
      <c r="C42" s="1924" t="s">
        <v>401</v>
      </c>
      <c r="D42" s="1926"/>
      <c r="E42" s="1286"/>
    </row>
    <row r="43" spans="1:6" ht="14.25" customHeight="1" x14ac:dyDescent="0.2">
      <c r="A43" s="328" t="s">
        <v>1514</v>
      </c>
      <c r="B43" s="328"/>
      <c r="C43" s="1293" t="s">
        <v>401</v>
      </c>
      <c r="D43" s="1926"/>
      <c r="E43" s="1286"/>
    </row>
    <row r="44" spans="1:6" ht="14.25" customHeight="1" x14ac:dyDescent="0.2">
      <c r="A44" s="328"/>
      <c r="B44" s="328"/>
      <c r="C44" s="1928" t="s">
        <v>1515</v>
      </c>
      <c r="D44" s="1926"/>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7" t="s">
        <v>1671</v>
      </c>
      <c r="C49" s="2477"/>
      <c r="D49" s="2477"/>
      <c r="E49" s="1399"/>
    </row>
    <row r="50" spans="1:5" s="1300" customFormat="1" ht="3.75" customHeight="1" x14ac:dyDescent="0.2">
      <c r="A50" s="1299"/>
      <c r="B50" s="1868"/>
      <c r="C50" s="1868"/>
      <c r="D50" s="1868"/>
      <c r="E50" s="1399"/>
    </row>
    <row r="51" spans="1:5" s="1300" customFormat="1" ht="20.25" customHeight="1" x14ac:dyDescent="0.2">
      <c r="A51" s="1301">
        <v>6</v>
      </c>
      <c r="B51" s="2473" t="s">
        <v>1631</v>
      </c>
      <c r="C51" s="2473"/>
      <c r="D51" s="2473"/>
    </row>
    <row r="52" spans="1:5" ht="14.25" customHeight="1" x14ac:dyDescent="0.2">
      <c r="A52" s="1301"/>
      <c r="B52" s="2473"/>
      <c r="C52" s="2473"/>
      <c r="D52" s="24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&amp;C86</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8"/>
  <sheetViews>
    <sheetView showGridLines="0" topLeftCell="A12" zoomScaleNormal="100" workbookViewId="0">
      <selection activeCell="M31" sqref="M3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2" t="str">
        <f>'Single Audit Cover'!A7</f>
        <v>Harrisburg CUSD 3</v>
      </c>
      <c r="C1" s="2478"/>
      <c r="D1" s="2478"/>
      <c r="E1" s="2478"/>
      <c r="F1" s="2478"/>
      <c r="G1" s="2478"/>
      <c r="H1" s="2478"/>
      <c r="I1" s="2478"/>
      <c r="J1" s="2478"/>
      <c r="K1" s="2478"/>
      <c r="L1" s="2478"/>
      <c r="M1" s="2478"/>
    </row>
    <row r="2" spans="2:14" ht="15" x14ac:dyDescent="0.2">
      <c r="B2" s="2467">
        <f>'Single Audit Cover'!E7</f>
        <v>20083003026</v>
      </c>
      <c r="C2" s="2467"/>
      <c r="D2" s="2467"/>
      <c r="E2" s="2467"/>
      <c r="F2" s="2467"/>
      <c r="G2" s="2467"/>
      <c r="H2" s="2467"/>
      <c r="I2" s="2467"/>
      <c r="J2" s="2467"/>
      <c r="K2" s="2467"/>
      <c r="L2" s="2467"/>
      <c r="M2" s="2467"/>
      <c r="N2" s="1302"/>
    </row>
    <row r="3" spans="2:14" ht="15" x14ac:dyDescent="0.2">
      <c r="B3" s="2479" t="s">
        <v>1281</v>
      </c>
      <c r="C3" s="2479"/>
      <c r="D3" s="2479"/>
      <c r="E3" s="2479"/>
      <c r="F3" s="2479"/>
      <c r="G3" s="2479"/>
      <c r="H3" s="2479"/>
      <c r="I3" s="2479"/>
      <c r="J3" s="2479"/>
      <c r="K3" s="2479"/>
      <c r="L3" s="2479"/>
      <c r="M3" s="2479"/>
      <c r="N3" s="1302"/>
    </row>
    <row r="4" spans="2:14" ht="15" x14ac:dyDescent="0.2">
      <c r="B4" s="2480" t="str">
        <f>'Single Audit Cover'!A4</f>
        <v>Year Ending June 30, 2018</v>
      </c>
      <c r="C4" s="2480"/>
      <c r="D4" s="2480"/>
      <c r="E4" s="2480"/>
      <c r="F4" s="2480"/>
      <c r="G4" s="2480"/>
      <c r="H4" s="2480"/>
      <c r="I4" s="2480"/>
      <c r="J4" s="2480"/>
      <c r="K4" s="2480"/>
      <c r="L4" s="2480"/>
      <c r="M4" s="2480"/>
      <c r="N4" s="1302"/>
    </row>
    <row r="6" spans="2:14" x14ac:dyDescent="0.2">
      <c r="B6" s="1303"/>
      <c r="C6" s="1304"/>
      <c r="D6" s="1305" t="s">
        <v>1326</v>
      </c>
      <c r="E6" s="1306" t="s">
        <v>548</v>
      </c>
      <c r="F6" s="1307"/>
      <c r="G6" s="1308" t="s">
        <v>1834</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1835</v>
      </c>
      <c r="D9" s="1314" t="s">
        <v>1836</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2176</v>
      </c>
      <c r="C11" s="1338"/>
      <c r="D11" s="1339"/>
      <c r="E11" s="1340"/>
      <c r="F11" s="1340"/>
      <c r="G11" s="1340"/>
      <c r="H11" s="1340"/>
      <c r="I11" s="1340"/>
      <c r="J11" s="1340"/>
      <c r="K11" s="1340"/>
      <c r="L11" s="1340">
        <f>+G11+I11+K11</f>
        <v>0</v>
      </c>
      <c r="M11" s="1340"/>
    </row>
    <row r="12" spans="2:14" ht="20.100000000000001" customHeight="1" x14ac:dyDescent="0.2">
      <c r="B12" s="1337" t="s">
        <v>2177</v>
      </c>
      <c r="C12" s="1341"/>
      <c r="D12" s="1342"/>
      <c r="E12" s="1343"/>
      <c r="F12" s="1343"/>
      <c r="G12" s="1343"/>
      <c r="H12" s="1343"/>
      <c r="I12" s="1343"/>
      <c r="J12" s="1343"/>
      <c r="K12" s="1343"/>
      <c r="L12" s="1340">
        <f t="shared" ref="L12:L63" si="0">+G12+I12+K12</f>
        <v>0</v>
      </c>
      <c r="M12" s="1343"/>
    </row>
    <row r="13" spans="2:14" ht="20.100000000000001" customHeight="1" x14ac:dyDescent="0.2">
      <c r="B13" s="1337" t="s">
        <v>2179</v>
      </c>
      <c r="C13" s="1341">
        <v>10.555</v>
      </c>
      <c r="D13" s="1342" t="s">
        <v>2178</v>
      </c>
      <c r="E13" s="1343">
        <v>15407</v>
      </c>
      <c r="F13" s="1343"/>
      <c r="G13" s="1343">
        <v>15407</v>
      </c>
      <c r="H13" s="1343"/>
      <c r="I13" s="1343"/>
      <c r="J13" s="1343"/>
      <c r="K13" s="1343"/>
      <c r="L13" s="1340">
        <f t="shared" si="0"/>
        <v>15407</v>
      </c>
      <c r="M13" s="1343" t="s">
        <v>2178</v>
      </c>
    </row>
    <row r="14" spans="2:14" ht="20.100000000000001" customHeight="1" x14ac:dyDescent="0.2">
      <c r="B14" s="1337" t="s">
        <v>2179</v>
      </c>
      <c r="C14" s="1341">
        <v>10.555</v>
      </c>
      <c r="D14" s="1342" t="s">
        <v>2178</v>
      </c>
      <c r="E14" s="1343"/>
      <c r="F14" s="1343">
        <v>31576</v>
      </c>
      <c r="G14" s="1343"/>
      <c r="H14" s="1343"/>
      <c r="I14" s="1343">
        <v>31576</v>
      </c>
      <c r="J14" s="1343"/>
      <c r="K14" s="1343"/>
      <c r="L14" s="1340">
        <f t="shared" si="0"/>
        <v>31576</v>
      </c>
      <c r="M14" s="1343" t="s">
        <v>2178</v>
      </c>
    </row>
    <row r="15" spans="2:14" ht="20.100000000000001" customHeight="1" x14ac:dyDescent="0.2">
      <c r="B15" s="1337" t="s">
        <v>2180</v>
      </c>
      <c r="C15" s="1341">
        <v>10.555</v>
      </c>
      <c r="D15" s="1342" t="s">
        <v>2178</v>
      </c>
      <c r="E15" s="1343">
        <v>69343</v>
      </c>
      <c r="F15" s="1343"/>
      <c r="G15" s="1343">
        <v>69343</v>
      </c>
      <c r="H15" s="1343"/>
      <c r="I15" s="1343"/>
      <c r="J15" s="1343"/>
      <c r="K15" s="1343"/>
      <c r="L15" s="1340">
        <f t="shared" si="0"/>
        <v>69343</v>
      </c>
      <c r="M15" s="1343" t="s">
        <v>2178</v>
      </c>
    </row>
    <row r="16" spans="2:14" ht="20.100000000000001" customHeight="1" x14ac:dyDescent="0.2">
      <c r="B16" s="1337" t="s">
        <v>2180</v>
      </c>
      <c r="C16" s="1341">
        <v>10.555</v>
      </c>
      <c r="D16" s="1342" t="s">
        <v>2178</v>
      </c>
      <c r="E16" s="1343"/>
      <c r="F16" s="1343">
        <v>40016</v>
      </c>
      <c r="G16" s="1343"/>
      <c r="H16" s="1343"/>
      <c r="I16" s="1343">
        <v>40016</v>
      </c>
      <c r="J16" s="1343"/>
      <c r="K16" s="1343"/>
      <c r="L16" s="1340">
        <f t="shared" si="0"/>
        <v>40016</v>
      </c>
      <c r="M16" s="1343" t="s">
        <v>2178</v>
      </c>
    </row>
    <row r="17" spans="2:13" ht="20.100000000000001" customHeight="1" x14ac:dyDescent="0.2">
      <c r="B17" s="1337" t="s">
        <v>2181</v>
      </c>
      <c r="C17" s="1341">
        <v>10.555</v>
      </c>
      <c r="D17" s="1342" t="s">
        <v>2182</v>
      </c>
      <c r="E17" s="1343">
        <v>378278</v>
      </c>
      <c r="F17" s="1343">
        <v>71481</v>
      </c>
      <c r="G17" s="1343">
        <v>378278</v>
      </c>
      <c r="H17" s="1343"/>
      <c r="I17" s="1343">
        <v>71481</v>
      </c>
      <c r="J17" s="1343"/>
      <c r="K17" s="1343"/>
      <c r="L17" s="1340">
        <v>449759</v>
      </c>
      <c r="M17" s="1343" t="s">
        <v>2178</v>
      </c>
    </row>
    <row r="18" spans="2:13" ht="20.100000000000001" customHeight="1" x14ac:dyDescent="0.2">
      <c r="B18" s="1337" t="s">
        <v>2181</v>
      </c>
      <c r="C18" s="1341">
        <v>10.555</v>
      </c>
      <c r="D18" s="1342" t="s">
        <v>2183</v>
      </c>
      <c r="E18" s="1343"/>
      <c r="F18" s="1343">
        <v>358727</v>
      </c>
      <c r="G18" s="1343"/>
      <c r="H18" s="1343"/>
      <c r="I18" s="1343">
        <v>358727</v>
      </c>
      <c r="J18" s="1343"/>
      <c r="K18" s="1343"/>
      <c r="L18" s="1340">
        <f t="shared" si="0"/>
        <v>358727</v>
      </c>
      <c r="M18" s="1343" t="s">
        <v>2178</v>
      </c>
    </row>
    <row r="19" spans="2:13" ht="20.100000000000001" customHeight="1" x14ac:dyDescent="0.2">
      <c r="B19" s="1337" t="s">
        <v>2184</v>
      </c>
      <c r="C19" s="1341">
        <v>10.553000000000001</v>
      </c>
      <c r="D19" s="1342" t="s">
        <v>2185</v>
      </c>
      <c r="E19" s="1343">
        <v>154205</v>
      </c>
      <c r="F19" s="1343">
        <v>28058</v>
      </c>
      <c r="G19" s="1343">
        <v>154205</v>
      </c>
      <c r="H19" s="1343"/>
      <c r="I19" s="1343">
        <v>28058</v>
      </c>
      <c r="J19" s="1343"/>
      <c r="K19" s="1343"/>
      <c r="L19" s="1340">
        <f t="shared" si="0"/>
        <v>182263</v>
      </c>
      <c r="M19" s="1343" t="s">
        <v>2178</v>
      </c>
    </row>
    <row r="20" spans="2:13" ht="20.100000000000001" customHeight="1" x14ac:dyDescent="0.2">
      <c r="B20" s="1337" t="s">
        <v>2184</v>
      </c>
      <c r="C20" s="1341">
        <v>10.553000000000001</v>
      </c>
      <c r="D20" s="1342" t="s">
        <v>2186</v>
      </c>
      <c r="E20" s="1343"/>
      <c r="F20" s="1343">
        <v>143967</v>
      </c>
      <c r="G20" s="1343"/>
      <c r="H20" s="1343"/>
      <c r="I20" s="1343">
        <v>143967</v>
      </c>
      <c r="J20" s="1343"/>
      <c r="K20" s="1343"/>
      <c r="L20" s="1340">
        <f t="shared" si="0"/>
        <v>143967</v>
      </c>
      <c r="M20" s="1343" t="s">
        <v>2178</v>
      </c>
    </row>
    <row r="21" spans="2:13" ht="20.100000000000001" customHeight="1" x14ac:dyDescent="0.2">
      <c r="B21" s="1961" t="s">
        <v>2187</v>
      </c>
      <c r="C21" s="1962">
        <v>10.558999999999999</v>
      </c>
      <c r="D21" s="1963" t="s">
        <v>2188</v>
      </c>
      <c r="E21" s="1964"/>
      <c r="F21" s="1964">
        <v>38957</v>
      </c>
      <c r="G21" s="1964"/>
      <c r="H21" s="1964"/>
      <c r="I21" s="1964">
        <v>38957</v>
      </c>
      <c r="J21" s="1964"/>
      <c r="K21" s="1964"/>
      <c r="L21" s="1964">
        <f t="shared" si="0"/>
        <v>38957</v>
      </c>
      <c r="M21" s="1964" t="s">
        <v>2178</v>
      </c>
    </row>
    <row r="22" spans="2:13" ht="34.5" customHeight="1" x14ac:dyDescent="0.2">
      <c r="B22" s="1960" t="s">
        <v>2189</v>
      </c>
      <c r="C22" s="1338"/>
      <c r="D22" s="1339"/>
      <c r="E22" s="1340">
        <f>SUM(E13:E21)</f>
        <v>617233</v>
      </c>
      <c r="F22" s="1340">
        <f>SUM(F13:F21)</f>
        <v>712782</v>
      </c>
      <c r="G22" s="1340">
        <f>SUM(G13:G21)</f>
        <v>617233</v>
      </c>
      <c r="H22" s="1340"/>
      <c r="I22" s="1340">
        <f>SUM(I13:I21)</f>
        <v>712782</v>
      </c>
      <c r="J22" s="1340"/>
      <c r="K22" s="1340"/>
      <c r="L22" s="1340">
        <f>SUM(L11:L21)</f>
        <v>1330015</v>
      </c>
      <c r="M22" s="1340"/>
    </row>
    <row r="23" spans="2:13" ht="20.100000000000001" customHeight="1" x14ac:dyDescent="0.2">
      <c r="B23" s="1337" t="s">
        <v>2191</v>
      </c>
      <c r="C23" s="1341"/>
      <c r="D23" s="1342"/>
      <c r="E23" s="1343"/>
      <c r="F23" s="1343"/>
      <c r="G23" s="1343"/>
      <c r="H23" s="1343"/>
      <c r="I23" s="1343"/>
      <c r="J23" s="1343"/>
      <c r="K23" s="1343"/>
      <c r="L23" s="1340"/>
      <c r="M23" s="1343"/>
    </row>
    <row r="24" spans="2:13" ht="20.100000000000001" customHeight="1" x14ac:dyDescent="0.2">
      <c r="B24" s="1337" t="s">
        <v>2177</v>
      </c>
      <c r="C24" s="1341"/>
      <c r="D24" s="1342"/>
      <c r="E24" s="1343"/>
      <c r="F24" s="1343"/>
      <c r="G24" s="1343"/>
      <c r="H24" s="1343"/>
      <c r="I24" s="1343"/>
      <c r="J24" s="1343"/>
      <c r="K24" s="1343"/>
      <c r="L24" s="1340"/>
      <c r="M24" s="1343"/>
    </row>
    <row r="25" spans="2:13" ht="20.100000000000001" customHeight="1" x14ac:dyDescent="0.2">
      <c r="B25" s="1337" t="s">
        <v>2190</v>
      </c>
      <c r="C25" s="1341" t="s">
        <v>2192</v>
      </c>
      <c r="D25" s="1342" t="s">
        <v>2193</v>
      </c>
      <c r="E25" s="1343"/>
      <c r="F25" s="1343">
        <v>4255</v>
      </c>
      <c r="G25" s="1343"/>
      <c r="H25" s="1343"/>
      <c r="I25" s="1343">
        <v>4255</v>
      </c>
      <c r="J25" s="1343"/>
      <c r="K25" s="1343"/>
      <c r="L25" s="1340">
        <v>4255</v>
      </c>
      <c r="M25" s="1343">
        <v>4255</v>
      </c>
    </row>
    <row r="26" spans="2:13" ht="20.100000000000001" customHeight="1" x14ac:dyDescent="0.2">
      <c r="B26" s="1337" t="s">
        <v>2238</v>
      </c>
      <c r="C26" s="1341" t="s">
        <v>2194</v>
      </c>
      <c r="D26" s="1342" t="s">
        <v>2195</v>
      </c>
      <c r="E26" s="1343"/>
      <c r="F26" s="1343">
        <v>18792</v>
      </c>
      <c r="G26" s="1343"/>
      <c r="H26" s="1343"/>
      <c r="I26" s="1343">
        <v>22603</v>
      </c>
      <c r="J26" s="1343"/>
      <c r="K26" s="1343"/>
      <c r="L26" s="1340">
        <v>22603</v>
      </c>
      <c r="M26" s="1343">
        <v>22603</v>
      </c>
    </row>
    <row r="27" spans="2:13" ht="20.100000000000001" customHeight="1" x14ac:dyDescent="0.2">
      <c r="B27" s="1337" t="s">
        <v>2196</v>
      </c>
      <c r="C27" s="1341" t="s">
        <v>2197</v>
      </c>
      <c r="D27" s="1342" t="s">
        <v>2198</v>
      </c>
      <c r="E27" s="1343">
        <v>486169</v>
      </c>
      <c r="F27" s="1343">
        <v>296219</v>
      </c>
      <c r="G27" s="1343">
        <v>702365</v>
      </c>
      <c r="H27" s="1343"/>
      <c r="I27" s="1343">
        <v>80023</v>
      </c>
      <c r="J27" s="1343"/>
      <c r="K27" s="1343"/>
      <c r="L27" s="1340">
        <v>782388</v>
      </c>
      <c r="M27" s="1343">
        <v>782388</v>
      </c>
    </row>
    <row r="28" spans="2:13" ht="20.100000000000001" customHeight="1" x14ac:dyDescent="0.2">
      <c r="B28" s="1337" t="s">
        <v>2199</v>
      </c>
      <c r="C28" s="1341" t="s">
        <v>2197</v>
      </c>
      <c r="D28" s="1342" t="s">
        <v>2200</v>
      </c>
      <c r="E28" s="1343"/>
      <c r="F28" s="1343">
        <v>459476</v>
      </c>
      <c r="G28" s="1343"/>
      <c r="H28" s="1343"/>
      <c r="I28" s="1343">
        <v>799727</v>
      </c>
      <c r="J28" s="1343"/>
      <c r="K28" s="1343">
        <v>125145</v>
      </c>
      <c r="L28" s="1340">
        <v>924872</v>
      </c>
      <c r="M28" s="1343">
        <v>924872</v>
      </c>
    </row>
    <row r="29" spans="2:13" ht="20.100000000000001" customHeight="1" x14ac:dyDescent="0.2">
      <c r="B29" s="1337" t="s">
        <v>2201</v>
      </c>
      <c r="C29" s="1341" t="s">
        <v>2202</v>
      </c>
      <c r="D29" s="1342" t="s">
        <v>2203</v>
      </c>
      <c r="E29" s="1343">
        <v>77855</v>
      </c>
      <c r="F29" s="1343">
        <v>47467</v>
      </c>
      <c r="G29" s="1343">
        <v>111607</v>
      </c>
      <c r="H29" s="1343"/>
      <c r="I29" s="1343">
        <v>13715</v>
      </c>
      <c r="J29" s="1343"/>
      <c r="K29" s="1343"/>
      <c r="L29" s="1340">
        <v>125322</v>
      </c>
      <c r="M29" s="1343">
        <v>125322</v>
      </c>
    </row>
    <row r="30" spans="2:13" ht="20.100000000000001" customHeight="1" x14ac:dyDescent="0.2">
      <c r="B30" s="1337" t="s">
        <v>2201</v>
      </c>
      <c r="C30" s="1341" t="s">
        <v>2202</v>
      </c>
      <c r="D30" s="1342" t="s">
        <v>2204</v>
      </c>
      <c r="E30" s="1343"/>
      <c r="F30" s="1343">
        <v>75482</v>
      </c>
      <c r="G30" s="1343"/>
      <c r="H30" s="1343"/>
      <c r="I30" s="1343">
        <v>102378</v>
      </c>
      <c r="J30" s="1343"/>
      <c r="K30" s="1343">
        <v>8781</v>
      </c>
      <c r="L30" s="1340">
        <v>111159</v>
      </c>
      <c r="M30" s="1343">
        <v>111159</v>
      </c>
    </row>
    <row r="31" spans="2:13" ht="20.100000000000001" customHeight="1" x14ac:dyDescent="0.2">
      <c r="B31" s="1337" t="s">
        <v>2209</v>
      </c>
      <c r="C31" s="1341" t="s">
        <v>2205</v>
      </c>
      <c r="D31" s="1342" t="s">
        <v>2206</v>
      </c>
      <c r="E31" s="1343">
        <v>43422</v>
      </c>
      <c r="F31" s="1343"/>
      <c r="G31" s="1343">
        <v>43422</v>
      </c>
      <c r="H31" s="1343"/>
      <c r="I31" s="1343"/>
      <c r="J31" s="1343"/>
      <c r="K31" s="1343"/>
      <c r="L31" s="1340">
        <v>43422</v>
      </c>
      <c r="M31" s="1343">
        <v>42422</v>
      </c>
    </row>
    <row r="32" spans="2:13" ht="20.100000000000001" customHeight="1" x14ac:dyDescent="0.2">
      <c r="B32" s="1961" t="s">
        <v>2208</v>
      </c>
      <c r="C32" s="1962" t="s">
        <v>2205</v>
      </c>
      <c r="D32" s="1963" t="s">
        <v>2207</v>
      </c>
      <c r="E32" s="1964"/>
      <c r="F32" s="1964">
        <v>34609</v>
      </c>
      <c r="G32" s="1964"/>
      <c r="H32" s="1964"/>
      <c r="I32" s="1964">
        <v>35009</v>
      </c>
      <c r="J32" s="1964"/>
      <c r="K32" s="1964"/>
      <c r="L32" s="1964">
        <v>35009</v>
      </c>
      <c r="M32" s="1964">
        <v>35009</v>
      </c>
    </row>
    <row r="33" spans="2:13" ht="20.100000000000001" customHeight="1" x14ac:dyDescent="0.2">
      <c r="B33" s="1960" t="s">
        <v>2210</v>
      </c>
      <c r="C33" s="1338"/>
      <c r="D33" s="1339"/>
      <c r="E33" s="1340">
        <f>SUM(E25:E32)</f>
        <v>607446</v>
      </c>
      <c r="F33" s="1340">
        <f>SUM(F25:F32)</f>
        <v>936300</v>
      </c>
      <c r="G33" s="1340">
        <f>SUM(G25:G32)</f>
        <v>857394</v>
      </c>
      <c r="H33" s="1340"/>
      <c r="I33" s="1340">
        <f>SUM(I25:I32)</f>
        <v>1057710</v>
      </c>
      <c r="J33" s="1340"/>
      <c r="K33" s="1340">
        <f>SUM(K28:K32)</f>
        <v>133926</v>
      </c>
      <c r="L33" s="1340">
        <f>SUM(L25:L32)</f>
        <v>2049030</v>
      </c>
      <c r="M33" s="1340">
        <f>SUM(M25:M32)</f>
        <v>2048030</v>
      </c>
    </row>
    <row r="34" spans="2:13" ht="20.100000000000001" customHeight="1" x14ac:dyDescent="0.2">
      <c r="B34" s="1337" t="s">
        <v>2211</v>
      </c>
      <c r="C34" s="1341"/>
      <c r="D34" s="1342"/>
      <c r="E34" s="1343"/>
      <c r="F34" s="1343"/>
      <c r="G34" s="1343"/>
      <c r="H34" s="1343"/>
      <c r="I34" s="1343"/>
      <c r="J34" s="1343"/>
      <c r="K34" s="1343"/>
      <c r="L34" s="1340"/>
      <c r="M34" s="1343"/>
    </row>
    <row r="35" spans="2:13" ht="20.100000000000001" customHeight="1" x14ac:dyDescent="0.2">
      <c r="B35" s="1961" t="s">
        <v>2213</v>
      </c>
      <c r="C35" s="1962" t="s">
        <v>2192</v>
      </c>
      <c r="D35" s="1963" t="s">
        <v>2212</v>
      </c>
      <c r="E35" s="1964"/>
      <c r="F35" s="1964">
        <v>1058</v>
      </c>
      <c r="G35" s="1964"/>
      <c r="H35" s="1964"/>
      <c r="I35" s="1964">
        <v>1058</v>
      </c>
      <c r="J35" s="1964"/>
      <c r="K35" s="1964"/>
      <c r="L35" s="1964">
        <v>1058</v>
      </c>
      <c r="M35" s="1964" t="s">
        <v>2178</v>
      </c>
    </row>
    <row r="36" spans="2:13" ht="20.100000000000001" customHeight="1" x14ac:dyDescent="0.2">
      <c r="B36" s="1960" t="s">
        <v>2214</v>
      </c>
      <c r="C36" s="1338"/>
      <c r="D36" s="1339"/>
      <c r="E36" s="1340"/>
      <c r="F36" s="1340">
        <f>SUM(F35)</f>
        <v>1058</v>
      </c>
      <c r="G36" s="1340"/>
      <c r="H36" s="1340"/>
      <c r="I36" s="1340">
        <f>SUM(I35)</f>
        <v>1058</v>
      </c>
      <c r="J36" s="1340"/>
      <c r="K36" s="1340"/>
      <c r="L36" s="1340">
        <f>SUM(L35)</f>
        <v>1058</v>
      </c>
      <c r="M36" s="1340" t="s">
        <v>2178</v>
      </c>
    </row>
    <row r="37" spans="2:13" ht="20.100000000000001" customHeight="1" x14ac:dyDescent="0.2">
      <c r="B37" s="1337" t="s">
        <v>2218</v>
      </c>
      <c r="C37" s="1341"/>
      <c r="D37" s="1342"/>
      <c r="E37" s="1343"/>
      <c r="F37" s="1343"/>
      <c r="G37" s="1343"/>
      <c r="H37" s="1343"/>
      <c r="I37" s="1343"/>
      <c r="J37" s="1343"/>
      <c r="K37" s="1343"/>
      <c r="L37" s="1340"/>
      <c r="M37" s="1343"/>
    </row>
    <row r="38" spans="2:13" ht="20.100000000000001" customHeight="1" x14ac:dyDescent="0.2">
      <c r="B38" s="1337" t="s">
        <v>2219</v>
      </c>
      <c r="C38" s="1341"/>
      <c r="D38" s="1342"/>
      <c r="E38" s="1343"/>
      <c r="F38" s="1343"/>
      <c r="G38" s="1343"/>
      <c r="H38" s="1343"/>
      <c r="I38" s="1343"/>
      <c r="J38" s="1343"/>
      <c r="K38" s="1343"/>
      <c r="L38" s="1340"/>
      <c r="M38" s="1343"/>
    </row>
    <row r="39" spans="2:13" ht="20.100000000000001" customHeight="1" x14ac:dyDescent="0.2">
      <c r="B39" s="1337" t="s">
        <v>2215</v>
      </c>
      <c r="C39" s="1341">
        <v>84.242999999999995</v>
      </c>
      <c r="D39" s="1342" t="s">
        <v>2216</v>
      </c>
      <c r="E39" s="1343">
        <v>1770</v>
      </c>
      <c r="F39" s="1343"/>
      <c r="G39" s="1343">
        <v>1770</v>
      </c>
      <c r="H39" s="1343"/>
      <c r="I39" s="1343"/>
      <c r="J39" s="1343"/>
      <c r="K39" s="1343"/>
      <c r="L39" s="1340">
        <v>1700</v>
      </c>
      <c r="M39" s="1343" t="s">
        <v>2178</v>
      </c>
    </row>
    <row r="40" spans="2:13" ht="20.100000000000001" customHeight="1" x14ac:dyDescent="0.2">
      <c r="B40" s="1961" t="s">
        <v>2215</v>
      </c>
      <c r="C40" s="1962">
        <v>84.242999999999995</v>
      </c>
      <c r="D40" s="1963" t="s">
        <v>2217</v>
      </c>
      <c r="E40" s="1964"/>
      <c r="F40" s="1964">
        <v>1293</v>
      </c>
      <c r="G40" s="1964"/>
      <c r="H40" s="1964"/>
      <c r="I40" s="1964">
        <v>1293</v>
      </c>
      <c r="J40" s="1964"/>
      <c r="K40" s="1964"/>
      <c r="L40" s="1964">
        <v>1293</v>
      </c>
      <c r="M40" s="1964" t="s">
        <v>2178</v>
      </c>
    </row>
    <row r="41" spans="2:13" ht="20.100000000000001" customHeight="1" x14ac:dyDescent="0.2">
      <c r="B41" s="1960" t="s">
        <v>2235</v>
      </c>
      <c r="C41" s="1338"/>
      <c r="D41" s="1339"/>
      <c r="E41" s="1340"/>
      <c r="F41" s="1340"/>
      <c r="G41" s="1340"/>
      <c r="H41" s="1340"/>
      <c r="I41" s="1340"/>
      <c r="J41" s="1340"/>
      <c r="K41" s="1340"/>
      <c r="L41" s="1340"/>
      <c r="M41" s="1340"/>
    </row>
    <row r="42" spans="2:13" ht="20.100000000000001" customHeight="1" x14ac:dyDescent="0.2">
      <c r="B42" s="1337" t="s">
        <v>2236</v>
      </c>
      <c r="C42" s="1341"/>
      <c r="D42" s="1342"/>
      <c r="E42" s="1343">
        <f>SUM(E39:E41)</f>
        <v>1770</v>
      </c>
      <c r="F42" s="1343">
        <f>SUM(F40:F41)</f>
        <v>1293</v>
      </c>
      <c r="G42" s="1343">
        <f>SUM(G39:G40)</f>
        <v>1770</v>
      </c>
      <c r="H42" s="1343"/>
      <c r="I42" s="1343">
        <f>SUM(I39:I40)</f>
        <v>1293</v>
      </c>
      <c r="J42" s="1343"/>
      <c r="K42" s="1343"/>
      <c r="L42" s="1340">
        <f>SUM(L39:L41)</f>
        <v>2993</v>
      </c>
      <c r="M42" s="1343" t="s">
        <v>2178</v>
      </c>
    </row>
    <row r="43" spans="2:13" ht="20.100000000000001" customHeight="1" x14ac:dyDescent="0.2">
      <c r="B43" s="1337" t="s">
        <v>2220</v>
      </c>
      <c r="C43" s="1341"/>
      <c r="D43" s="1342"/>
      <c r="E43" s="1343"/>
      <c r="F43" s="1343"/>
      <c r="G43" s="1343"/>
      <c r="H43" s="1343"/>
      <c r="I43" s="1343"/>
      <c r="J43" s="1343"/>
      <c r="K43" s="1343"/>
      <c r="L43" s="1340"/>
      <c r="M43" s="1343"/>
    </row>
    <row r="44" spans="2:13" ht="20.100000000000001" customHeight="1" x14ac:dyDescent="0.2">
      <c r="B44" s="1337" t="s">
        <v>2221</v>
      </c>
      <c r="C44" s="1341"/>
      <c r="D44" s="1342"/>
      <c r="E44" s="1343"/>
      <c r="F44" s="1343"/>
      <c r="G44" s="1343"/>
      <c r="H44" s="1343"/>
      <c r="I44" s="1343"/>
      <c r="J44" s="1343"/>
      <c r="K44" s="1343"/>
      <c r="L44" s="1340"/>
      <c r="M44" s="1343"/>
    </row>
    <row r="45" spans="2:13" ht="20.100000000000001" customHeight="1" x14ac:dyDescent="0.2">
      <c r="B45" s="1337" t="s">
        <v>2222</v>
      </c>
      <c r="C45" s="1341">
        <v>93.242999999999995</v>
      </c>
      <c r="D45" s="1342" t="s">
        <v>2223</v>
      </c>
      <c r="E45" s="1343">
        <v>162927</v>
      </c>
      <c r="F45" s="1343">
        <v>232131</v>
      </c>
      <c r="G45" s="1343">
        <v>245385</v>
      </c>
      <c r="H45" s="1343"/>
      <c r="I45" s="1343">
        <v>214003</v>
      </c>
      <c r="J45" s="1343"/>
      <c r="K45" s="1343"/>
      <c r="L45" s="1340">
        <v>459388</v>
      </c>
      <c r="M45" s="1343">
        <v>459388</v>
      </c>
    </row>
    <row r="46" spans="2:13" ht="20.100000000000001" customHeight="1" x14ac:dyDescent="0.2">
      <c r="B46" s="1961" t="s">
        <v>2222</v>
      </c>
      <c r="C46" s="1962">
        <v>93.242999999999995</v>
      </c>
      <c r="D46" s="1963" t="s">
        <v>2224</v>
      </c>
      <c r="E46" s="1964"/>
      <c r="F46" s="1964">
        <v>255996</v>
      </c>
      <c r="G46" s="1964"/>
      <c r="H46" s="1964"/>
      <c r="I46" s="1964">
        <v>367749</v>
      </c>
      <c r="J46" s="1964"/>
      <c r="K46" s="1964"/>
      <c r="L46" s="1964">
        <v>367749</v>
      </c>
      <c r="M46" s="1964">
        <v>459388</v>
      </c>
    </row>
    <row r="47" spans="2:13" ht="20.100000000000001" customHeight="1" x14ac:dyDescent="0.2">
      <c r="B47" s="1960" t="s">
        <v>2225</v>
      </c>
      <c r="C47" s="1338"/>
      <c r="D47" s="1339"/>
      <c r="E47" s="1340"/>
      <c r="F47" s="1340"/>
      <c r="G47" s="1340"/>
      <c r="H47" s="1340"/>
      <c r="I47" s="1340"/>
      <c r="J47" s="1340"/>
      <c r="K47" s="1340"/>
      <c r="L47" s="1340"/>
      <c r="M47" s="1340"/>
    </row>
    <row r="48" spans="2:13" ht="20.100000000000001" customHeight="1" x14ac:dyDescent="0.2">
      <c r="B48" s="1337" t="s">
        <v>2226</v>
      </c>
      <c r="C48" s="1341"/>
      <c r="D48" s="1342"/>
      <c r="E48" s="1343">
        <f>SUM(E45:E47)</f>
        <v>162927</v>
      </c>
      <c r="F48" s="1343">
        <f>SUM(F45:F47)</f>
        <v>488127</v>
      </c>
      <c r="G48" s="1343">
        <f>SUM(G45:G46)</f>
        <v>245385</v>
      </c>
      <c r="H48" s="1343"/>
      <c r="I48" s="1343">
        <f>SUM(I45:I46)</f>
        <v>581752</v>
      </c>
      <c r="J48" s="1343"/>
      <c r="K48" s="1343"/>
      <c r="L48" s="1340">
        <f>SUM(L45:L46)</f>
        <v>827137</v>
      </c>
      <c r="M48" s="1343">
        <f>SUM(M45:M46)</f>
        <v>918776</v>
      </c>
    </row>
    <row r="49" spans="2:14" ht="20.100000000000001" customHeight="1" x14ac:dyDescent="0.2">
      <c r="B49" s="1337"/>
      <c r="C49" s="1341"/>
      <c r="D49" s="1342"/>
      <c r="E49" s="1343"/>
      <c r="F49" s="1343"/>
      <c r="G49" s="1343"/>
      <c r="H49" s="1343"/>
      <c r="I49" s="1343"/>
      <c r="J49" s="1343"/>
      <c r="K49" s="1343"/>
      <c r="L49" s="1340"/>
      <c r="M49" s="1343"/>
    </row>
    <row r="50" spans="2:14" ht="20.100000000000001" customHeight="1" x14ac:dyDescent="0.2">
      <c r="B50" s="1337" t="s">
        <v>2227</v>
      </c>
      <c r="C50" s="1341"/>
      <c r="D50" s="1342"/>
      <c r="E50" s="1343"/>
      <c r="F50" s="1343"/>
      <c r="G50" s="1343"/>
      <c r="H50" s="1343"/>
      <c r="I50" s="1343"/>
      <c r="J50" s="1343"/>
      <c r="K50" s="1343"/>
      <c r="L50" s="1340"/>
      <c r="M50" s="1343"/>
    </row>
    <row r="51" spans="2:14" ht="20.100000000000001" customHeight="1" x14ac:dyDescent="0.2">
      <c r="B51" s="1337" t="s">
        <v>2228</v>
      </c>
      <c r="C51" s="1341"/>
      <c r="D51" s="1342"/>
      <c r="E51" s="1343"/>
      <c r="F51" s="1343"/>
      <c r="G51" s="1343"/>
      <c r="H51" s="1343"/>
      <c r="I51" s="1343"/>
      <c r="J51" s="1343"/>
      <c r="K51" s="1343"/>
      <c r="L51" s="1340"/>
      <c r="M51" s="1343"/>
    </row>
    <row r="52" spans="2:14" ht="20.100000000000001" customHeight="1" x14ac:dyDescent="0.2">
      <c r="B52" s="1337" t="s">
        <v>2229</v>
      </c>
      <c r="C52" s="1341"/>
      <c r="D52" s="1342"/>
      <c r="E52" s="1343"/>
      <c r="F52" s="1343"/>
      <c r="G52" s="1343"/>
      <c r="H52" s="1343"/>
      <c r="I52" s="1343"/>
      <c r="J52" s="1343"/>
      <c r="K52" s="1343"/>
      <c r="L52" s="1340"/>
      <c r="M52" s="1343"/>
    </row>
    <row r="53" spans="2:14" ht="20.100000000000001" customHeight="1" x14ac:dyDescent="0.2">
      <c r="B53" s="1337" t="s">
        <v>2230</v>
      </c>
      <c r="C53" s="1341">
        <v>93.778000000000006</v>
      </c>
      <c r="D53" s="1342" t="s">
        <v>2231</v>
      </c>
      <c r="E53" s="1343">
        <v>23655</v>
      </c>
      <c r="F53" s="1343"/>
      <c r="G53" s="1343">
        <v>23655</v>
      </c>
      <c r="H53" s="1343"/>
      <c r="I53" s="1343"/>
      <c r="J53" s="1343"/>
      <c r="K53" s="1343"/>
      <c r="L53" s="1340">
        <v>23647</v>
      </c>
      <c r="M53" s="1343" t="s">
        <v>2178</v>
      </c>
    </row>
    <row r="54" spans="2:14" ht="20.100000000000001" customHeight="1" x14ac:dyDescent="0.2">
      <c r="B54" s="1961" t="s">
        <v>2230</v>
      </c>
      <c r="C54" s="1962">
        <v>93.778000000000006</v>
      </c>
      <c r="D54" s="1963" t="s">
        <v>2232</v>
      </c>
      <c r="E54" s="1964"/>
      <c r="F54" s="1964">
        <v>18208</v>
      </c>
      <c r="G54" s="1964"/>
      <c r="H54" s="1964"/>
      <c r="I54" s="1964">
        <v>18208</v>
      </c>
      <c r="J54" s="1964"/>
      <c r="K54" s="1964"/>
      <c r="L54" s="1964">
        <v>18208</v>
      </c>
      <c r="M54" s="1964" t="s">
        <v>2178</v>
      </c>
    </row>
    <row r="55" spans="2:14" ht="20.100000000000001" customHeight="1" x14ac:dyDescent="0.2">
      <c r="B55" s="1960" t="s">
        <v>2225</v>
      </c>
      <c r="C55" s="1338"/>
      <c r="D55" s="1339"/>
      <c r="E55" s="1340"/>
      <c r="F55" s="1340"/>
      <c r="G55" s="1340"/>
      <c r="H55" s="1340"/>
      <c r="I55" s="1340"/>
      <c r="J55" s="1340"/>
      <c r="K55" s="1340"/>
      <c r="L55" s="1340"/>
      <c r="M55" s="1340"/>
    </row>
    <row r="56" spans="2:14" ht="20.100000000000001" customHeight="1" x14ac:dyDescent="0.2">
      <c r="B56" s="1337" t="s">
        <v>2233</v>
      </c>
      <c r="C56" s="1341"/>
      <c r="D56" s="1342"/>
      <c r="E56" s="1343"/>
      <c r="F56" s="1343"/>
      <c r="G56" s="1343"/>
      <c r="H56" s="1343"/>
      <c r="I56" s="1343"/>
      <c r="J56" s="1343"/>
      <c r="K56" s="1343"/>
      <c r="L56" s="1340">
        <f t="shared" si="0"/>
        <v>0</v>
      </c>
      <c r="M56" s="1343"/>
    </row>
    <row r="57" spans="2:14" ht="20.100000000000001" customHeight="1" x14ac:dyDescent="0.2">
      <c r="B57" s="1961" t="s">
        <v>2234</v>
      </c>
      <c r="C57" s="1962"/>
      <c r="D57" s="1963"/>
      <c r="E57" s="1964">
        <f>SUM(E53:E56)</f>
        <v>23655</v>
      </c>
      <c r="F57" s="1964">
        <f>SUM(F54:F56)</f>
        <v>18208</v>
      </c>
      <c r="G57" s="1964">
        <f>SUM(G53:G54)</f>
        <v>23655</v>
      </c>
      <c r="H57" s="1964"/>
      <c r="I57" s="1964">
        <f>SUM(I54:I56)</f>
        <v>18208</v>
      </c>
      <c r="J57" s="1964"/>
      <c r="K57" s="1964"/>
      <c r="L57" s="1964">
        <f t="shared" si="0"/>
        <v>41863</v>
      </c>
      <c r="M57" s="1964" t="s">
        <v>2178</v>
      </c>
    </row>
    <row r="58" spans="2:14" ht="20.100000000000001" customHeight="1" x14ac:dyDescent="0.2">
      <c r="B58" s="1966" t="s">
        <v>2225</v>
      </c>
      <c r="C58" s="1967"/>
      <c r="D58" s="1968"/>
      <c r="E58" s="1969">
        <f>E48+E53</f>
        <v>186582</v>
      </c>
      <c r="F58" s="1969">
        <f>F57+F48</f>
        <v>506335</v>
      </c>
      <c r="G58" s="1969">
        <f>G57+G48</f>
        <v>269040</v>
      </c>
      <c r="H58" s="1969"/>
      <c r="I58" s="1969">
        <f>I57+I48</f>
        <v>599960</v>
      </c>
      <c r="J58" s="1969"/>
      <c r="K58" s="1969"/>
      <c r="L58" s="1969">
        <f>L57+L48</f>
        <v>869000</v>
      </c>
      <c r="M58" s="1969"/>
    </row>
    <row r="59" spans="2:14" ht="20.100000000000001" customHeight="1" x14ac:dyDescent="0.2">
      <c r="B59" s="1960"/>
      <c r="C59" s="1338"/>
      <c r="D59" s="1339"/>
      <c r="E59" s="1340"/>
      <c r="F59" s="1340"/>
      <c r="G59" s="1340"/>
      <c r="H59" s="1340"/>
      <c r="I59" s="1340"/>
      <c r="J59" s="1340"/>
      <c r="K59" s="1340"/>
      <c r="L59" s="1340"/>
      <c r="M59" s="1340"/>
    </row>
    <row r="60" spans="2:14" ht="20.100000000000001" customHeight="1" thickBot="1" x14ac:dyDescent="0.25">
      <c r="B60" s="1337" t="s">
        <v>2237</v>
      </c>
      <c r="C60" s="1341"/>
      <c r="D60" s="1342"/>
      <c r="E60" s="1965">
        <f>E58+E48+E42+E33+E22</f>
        <v>1575958</v>
      </c>
      <c r="F60" s="1965">
        <f>F58+F42+F36+F33+F22</f>
        <v>2157768</v>
      </c>
      <c r="G60" s="1965">
        <f>G58+G42+G33+G22</f>
        <v>1745437</v>
      </c>
      <c r="H60" s="1965"/>
      <c r="I60" s="1965">
        <f>I58+I42+I36+I33+I22</f>
        <v>2372803</v>
      </c>
      <c r="J60" s="1965"/>
      <c r="K60" s="1965">
        <f>K33</f>
        <v>133926</v>
      </c>
      <c r="L60" s="1965">
        <f>L58+L42+L36+L33+L22</f>
        <v>4252096</v>
      </c>
      <c r="M60" s="1965">
        <f>M48+M33</f>
        <v>2966806</v>
      </c>
    </row>
    <row r="61" spans="2:14" ht="20.100000000000001" customHeight="1" thickTop="1" x14ac:dyDescent="0.2">
      <c r="B61" s="1337"/>
      <c r="C61" s="1341"/>
      <c r="D61" s="1342"/>
      <c r="E61" s="1340"/>
      <c r="F61" s="1340"/>
      <c r="G61" s="1340"/>
      <c r="H61" s="1340"/>
      <c r="I61" s="1340"/>
      <c r="J61" s="1340"/>
      <c r="K61" s="1340"/>
      <c r="L61" s="1340"/>
      <c r="M61" s="1340"/>
    </row>
    <row r="62" spans="2:14" ht="20.100000000000001" customHeight="1" x14ac:dyDescent="0.2">
      <c r="B62" s="1337"/>
      <c r="C62" s="1341"/>
      <c r="D62" s="1342"/>
      <c r="E62" s="1343"/>
      <c r="F62" s="1343"/>
      <c r="G62" s="1343"/>
      <c r="H62" s="1343"/>
      <c r="I62" s="1343"/>
      <c r="J62" s="1343"/>
      <c r="K62" s="1343"/>
      <c r="L62" s="1340">
        <f t="shared" si="0"/>
        <v>0</v>
      </c>
      <c r="M62" s="1343"/>
    </row>
    <row r="63" spans="2:14" ht="20.100000000000001" customHeight="1" x14ac:dyDescent="0.2">
      <c r="B63" s="1337"/>
      <c r="C63" s="1341"/>
      <c r="D63" s="1342"/>
      <c r="E63" s="1343"/>
      <c r="F63" s="1343"/>
      <c r="G63" s="1343"/>
      <c r="H63" s="1343"/>
      <c r="I63" s="1343"/>
      <c r="J63" s="1343"/>
      <c r="K63" s="1343"/>
      <c r="L63" s="1340">
        <f t="shared" si="0"/>
        <v>0</v>
      </c>
      <c r="M63" s="1343"/>
      <c r="N63" s="1344"/>
    </row>
    <row r="64" spans="2:14" ht="12.75" customHeight="1" x14ac:dyDescent="0.2">
      <c r="B64" s="1345"/>
      <c r="C64" s="1346"/>
      <c r="D64" s="1347"/>
      <c r="E64" s="1348"/>
      <c r="F64" s="1348"/>
      <c r="G64" s="1348"/>
      <c r="H64" s="1348"/>
      <c r="I64" s="1348"/>
      <c r="J64" s="1348"/>
      <c r="K64" s="1348"/>
      <c r="L64" s="1348"/>
      <c r="M64" s="1348"/>
      <c r="N64" s="1344"/>
    </row>
    <row r="65" spans="2:14" x14ac:dyDescent="0.2">
      <c r="B65" s="1257"/>
      <c r="C65" s="1349"/>
      <c r="D65" s="1350"/>
      <c r="E65" s="1257"/>
      <c r="F65" s="1257"/>
      <c r="G65" s="1250"/>
      <c r="H65" s="1250"/>
      <c r="I65" s="1250"/>
      <c r="J65" s="1250"/>
      <c r="K65" s="1250"/>
      <c r="L65" s="1250"/>
      <c r="M65" s="1257"/>
      <c r="N65" s="1344"/>
    </row>
    <row r="66" spans="2:14" ht="13.5" customHeight="1" x14ac:dyDescent="0.2">
      <c r="B66" s="1282" t="s">
        <v>1837</v>
      </c>
      <c r="C66" s="1349"/>
      <c r="D66" s="1350"/>
      <c r="E66" s="1257"/>
      <c r="F66" s="1257"/>
      <c r="G66" s="1250"/>
      <c r="H66" s="1250"/>
      <c r="I66" s="1250"/>
      <c r="J66" s="1250"/>
      <c r="K66" s="1250"/>
      <c r="L66" s="1250"/>
      <c r="M66" s="1257"/>
      <c r="N66" s="1344"/>
    </row>
    <row r="67" spans="2:14" ht="8.25" customHeight="1" x14ac:dyDescent="0.2">
      <c r="B67" s="1282"/>
      <c r="C67" s="1349"/>
      <c r="D67" s="1350"/>
      <c r="E67" s="1257"/>
      <c r="F67" s="1257"/>
      <c r="G67" s="1250"/>
      <c r="H67" s="1250"/>
      <c r="I67" s="1250"/>
      <c r="J67" s="1250"/>
      <c r="K67" s="1250"/>
      <c r="L67" s="1250"/>
      <c r="M67" s="1257"/>
      <c r="N67" s="1344"/>
    </row>
    <row r="68" spans="2:14" x14ac:dyDescent="0.2">
      <c r="B68" s="1351" t="s">
        <v>1947</v>
      </c>
      <c r="C68" s="1352"/>
      <c r="D68" s="1353"/>
      <c r="E68" s="1354"/>
      <c r="F68" s="1354"/>
      <c r="G68" s="1354"/>
      <c r="H68" s="1354"/>
      <c r="I68" s="317"/>
      <c r="J68" s="317"/>
    </row>
    <row r="69" spans="2:14" x14ac:dyDescent="0.2">
      <c r="B69" s="1277"/>
      <c r="C69" s="1355"/>
      <c r="D69" s="1356"/>
      <c r="E69" s="1278"/>
      <c r="F69" s="1278"/>
      <c r="G69" s="317"/>
      <c r="H69" s="317"/>
      <c r="I69" s="317"/>
      <c r="J69" s="317"/>
    </row>
    <row r="70" spans="2:14" ht="13.5" customHeight="1" x14ac:dyDescent="0.2">
      <c r="B70" s="1276"/>
      <c r="G70" s="317"/>
      <c r="H70" s="317"/>
      <c r="I70" s="317"/>
      <c r="J70" s="317"/>
    </row>
    <row r="71" spans="2:14" ht="13.5" customHeight="1" x14ac:dyDescent="0.2">
      <c r="B71" s="1359"/>
      <c r="C71" s="1360"/>
      <c r="D71" s="1361"/>
      <c r="E71" s="1297"/>
      <c r="F71" s="1297"/>
      <c r="G71" s="1297"/>
      <c r="H71" s="1297"/>
      <c r="I71" s="1297"/>
      <c r="J71" s="1297"/>
      <c r="K71" s="1362"/>
      <c r="L71" s="1362"/>
      <c r="M71" s="1297"/>
    </row>
    <row r="72" spans="2:14" ht="9.6" customHeight="1" x14ac:dyDescent="0.2">
      <c r="B72" s="1363"/>
      <c r="G72" s="317"/>
      <c r="H72" s="317"/>
      <c r="I72" s="317"/>
      <c r="J72" s="317"/>
    </row>
    <row r="73" spans="2:14" ht="11.25" customHeight="1" x14ac:dyDescent="0.2">
      <c r="B73" s="1364" t="s">
        <v>1838</v>
      </c>
      <c r="C73" s="1365"/>
      <c r="D73" s="1365"/>
      <c r="E73" s="1365"/>
      <c r="F73" s="1365"/>
      <c r="G73" s="1365"/>
      <c r="H73" s="1365"/>
      <c r="I73" s="1366"/>
      <c r="J73" s="1366"/>
      <c r="K73" s="1366"/>
      <c r="L73" s="1366"/>
      <c r="M73" s="1366"/>
    </row>
    <row r="74" spans="2:14" ht="11.25" customHeight="1" x14ac:dyDescent="0.2">
      <c r="B74" s="1367" t="s">
        <v>1665</v>
      </c>
      <c r="C74" s="1366"/>
      <c r="D74" s="1366"/>
      <c r="E74" s="1366"/>
      <c r="F74" s="1366"/>
      <c r="G74" s="1366"/>
      <c r="H74" s="1366"/>
      <c r="I74" s="1366"/>
      <c r="J74" s="1366"/>
      <c r="K74" s="1366"/>
      <c r="L74" s="1366"/>
      <c r="M74" s="1366"/>
    </row>
    <row r="75" spans="2:14" ht="3.95" customHeight="1" x14ac:dyDescent="0.2">
      <c r="B75" s="1367"/>
      <c r="C75" s="1366"/>
      <c r="D75" s="1366"/>
      <c r="E75" s="1366"/>
      <c r="F75" s="1366"/>
      <c r="G75" s="1366"/>
      <c r="H75" s="1366"/>
      <c r="I75" s="1366"/>
      <c r="J75" s="1366"/>
      <c r="K75" s="1366"/>
      <c r="L75" s="1366"/>
      <c r="M75" s="1366"/>
    </row>
    <row r="76" spans="2:14" ht="11.25" customHeight="1" x14ac:dyDescent="0.2">
      <c r="B76" s="1364" t="s">
        <v>1839</v>
      </c>
      <c r="C76" s="1366"/>
      <c r="D76" s="1366"/>
      <c r="E76" s="1366"/>
      <c r="F76" s="1366"/>
      <c r="G76" s="1366"/>
      <c r="H76" s="1366"/>
      <c r="I76" s="1366"/>
      <c r="J76" s="1366"/>
      <c r="K76" s="1366"/>
      <c r="L76" s="1366"/>
      <c r="M76" s="1366"/>
    </row>
    <row r="77" spans="2:14" ht="11.25" customHeight="1" x14ac:dyDescent="0.2">
      <c r="B77" s="1300" t="s">
        <v>1666</v>
      </c>
      <c r="C77" s="1368"/>
      <c r="D77" s="1369"/>
      <c r="E77" s="1300"/>
      <c r="F77" s="1300"/>
      <c r="G77" s="1300"/>
      <c r="H77" s="1300"/>
      <c r="I77" s="1300"/>
      <c r="J77" s="1300"/>
      <c r="K77" s="1370"/>
      <c r="L77" s="1370"/>
      <c r="M77" s="1300"/>
    </row>
    <row r="78" spans="2:14" ht="3.95" customHeight="1" x14ac:dyDescent="0.2">
      <c r="B78" s="1300"/>
      <c r="C78" s="1368"/>
      <c r="D78" s="1369"/>
      <c r="E78" s="1300"/>
      <c r="F78" s="1300"/>
      <c r="G78" s="1300"/>
      <c r="H78" s="1300"/>
      <c r="I78" s="1300"/>
      <c r="J78" s="1300"/>
      <c r="K78" s="1370"/>
      <c r="L78" s="1370"/>
      <c r="M78" s="1300"/>
    </row>
    <row r="79" spans="2:14" ht="11.25" customHeight="1" x14ac:dyDescent="0.2">
      <c r="B79" s="1371" t="s">
        <v>1840</v>
      </c>
      <c r="C79" s="1368"/>
      <c r="D79" s="1369"/>
      <c r="E79" s="1300"/>
      <c r="F79" s="1300"/>
      <c r="G79" s="1300"/>
      <c r="H79" s="1300"/>
      <c r="I79" s="1300"/>
      <c r="J79" s="1300"/>
      <c r="K79" s="1370"/>
      <c r="L79" s="1370"/>
      <c r="M79" s="1300"/>
    </row>
    <row r="80" spans="2:14" ht="3.95" customHeight="1" x14ac:dyDescent="0.2">
      <c r="B80" s="1371"/>
      <c r="C80" s="1368"/>
      <c r="D80" s="1369"/>
      <c r="E80" s="1300"/>
      <c r="F80" s="1300"/>
      <c r="G80" s="1300"/>
      <c r="H80" s="1300"/>
      <c r="I80" s="1300"/>
      <c r="J80" s="1300"/>
      <c r="K80" s="1370"/>
      <c r="L80" s="1370"/>
      <c r="M80" s="1300"/>
    </row>
    <row r="81" spans="2:13" ht="11.25" customHeight="1" x14ac:dyDescent="0.2">
      <c r="B81" s="1372" t="s">
        <v>1841</v>
      </c>
      <c r="C81" s="1368"/>
      <c r="D81" s="1369"/>
      <c r="E81" s="1300"/>
      <c r="F81" s="1300"/>
      <c r="G81" s="1300"/>
      <c r="H81" s="1300"/>
      <c r="I81" s="1300"/>
      <c r="J81" s="1300"/>
      <c r="K81" s="1370"/>
      <c r="L81" s="1370"/>
      <c r="M81" s="1300"/>
    </row>
    <row r="82" spans="2:13" ht="11.25" customHeight="1" x14ac:dyDescent="0.2">
      <c r="B82" s="1300" t="s">
        <v>1667</v>
      </c>
      <c r="G82" s="317"/>
      <c r="H82" s="317"/>
      <c r="I82" s="317"/>
      <c r="J82" s="317"/>
    </row>
    <row r="83" spans="2:13" ht="11.1" customHeight="1" x14ac:dyDescent="0.2">
      <c r="B83" s="1300"/>
      <c r="G83" s="317"/>
      <c r="H83" s="317"/>
      <c r="I83" s="317"/>
      <c r="J83" s="317"/>
    </row>
    <row r="84" spans="2:13" ht="11.1" customHeight="1" x14ac:dyDescent="0.2">
      <c r="B84" s="1300"/>
      <c r="G84" s="317"/>
      <c r="H84" s="317"/>
      <c r="I84" s="317"/>
      <c r="J84" s="317"/>
    </row>
    <row r="85" spans="2:13" ht="13.5" customHeight="1" x14ac:dyDescent="0.2">
      <c r="M85" s="1373"/>
    </row>
    <row r="86" spans="2:13" ht="13.5" customHeight="1" x14ac:dyDescent="0.2">
      <c r="M86" s="1373"/>
    </row>
    <row r="87" spans="2:13" ht="13.5" customHeight="1" x14ac:dyDescent="0.2">
      <c r="M87" s="1373"/>
    </row>
    <row r="88" spans="2:13" ht="13.5" customHeight="1" x14ac:dyDescent="0.2">
      <c r="G88" s="317"/>
      <c r="H88" s="317"/>
      <c r="I88" s="317"/>
      <c r="J88" s="317"/>
    </row>
    <row r="89" spans="2:13" ht="13.5" customHeight="1" x14ac:dyDescent="0.2">
      <c r="G89" s="317"/>
      <c r="H89" s="317"/>
      <c r="I89" s="317"/>
      <c r="J89" s="317"/>
    </row>
    <row r="90" spans="2:13" ht="13.5" customHeight="1" x14ac:dyDescent="0.2">
      <c r="G90" s="317"/>
      <c r="H90" s="317"/>
      <c r="I90" s="317"/>
      <c r="J90" s="317"/>
    </row>
    <row r="91" spans="2:13" ht="13.5" customHeight="1" x14ac:dyDescent="0.2">
      <c r="G91" s="317"/>
      <c r="H91" s="317"/>
      <c r="I91" s="317"/>
      <c r="J91" s="317"/>
    </row>
    <row r="92" spans="2:13" ht="13.5" customHeight="1" x14ac:dyDescent="0.2">
      <c r="G92" s="317"/>
      <c r="H92" s="317"/>
      <c r="I92" s="317"/>
      <c r="J92" s="317"/>
    </row>
    <row r="93" spans="2:13" ht="13.5" customHeight="1" x14ac:dyDescent="0.2">
      <c r="G93" s="317"/>
      <c r="H93" s="317"/>
      <c r="I93" s="317"/>
      <c r="J93" s="317"/>
    </row>
    <row r="94" spans="2:13" ht="13.5" customHeight="1" x14ac:dyDescent="0.2">
      <c r="G94" s="317"/>
      <c r="H94" s="317"/>
      <c r="I94" s="317"/>
      <c r="J94" s="317"/>
    </row>
    <row r="95" spans="2:13" ht="13.5" customHeight="1" x14ac:dyDescent="0.2"/>
    <row r="96" spans="2:13" ht="13.5" customHeight="1" x14ac:dyDescent="0.2"/>
    <row r="97" ht="13.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25.5" customHeight="1" x14ac:dyDescent="0.2"/>
    <row r="108" ht="25.5" customHeight="1" x14ac:dyDescent="0.2"/>
    <row r="109" ht="25.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4.7" customHeight="1" x14ac:dyDescent="0.2"/>
    <row r="148" ht="12.2"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4.7" customHeight="1" x14ac:dyDescent="0.2"/>
    <row r="188" ht="12.2" customHeight="1" x14ac:dyDescent="0.2"/>
  </sheetData>
  <mergeCells count="4">
    <mergeCell ref="B1:M1"/>
    <mergeCell ref="B2:M2"/>
    <mergeCell ref="B3:M3"/>
    <mergeCell ref="B4:M4"/>
  </mergeCells>
  <pageMargins left="0.09" right="0" top="0.5" bottom="0.5" header="0.25" footer="0.25"/>
  <pageSetup scale="83" firstPageNumber="82" orientation="landscape" useFirstPageNumber="1" r:id="rId1"/>
  <headerFooter alignWithMargins="0">
    <oddFooter>&amp;CThe notes to the financial statements are an integral part of this statement.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1730</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1389</v>
      </c>
      <c r="B70" s="2103"/>
      <c r="C70" s="2103"/>
      <c r="D70" s="2103"/>
      <c r="E70" s="2104"/>
      <c r="F70" s="2104"/>
      <c r="G70" s="2104"/>
      <c r="H70" s="2104"/>
      <c r="I70" s="210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1386</v>
      </c>
      <c r="B83" s="2105"/>
      <c r="C83" s="2105"/>
      <c r="D83" s="210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1396</v>
      </c>
      <c r="D117" s="2098"/>
      <c r="E117" s="2099"/>
      <c r="F117" s="2099"/>
      <c r="G117" s="2099"/>
      <c r="H117" s="209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 xml:space="preserve">&amp;C </oddHeader>
    <oddFooter>&amp;C92</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2" zoomScale="110" zoomScaleNormal="110" workbookViewId="0">
      <selection activeCell="I47" sqref="I4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Harrisburg CUSD 3</v>
      </c>
      <c r="C1" s="2486"/>
      <c r="D1" s="2486"/>
      <c r="E1" s="2486"/>
      <c r="F1" s="2486"/>
      <c r="G1" s="2486"/>
      <c r="H1" s="2486"/>
      <c r="I1" s="2486"/>
      <c r="J1" s="1422"/>
    </row>
    <row r="2" spans="2:10" s="317" customFormat="1" ht="12.75" customHeight="1" x14ac:dyDescent="0.2">
      <c r="B2" s="2487">
        <f>'Single Audit Cover'!E7</f>
        <v>20083003026</v>
      </c>
      <c r="C2" s="2488"/>
      <c r="D2" s="2488"/>
      <c r="E2" s="2488"/>
      <c r="F2" s="2488"/>
      <c r="G2" s="2488"/>
      <c r="H2" s="2488"/>
      <c r="I2" s="2488"/>
      <c r="J2" s="1422"/>
    </row>
    <row r="3" spans="2:10" s="317" customFormat="1" ht="12.75" customHeight="1" x14ac:dyDescent="0.2">
      <c r="B3" s="2489" t="s">
        <v>1346</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1345</v>
      </c>
      <c r="C7" s="2490"/>
      <c r="D7" s="2490"/>
      <c r="E7" s="2490"/>
      <c r="F7" s="2490"/>
      <c r="G7" s="2490"/>
      <c r="H7" s="2490"/>
      <c r="I7" s="249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1" t="s">
        <v>2242</v>
      </c>
      <c r="D11" s="2491"/>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940</v>
      </c>
      <c r="G15" s="1438" t="s">
        <v>2153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940</v>
      </c>
      <c r="G18" s="1438" t="s">
        <v>2153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940</v>
      </c>
      <c r="G20" s="1438" t="s">
        <v>2153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940</v>
      </c>
      <c r="G24" s="1438" t="s">
        <v>2153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940</v>
      </c>
      <c r="G27" s="1438" t="s">
        <v>2153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2" t="s">
        <v>2243</v>
      </c>
      <c r="E29" s="2492"/>
      <c r="F29" s="2492"/>
      <c r="G29" s="2492"/>
      <c r="H29" s="2492"/>
      <c r="I29" s="2492"/>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940</v>
      </c>
      <c r="G33" s="1438" t="s">
        <v>2244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3" t="s">
        <v>1851</v>
      </c>
      <c r="D37" s="2494"/>
      <c r="E37" s="2494"/>
      <c r="F37" s="2495"/>
      <c r="G37" s="2493" t="s">
        <v>1673</v>
      </c>
      <c r="H37" s="2494"/>
      <c r="I37" s="2495"/>
    </row>
    <row r="38" spans="2:9" ht="16.5" customHeight="1" x14ac:dyDescent="0.2">
      <c r="B38" s="1444" t="s">
        <v>2245</v>
      </c>
      <c r="C38" s="2481" t="s">
        <v>2246</v>
      </c>
      <c r="D38" s="2482"/>
      <c r="E38" s="2482"/>
      <c r="F38" s="2483"/>
      <c r="G38" s="2496">
        <v>712782</v>
      </c>
      <c r="H38" s="2497"/>
      <c r="I38" s="2498"/>
    </row>
    <row r="39" spans="2:9" ht="16.5" customHeight="1" x14ac:dyDescent="0.2">
      <c r="B39" s="1444" t="s">
        <v>2247</v>
      </c>
      <c r="C39" s="2481" t="s">
        <v>2248</v>
      </c>
      <c r="D39" s="2482"/>
      <c r="E39" s="2482"/>
      <c r="F39" s="2483"/>
      <c r="G39" s="2484">
        <v>819749</v>
      </c>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99" t="s">
        <v>1674</v>
      </c>
      <c r="D43" s="2500"/>
      <c r="E43" s="2500"/>
      <c r="F43" s="2501"/>
      <c r="G43" s="2502">
        <f>SUM(G38:I42)</f>
        <v>1532531</v>
      </c>
      <c r="H43" s="2502"/>
      <c r="I43" s="2502"/>
    </row>
    <row r="44" spans="2:9" ht="12.75" customHeight="1" x14ac:dyDescent="0.2"/>
    <row r="45" spans="2:9" ht="12.75" customHeight="1" x14ac:dyDescent="0.2">
      <c r="B45" s="1435" t="s">
        <v>1948</v>
      </c>
      <c r="D45" s="2503">
        <v>2372802</v>
      </c>
      <c r="E45" s="2504"/>
    </row>
    <row r="46" spans="2:9" ht="5.25" customHeight="1" x14ac:dyDescent="0.2">
      <c r="B46" s="1445"/>
      <c r="D46" s="1446"/>
      <c r="E46" s="1447"/>
    </row>
    <row r="47" spans="2:9" ht="12.75" customHeight="1" x14ac:dyDescent="0.2">
      <c r="B47" s="1300" t="s">
        <v>1675</v>
      </c>
      <c r="C47" s="1300"/>
      <c r="D47" s="1448">
        <f>+G43/D45</f>
        <v>0.64587394987023783</v>
      </c>
      <c r="E47" s="1449"/>
      <c r="F47" s="1450"/>
      <c r="I47" s="1451"/>
    </row>
    <row r="48" spans="2:9" ht="9.9499999999999993" customHeight="1" x14ac:dyDescent="0.2"/>
    <row r="49" spans="1:9" x14ac:dyDescent="0.2">
      <c r="B49" s="1368" t="s">
        <v>1334</v>
      </c>
      <c r="C49" s="1282"/>
      <c r="D49" s="1282"/>
      <c r="E49" s="2505">
        <v>750000</v>
      </c>
      <c r="F49" s="2505"/>
      <c r="G49" s="2505"/>
      <c r="H49" s="322"/>
    </row>
    <row r="51" spans="1:9" ht="13.5" customHeight="1" x14ac:dyDescent="0.2">
      <c r="B51" s="1368" t="s">
        <v>1333</v>
      </c>
      <c r="C51" s="1282"/>
      <c r="E51" s="1438"/>
      <c r="F51" s="1300" t="s">
        <v>940</v>
      </c>
      <c r="G51" s="1438" t="s">
        <v>2244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1678</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&amp;C87</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Harrisburg CUSD 3</v>
      </c>
      <c r="C1" s="2485"/>
      <c r="D1" s="2485"/>
      <c r="E1" s="2485"/>
      <c r="F1" s="2485"/>
      <c r="G1" s="2485"/>
      <c r="H1" s="2485"/>
      <c r="I1" s="2485"/>
      <c r="J1" s="2485"/>
      <c r="K1" s="2485"/>
      <c r="L1" s="1374"/>
      <c r="M1" s="1374"/>
    </row>
    <row r="2" spans="1:13" ht="12" customHeight="1" x14ac:dyDescent="0.2">
      <c r="B2" s="2487">
        <f>'Single Audit Cover'!E7</f>
        <v>20083003026</v>
      </c>
      <c r="C2" s="2487"/>
      <c r="D2" s="2487"/>
      <c r="E2" s="2487"/>
      <c r="F2" s="2487"/>
      <c r="G2" s="2487"/>
      <c r="H2" s="2487"/>
      <c r="I2" s="2487"/>
      <c r="J2" s="2487"/>
      <c r="K2" s="2487"/>
      <c r="L2" s="1375"/>
      <c r="M2" s="1376"/>
    </row>
    <row r="3" spans="1:13" ht="10.35" customHeight="1" x14ac:dyDescent="0.2">
      <c r="B3" s="2508" t="s">
        <v>1346</v>
      </c>
      <c r="C3" s="2508"/>
      <c r="D3" s="2508"/>
      <c r="E3" s="2508"/>
      <c r="F3" s="2508"/>
      <c r="G3" s="2508"/>
      <c r="H3" s="2508"/>
      <c r="I3" s="2508"/>
      <c r="J3" s="2508"/>
      <c r="K3" s="2508"/>
      <c r="L3" s="1377"/>
      <c r="M3" s="1377"/>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9" t="s">
        <v>1362</v>
      </c>
      <c r="C7" s="2509"/>
      <c r="D7" s="2510"/>
      <c r="E7" s="2510"/>
      <c r="F7" s="2510"/>
      <c r="G7" s="2510"/>
      <c r="H7" s="2510"/>
      <c r="I7" s="2510"/>
      <c r="J7" s="2510"/>
      <c r="K7" s="2510"/>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1949</v>
      </c>
      <c r="D10" s="1386" t="s">
        <v>2178</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7"/>
      <c r="C14" s="2507"/>
      <c r="D14" s="2507"/>
      <c r="E14" s="2507"/>
      <c r="F14" s="2507"/>
      <c r="G14" s="2507"/>
      <c r="H14" s="2507"/>
      <c r="I14" s="2507"/>
      <c r="J14" s="2507"/>
      <c r="K14" s="2507"/>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7"/>
      <c r="C17" s="2507"/>
      <c r="D17" s="2507"/>
      <c r="E17" s="2507"/>
      <c r="F17" s="2507"/>
      <c r="G17" s="2507"/>
      <c r="H17" s="2507"/>
      <c r="I17" s="2507"/>
      <c r="J17" s="2507"/>
      <c r="K17" s="2507"/>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1"/>
      <c r="C20" s="2511"/>
      <c r="D20" s="2507"/>
      <c r="E20" s="2507"/>
      <c r="F20" s="2507"/>
      <c r="G20" s="2507"/>
      <c r="H20" s="2507"/>
      <c r="I20" s="2507"/>
      <c r="J20" s="2507"/>
      <c r="K20" s="2507"/>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7"/>
      <c r="C23" s="2507"/>
      <c r="D23" s="2507"/>
      <c r="E23" s="2507"/>
      <c r="F23" s="2507"/>
      <c r="G23" s="2507"/>
      <c r="H23" s="2507"/>
      <c r="I23" s="2507"/>
      <c r="J23" s="2507"/>
      <c r="K23" s="2507"/>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7"/>
      <c r="C26" s="2507"/>
      <c r="D26" s="2507"/>
      <c r="E26" s="2507"/>
      <c r="F26" s="2507"/>
      <c r="G26" s="2507"/>
      <c r="H26" s="2507"/>
      <c r="I26" s="2507"/>
      <c r="J26" s="2507"/>
      <c r="K26" s="2507"/>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506"/>
      <c r="C29" s="2506"/>
      <c r="D29" s="2507"/>
      <c r="E29" s="2507"/>
      <c r="F29" s="2507"/>
      <c r="G29" s="2507"/>
      <c r="H29" s="2507"/>
      <c r="I29" s="2507"/>
      <c r="J29" s="2507"/>
      <c r="K29" s="2507"/>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6"/>
      <c r="C32" s="2506"/>
      <c r="D32" s="2507"/>
      <c r="E32" s="2507"/>
      <c r="F32" s="2507"/>
      <c r="G32" s="2507"/>
      <c r="H32" s="2507"/>
      <c r="I32" s="2507"/>
      <c r="J32" s="2507"/>
      <c r="K32" s="2507"/>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1846</v>
      </c>
      <c r="C38" s="1420"/>
    </row>
    <row r="39" spans="1:13" ht="9.6" customHeight="1" x14ac:dyDescent="0.2">
      <c r="B39" s="1300" t="s">
        <v>1347</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G8" sqref="G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2" t="str">
        <f>'Single Audit Cover'!A7</f>
        <v>Harrisburg CUSD 3</v>
      </c>
      <c r="C1" s="2512"/>
      <c r="D1" s="2512"/>
      <c r="E1" s="2512"/>
      <c r="F1" s="2512"/>
      <c r="G1" s="2512"/>
      <c r="H1" s="2512"/>
      <c r="I1" s="2512"/>
      <c r="J1" s="2512"/>
      <c r="K1" s="2512"/>
      <c r="L1" s="1465"/>
    </row>
    <row r="2" spans="1:12" ht="12.75" customHeight="1" x14ac:dyDescent="0.2">
      <c r="B2" s="2513">
        <f>'Single Audit Cover'!E7</f>
        <v>20083003026</v>
      </c>
      <c r="C2" s="2513"/>
      <c r="D2" s="2513"/>
      <c r="E2" s="2513"/>
      <c r="F2" s="2513"/>
      <c r="G2" s="2513"/>
      <c r="H2" s="2513"/>
      <c r="I2" s="2513"/>
      <c r="J2" s="2513"/>
      <c r="K2" s="2513"/>
      <c r="L2" s="1466"/>
    </row>
    <row r="3" spans="1:12" ht="12.75" customHeight="1" x14ac:dyDescent="0.2">
      <c r="B3" s="2508" t="s">
        <v>1346</v>
      </c>
      <c r="C3" s="2508"/>
      <c r="D3" s="2508"/>
      <c r="E3" s="2508"/>
      <c r="F3" s="2508"/>
      <c r="G3" s="2508"/>
      <c r="H3" s="2508"/>
      <c r="I3" s="2508"/>
      <c r="J3" s="2508"/>
      <c r="K3" s="2508"/>
      <c r="L3" s="1377"/>
    </row>
    <row r="4" spans="1:12" ht="12.75" customHeight="1" x14ac:dyDescent="0.2">
      <c r="B4" s="2508" t="str">
        <f>'Single Audit Cover'!A4</f>
        <v>Year Ending June 30, 2018</v>
      </c>
      <c r="C4" s="2508"/>
      <c r="D4" s="2508"/>
      <c r="E4" s="2508"/>
      <c r="F4" s="2508"/>
      <c r="G4" s="2508"/>
      <c r="H4" s="2508"/>
      <c r="I4" s="2508"/>
      <c r="J4" s="2508"/>
      <c r="K4" s="2508"/>
      <c r="L4" s="1377"/>
    </row>
    <row r="5" spans="1:12" ht="5.25" customHeight="1" x14ac:dyDescent="0.2">
      <c r="B5" s="1260" t="s">
        <v>1231</v>
      </c>
      <c r="C5" s="1260"/>
      <c r="L5" s="322"/>
    </row>
    <row r="6" spans="1:12" ht="30.75" customHeight="1" x14ac:dyDescent="0.2">
      <c r="A6" s="322"/>
      <c r="B6" s="2514" t="s">
        <v>1374</v>
      </c>
      <c r="C6" s="2514"/>
      <c r="D6" s="2514"/>
      <c r="E6" s="2514"/>
      <c r="F6" s="2514"/>
      <c r="G6" s="2514"/>
      <c r="H6" s="2514"/>
      <c r="I6" s="2514"/>
      <c r="J6" s="2514"/>
      <c r="K6" s="251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1949</v>
      </c>
      <c r="D8" s="1468" t="s">
        <v>2178</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2"/>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15"/>
      <c r="E14" s="2515"/>
      <c r="F14" s="2515"/>
      <c r="H14" s="1475" t="s">
        <v>1369</v>
      </c>
      <c r="I14" s="2516"/>
      <c r="J14" s="2516"/>
      <c r="K14" s="251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16"/>
      <c r="E16" s="2516"/>
      <c r="F16" s="2516"/>
      <c r="G16" s="2516"/>
      <c r="H16" s="2516"/>
      <c r="I16" s="2516"/>
      <c r="J16" s="2516"/>
      <c r="K16" s="2516"/>
      <c r="L16" s="322"/>
    </row>
    <row r="17" spans="2:12" ht="13.5" customHeight="1" x14ac:dyDescent="0.2">
      <c r="B17" s="1387" t="s">
        <v>1367</v>
      </c>
      <c r="C17" s="1387"/>
      <c r="D17" s="2517"/>
      <c r="E17" s="2517"/>
      <c r="F17" s="2517"/>
      <c r="G17" s="2517"/>
      <c r="H17" s="2517"/>
      <c r="I17" s="2517"/>
      <c r="J17" s="2517"/>
      <c r="K17" s="251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507"/>
      <c r="C20" s="2507"/>
      <c r="D20" s="2507"/>
      <c r="E20" s="2507"/>
      <c r="F20" s="2507"/>
      <c r="G20" s="2507"/>
      <c r="H20" s="2507"/>
      <c r="I20" s="2507"/>
      <c r="J20" s="2507"/>
      <c r="K20" s="2507"/>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7"/>
      <c r="C23" s="2507"/>
      <c r="D23" s="2507"/>
      <c r="E23" s="2507"/>
      <c r="F23" s="2507"/>
      <c r="G23" s="2507"/>
      <c r="H23" s="2507"/>
      <c r="I23" s="2507"/>
      <c r="J23" s="2507"/>
      <c r="K23" s="2507"/>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7"/>
      <c r="C26" s="2507"/>
      <c r="D26" s="2507"/>
      <c r="E26" s="2507"/>
      <c r="F26" s="2507"/>
      <c r="G26" s="2507"/>
      <c r="H26" s="2507"/>
      <c r="I26" s="2507"/>
      <c r="J26" s="2507"/>
      <c r="K26" s="2507"/>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7"/>
      <c r="C29" s="2507"/>
      <c r="D29" s="2507"/>
      <c r="E29" s="2507"/>
      <c r="F29" s="2507"/>
      <c r="G29" s="2507"/>
      <c r="H29" s="2507"/>
      <c r="I29" s="2507"/>
      <c r="J29" s="2507"/>
      <c r="K29" s="2507"/>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507"/>
      <c r="C32" s="2507"/>
      <c r="D32" s="2507"/>
      <c r="E32" s="2507"/>
      <c r="F32" s="2507"/>
      <c r="G32" s="2507"/>
      <c r="H32" s="2507"/>
      <c r="I32" s="2507"/>
      <c r="J32" s="2507"/>
      <c r="K32" s="2507"/>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507"/>
      <c r="C35" s="2507"/>
      <c r="D35" s="2507"/>
      <c r="E35" s="2507"/>
      <c r="F35" s="2507"/>
      <c r="G35" s="2507"/>
      <c r="H35" s="2507"/>
      <c r="I35" s="2507"/>
      <c r="J35" s="2507"/>
      <c r="K35" s="2507"/>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507"/>
      <c r="C38" s="2507"/>
      <c r="D38" s="2507"/>
      <c r="E38" s="2507"/>
      <c r="F38" s="2507"/>
      <c r="G38" s="2507"/>
      <c r="H38" s="2507"/>
      <c r="I38" s="2507"/>
      <c r="J38" s="2507"/>
      <c r="K38" s="2507"/>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7"/>
      <c r="C41" s="2507"/>
      <c r="D41" s="2507"/>
      <c r="E41" s="2507"/>
      <c r="F41" s="2507"/>
      <c r="G41" s="2507"/>
      <c r="H41" s="2507"/>
      <c r="I41" s="2507"/>
      <c r="J41" s="2507"/>
      <c r="K41" s="2507"/>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&amp;C89</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Harrisburg CUSD 3</v>
      </c>
      <c r="C1" s="2485"/>
      <c r="D1" s="2485"/>
      <c r="E1" s="1491"/>
    </row>
    <row r="2" spans="2:5" s="1282" customFormat="1" ht="12.75" customHeight="1" x14ac:dyDescent="0.2">
      <c r="B2" s="2487">
        <f>'Single Audit Cover'!E7</f>
        <v>20083003026</v>
      </c>
      <c r="C2" s="2487"/>
      <c r="D2" s="2487"/>
      <c r="E2" s="1492"/>
    </row>
    <row r="3" spans="2:5" ht="12.75" customHeight="1" x14ac:dyDescent="0.2">
      <c r="B3" s="2508" t="s">
        <v>1866</v>
      </c>
      <c r="C3" s="2508"/>
      <c r="D3" s="2508"/>
      <c r="E3" s="1274"/>
    </row>
    <row r="4" spans="2:5" s="1282" customFormat="1" ht="12.75" customHeight="1" x14ac:dyDescent="0.2">
      <c r="B4" s="2518" t="str">
        <f>'Single Audit Cover'!A4</f>
        <v>Year Ending June 30, 2018</v>
      </c>
      <c r="C4" s="2518"/>
      <c r="D4" s="2518"/>
      <c r="E4" s="1493"/>
    </row>
    <row r="5" spans="2:5" s="1282" customFormat="1" ht="40.15" customHeight="1" x14ac:dyDescent="0.2">
      <c r="B5" s="1494" t="s">
        <v>1867</v>
      </c>
      <c r="C5" s="328"/>
      <c r="D5" s="328"/>
      <c r="E5" s="328"/>
    </row>
    <row r="6" spans="2:5" s="1282" customFormat="1" ht="13.5" customHeight="1" x14ac:dyDescent="0.2">
      <c r="B6" s="1495" t="s">
        <v>1381</v>
      </c>
      <c r="C6" s="1495" t="s">
        <v>1380</v>
      </c>
      <c r="D6" s="1495" t="s">
        <v>1868</v>
      </c>
    </row>
    <row r="7" spans="2:5" ht="13.5" customHeight="1" x14ac:dyDescent="0.2">
      <c r="B7" s="1496" t="s">
        <v>2241</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1869</v>
      </c>
    </row>
    <row r="46" spans="2:5" ht="12.2" customHeight="1" x14ac:dyDescent="0.2">
      <c r="B46" s="1505" t="s">
        <v>1870</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&amp;C90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131918161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0.02</v>
      </c>
      <c r="E10" s="356" t="s">
        <v>1062</v>
      </c>
      <c r="F10" s="355">
        <v>5.0000000000000001E-3</v>
      </c>
      <c r="G10" s="356" t="s">
        <v>1062</v>
      </c>
      <c r="H10" s="355">
        <v>2E-3</v>
      </c>
      <c r="I10" s="356" t="s">
        <v>1063</v>
      </c>
      <c r="J10" s="1754">
        <f>ROUND(D10+F10+H10,5)</f>
        <v>2.7E-2</v>
      </c>
      <c r="K10" s="222"/>
      <c r="L10" s="355">
        <v>5.0000000000000001E-4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19287270</v>
      </c>
      <c r="E16" s="356"/>
      <c r="F16" s="1755">
        <f>SUM('Acct Summary 7-8'!C17,'Acct Summary 7-8'!D17,'Acct Summary 7-8'!F17)</f>
        <v>17350987</v>
      </c>
      <c r="G16" s="356"/>
      <c r="H16" s="1755">
        <f>SUM(D16-F16)</f>
        <v>1936283</v>
      </c>
      <c r="I16" s="222"/>
      <c r="J16" s="1755">
        <f>SUM('Acct Summary 7-8'!C81,'Acct Summary 7-8'!D81,'Acct Summary 7-8'!F81,'Acct Summary 7-8'!I81)</f>
        <v>3027416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18204706.218000002</v>
      </c>
      <c r="I31" s="368"/>
      <c r="J31" s="222"/>
      <c r="K31" s="222"/>
      <c r="L31" s="222"/>
      <c r="M31" s="222"/>
    </row>
    <row r="32" spans="1:13" ht="13.35" customHeight="1" x14ac:dyDescent="0.2">
      <c r="B32" s="369" t="s">
        <v>2153</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26478470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&amp;C94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1479</v>
      </c>
      <c r="B3" s="2136"/>
      <c r="C3" s="2136"/>
      <c r="D3" s="2136"/>
      <c r="E3" s="2136"/>
      <c r="F3" s="2136"/>
      <c r="G3" s="2136"/>
      <c r="H3" s="2136"/>
      <c r="I3" s="2136"/>
      <c r="J3" s="2136"/>
      <c r="K3" s="2136"/>
      <c r="L3" s="2136"/>
      <c r="M3" s="2136"/>
      <c r="N3" s="2136"/>
      <c r="O3" s="2136"/>
      <c r="P3" s="2136"/>
      <c r="Q3" s="2136"/>
      <c r="R3" s="2136"/>
    </row>
    <row r="4" spans="1:18" x14ac:dyDescent="0.2">
      <c r="A4" s="2137" t="s">
        <v>1634</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Harrisburg CUSD 3</v>
      </c>
      <c r="E7" s="391"/>
      <c r="G7" s="252"/>
      <c r="H7" s="387"/>
      <c r="I7" s="387"/>
      <c r="J7" s="387"/>
      <c r="K7" s="387"/>
      <c r="L7" s="329"/>
      <c r="M7" s="329"/>
      <c r="N7" s="329"/>
      <c r="O7" s="329"/>
      <c r="P7" s="329"/>
    </row>
    <row r="8" spans="1:18" ht="12.75" x14ac:dyDescent="0.2">
      <c r="A8" s="329"/>
      <c r="B8" s="329"/>
      <c r="C8" s="389" t="s">
        <v>1187</v>
      </c>
      <c r="D8" s="392">
        <f>COVER!A13</f>
        <v>20083003026</v>
      </c>
      <c r="E8" s="393"/>
      <c r="G8" s="329"/>
      <c r="H8" s="329"/>
      <c r="I8" s="329"/>
      <c r="J8" s="329"/>
      <c r="K8" s="329"/>
      <c r="L8" s="329"/>
      <c r="M8" s="329"/>
      <c r="N8" s="329"/>
      <c r="O8" s="329"/>
      <c r="P8" s="329"/>
    </row>
    <row r="9" spans="1:18" ht="12.75" x14ac:dyDescent="0.2">
      <c r="A9" s="329"/>
      <c r="B9" s="329"/>
      <c r="C9" s="389" t="s">
        <v>737</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1431</v>
      </c>
      <c r="D12" s="218"/>
      <c r="E12" s="218"/>
      <c r="F12" s="218" t="s">
        <v>1152</v>
      </c>
      <c r="G12" s="402"/>
      <c r="H12" s="403">
        <f>SUM('Acct Summary 7-8'!C81+'Acct Summary 7-8'!D81+'Acct Summary 7-8'!F81+'Acct Summary 7-8'!I81+IF('Acct Summary 7-8'!G81&lt;0,'Acct Summary 7-8'!G81,"0")+IF('Acct Summary 7-8'!J81&lt;0,'Acct Summary 7-8'!J81,"0"))</f>
        <v>3027416</v>
      </c>
      <c r="I12" s="404"/>
      <c r="J12" s="404"/>
      <c r="K12" s="405">
        <f>TRUNC((H12/H13*100000),5)/100000</f>
        <v>0.1570083659</v>
      </c>
      <c r="L12" s="406"/>
      <c r="M12" s="360" t="s">
        <v>1206</v>
      </c>
      <c r="N12" s="360"/>
      <c r="O12" s="407">
        <v>0.35</v>
      </c>
      <c r="P12" s="218"/>
      <c r="Q12" s="218"/>
    </row>
    <row r="13" spans="1:18" s="408" customFormat="1" ht="12.75" x14ac:dyDescent="0.2">
      <c r="A13" s="218"/>
      <c r="B13" s="401"/>
      <c r="C13" s="2133" t="s">
        <v>1390</v>
      </c>
      <c r="D13" s="2134"/>
      <c r="E13" s="218"/>
      <c r="F13" s="409" t="s">
        <v>826</v>
      </c>
      <c r="G13" s="402"/>
      <c r="H13" s="403">
        <f>SUM('Acct Summary 7-8'!C8+'Acct Summary 7-8'!D8+'Acct Summary 7-8'!F8+'Acct Summary 7-8'!I8)+H14</f>
        <v>19281877</v>
      </c>
      <c r="I13" s="404"/>
      <c r="J13" s="404"/>
      <c r="K13" s="410"/>
      <c r="L13" s="218"/>
      <c r="M13" s="360" t="s">
        <v>1207</v>
      </c>
      <c r="N13" s="360"/>
      <c r="O13" s="411">
        <f>(O11*O12)</f>
        <v>1.0499999999999998</v>
      </c>
      <c r="P13" s="218"/>
      <c r="Q13" s="218"/>
      <c r="R13" s="412"/>
    </row>
    <row r="14" spans="1:18" s="408" customFormat="1" ht="12.75" x14ac:dyDescent="0.2">
      <c r="A14" s="218"/>
      <c r="B14" s="401"/>
      <c r="C14" s="240" t="s">
        <v>1463</v>
      </c>
      <c r="D14" s="413"/>
      <c r="E14" s="218"/>
      <c r="F14" s="409" t="s">
        <v>828</v>
      </c>
      <c r="G14" s="402"/>
      <c r="H14" s="403">
        <f>-SUM('Acct Summary 7-8'!C54:D56,'Acct Summary 7-8'!C58:D60,'Acct Summary 7-8'!C62:D64,'Acct Summary 7-8'!C66:D68,'Acct Summary 7-8'!C70:D72,'Acct Summary 7-8'!C74:D74)</f>
        <v>-5393</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17350987</v>
      </c>
      <c r="I17" s="404"/>
      <c r="J17" s="416"/>
      <c r="K17" s="405">
        <f>TRUNC((H17/H18*100000),5)/100000</f>
        <v>0.89985985279999992</v>
      </c>
      <c r="L17" s="406"/>
      <c r="M17" s="417" t="s">
        <v>1233</v>
      </c>
      <c r="O17" s="418" t="str">
        <f>IF(AND(O16="2", J20 &gt; 2),"1",IF(AND(O16 = "1", J20 &gt; 2),"2",IF(AND(O16="1", J20 &gt;1),"1","0")))</f>
        <v>0</v>
      </c>
      <c r="P17" s="218"/>
    </row>
    <row r="18" spans="1:18" s="408" customFormat="1" ht="11.25" x14ac:dyDescent="0.2">
      <c r="A18" s="218"/>
      <c r="B18" s="401"/>
      <c r="C18" s="2133" t="s">
        <v>1383</v>
      </c>
      <c r="D18" s="2134"/>
      <c r="E18" s="218"/>
      <c r="F18" s="419" t="s">
        <v>827</v>
      </c>
      <c r="G18" s="402"/>
      <c r="H18" s="403">
        <f>SUM('Acct Summary 7-8'!C8+'Acct Summary 7-8'!D8+'Acct Summary 7-8'!F8+'Acct Summary 7-8'!I8)+H19</f>
        <v>19281877</v>
      </c>
      <c r="I18" s="404"/>
      <c r="J18" s="404"/>
      <c r="K18" s="410"/>
      <c r="L18" s="218"/>
      <c r="M18" s="360" t="s">
        <v>1206</v>
      </c>
      <c r="N18" s="360"/>
      <c r="O18" s="410">
        <v>0.35</v>
      </c>
      <c r="P18" s="218"/>
    </row>
    <row r="19" spans="1:18" s="408" customFormat="1" ht="11.25" x14ac:dyDescent="0.2">
      <c r="A19" s="218"/>
      <c r="B19" s="401"/>
      <c r="C19" s="240" t="s">
        <v>1463</v>
      </c>
      <c r="D19" s="413"/>
      <c r="E19" s="218"/>
      <c r="F19" s="419" t="s">
        <v>828</v>
      </c>
      <c r="G19" s="402"/>
      <c r="H19" s="403">
        <f>-SUM('Acct Summary 7-8'!C54:D56,'Acct Summary 7-8'!C58:D60,'Acct Summary 7-8'!C62:D64,'Acct Summary 7-8'!C66:D68,'Acct Summary 7-8'!C70:D72,'Acct Summary 7-8'!C74:D74)</f>
        <v>-5393</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30" t="s">
        <v>1478</v>
      </c>
      <c r="D24" s="2130"/>
      <c r="E24" s="218"/>
      <c r="F24" s="218" t="s">
        <v>465</v>
      </c>
      <c r="G24" s="402"/>
      <c r="H24" s="403">
        <f>SUM('Assets-Liab 5-6'!C4+'Assets-Liab 5-6'!D4+'Assets-Liab 5-6'!F4+'Assets-Liab 5-6'!I4+'Assets-Liab 5-6'!C5+'Assets-Liab 5-6'!D5+'Assets-Liab 5-6'!F5+'Assets-Liab 5-6'!I5)</f>
        <v>3016826</v>
      </c>
      <c r="I24" s="422"/>
      <c r="J24" s="422"/>
      <c r="K24" s="423">
        <f>TRUNC(((H24/H25*100000)/100000),2)</f>
        <v>62.59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48197.186110000002</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3027521.79495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26478470</v>
      </c>
      <c r="I32" s="420"/>
      <c r="J32" s="420"/>
      <c r="K32" s="423">
        <f>TRUNC(100-((((H32/H33*100))*100)/100),2)</f>
        <v>-45.44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18204706.218000002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&amp;C95</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0" activePane="bottomLeft" state="frozen"/>
      <selection activeCell="A47" sqref="A47"/>
      <selection pane="bottomLeft" activeCell="E38" sqref="E38:K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1573</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1"/>
      <c r="D3" s="1582"/>
      <c r="E3" s="1582"/>
      <c r="F3" s="1582"/>
      <c r="G3" s="1582"/>
      <c r="H3" s="1582"/>
      <c r="I3" s="1582"/>
      <c r="J3" s="1582"/>
      <c r="K3" s="1582"/>
      <c r="L3" s="1582"/>
      <c r="M3" s="1583"/>
      <c r="N3" s="1584"/>
    </row>
    <row r="4" spans="1:14" ht="13.5" customHeight="1" x14ac:dyDescent="0.2">
      <c r="A4" s="463" t="s">
        <v>1749</v>
      </c>
      <c r="B4" s="464"/>
      <c r="C4" s="465">
        <v>2551806</v>
      </c>
      <c r="D4" s="466">
        <v>23809</v>
      </c>
      <c r="E4" s="466">
        <v>78403</v>
      </c>
      <c r="F4" s="466">
        <v>132100</v>
      </c>
      <c r="G4" s="466">
        <v>255439</v>
      </c>
      <c r="H4" s="466">
        <v>2107518</v>
      </c>
      <c r="I4" s="466">
        <v>309111</v>
      </c>
      <c r="J4" s="467">
        <v>116551</v>
      </c>
      <c r="K4" s="466">
        <v>1172953</v>
      </c>
      <c r="L4" s="466">
        <v>375847</v>
      </c>
      <c r="M4" s="468"/>
      <c r="N4" s="469"/>
    </row>
    <row r="5" spans="1:14" x14ac:dyDescent="0.2">
      <c r="A5" s="463" t="s">
        <v>1049</v>
      </c>
      <c r="B5" s="470">
        <v>120</v>
      </c>
      <c r="C5" s="465"/>
      <c r="D5" s="466"/>
      <c r="E5" s="466"/>
      <c r="F5" s="466"/>
      <c r="G5" s="466"/>
      <c r="H5" s="466"/>
      <c r="I5" s="466"/>
      <c r="J5" s="467"/>
      <c r="K5" s="471"/>
      <c r="L5" s="472">
        <v>56297</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10590</v>
      </c>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2562396</v>
      </c>
      <c r="D13" s="1759">
        <f t="shared" ref="D13:L13" si="0">SUM(D4:D12)</f>
        <v>23809</v>
      </c>
      <c r="E13" s="1759">
        <f t="shared" si="0"/>
        <v>78403</v>
      </c>
      <c r="F13" s="1759">
        <f t="shared" si="0"/>
        <v>132100</v>
      </c>
      <c r="G13" s="1759">
        <f t="shared" si="0"/>
        <v>255439</v>
      </c>
      <c r="H13" s="1759">
        <f t="shared" si="0"/>
        <v>2107518</v>
      </c>
      <c r="I13" s="1759">
        <f t="shared" si="0"/>
        <v>309111</v>
      </c>
      <c r="J13" s="1759">
        <f t="shared" si="0"/>
        <v>116551</v>
      </c>
      <c r="K13" s="1759">
        <f t="shared" si="0"/>
        <v>1172953</v>
      </c>
      <c r="L13" s="1759">
        <f t="shared" si="0"/>
        <v>432144</v>
      </c>
      <c r="M13" s="468"/>
      <c r="N13" s="469"/>
    </row>
    <row r="14" spans="1:14" ht="18" customHeight="1" thickTop="1" x14ac:dyDescent="0.2">
      <c r="A14" s="2142" t="s">
        <v>149</v>
      </c>
      <c r="B14" s="2143"/>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1726560</v>
      </c>
      <c r="N16" s="484"/>
    </row>
    <row r="17" spans="1:14" s="485" customFormat="1" ht="12.75" customHeight="1" x14ac:dyDescent="0.2">
      <c r="A17" s="482" t="s">
        <v>1469</v>
      </c>
      <c r="B17" s="483">
        <v>230</v>
      </c>
      <c r="C17" s="477"/>
      <c r="D17" s="477"/>
      <c r="E17" s="477"/>
      <c r="F17" s="477"/>
      <c r="G17" s="477"/>
      <c r="H17" s="477"/>
      <c r="I17" s="477"/>
      <c r="J17" s="477"/>
      <c r="K17" s="477"/>
      <c r="L17" s="477"/>
      <c r="M17" s="467">
        <v>29378883</v>
      </c>
      <c r="N17" s="484"/>
    </row>
    <row r="18" spans="1:14" s="485" customFormat="1" ht="12.75" customHeight="1" x14ac:dyDescent="0.2">
      <c r="A18" s="482" t="s">
        <v>1470</v>
      </c>
      <c r="B18" s="483">
        <v>240</v>
      </c>
      <c r="C18" s="477"/>
      <c r="D18" s="477"/>
      <c r="E18" s="477"/>
      <c r="F18" s="477"/>
      <c r="G18" s="477"/>
      <c r="H18" s="477"/>
      <c r="I18" s="477"/>
      <c r="J18" s="477"/>
      <c r="K18" s="477"/>
      <c r="L18" s="477"/>
      <c r="M18" s="467">
        <v>1236986</v>
      </c>
      <c r="N18" s="484"/>
    </row>
    <row r="19" spans="1:14" s="485" customFormat="1" ht="12.75" customHeight="1" x14ac:dyDescent="0.2">
      <c r="A19" s="482" t="s">
        <v>1471</v>
      </c>
      <c r="B19" s="483">
        <v>250</v>
      </c>
      <c r="C19" s="477"/>
      <c r="D19" s="477"/>
      <c r="E19" s="477"/>
      <c r="F19" s="477"/>
      <c r="G19" s="477"/>
      <c r="H19" s="477"/>
      <c r="I19" s="477"/>
      <c r="J19" s="477"/>
      <c r="K19" s="477"/>
      <c r="L19" s="477"/>
      <c r="M19" s="467">
        <v>2386358</v>
      </c>
      <c r="N19" s="484"/>
    </row>
    <row r="20" spans="1:14" s="485" customFormat="1" ht="12.75" customHeight="1" x14ac:dyDescent="0.2">
      <c r="A20" s="482" t="s">
        <v>1472</v>
      </c>
      <c r="B20" s="483">
        <v>260</v>
      </c>
      <c r="C20" s="477"/>
      <c r="D20" s="477"/>
      <c r="E20" s="477"/>
      <c r="F20" s="477"/>
      <c r="G20" s="477"/>
      <c r="H20" s="477"/>
      <c r="I20" s="477"/>
      <c r="J20" s="477"/>
      <c r="K20" s="477"/>
      <c r="L20" s="477"/>
      <c r="M20" s="467">
        <v>22181676</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74177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26404293</v>
      </c>
    </row>
    <row r="23" spans="1:14" ht="13.5" customHeight="1" thickBot="1" x14ac:dyDescent="0.25">
      <c r="A23" s="1758" t="s">
        <v>664</v>
      </c>
      <c r="B23" s="1763"/>
      <c r="C23" s="468"/>
      <c r="D23" s="468"/>
      <c r="E23" s="468"/>
      <c r="F23" s="468"/>
      <c r="G23" s="468"/>
      <c r="H23" s="468"/>
      <c r="I23" s="468"/>
      <c r="J23" s="468"/>
      <c r="K23" s="468"/>
      <c r="L23" s="468"/>
      <c r="M23" s="1710">
        <f>SUM(M15:M22)</f>
        <v>56910463</v>
      </c>
      <c r="N23" s="1710">
        <f>SUM(N21:N22)</f>
        <v>26478470</v>
      </c>
    </row>
    <row r="24" spans="1:14" ht="18" customHeight="1" thickTop="1" x14ac:dyDescent="0.2">
      <c r="A24" s="2144" t="s">
        <v>619</v>
      </c>
      <c r="B24" s="2145"/>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432144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432144</v>
      </c>
      <c r="M34" s="468"/>
      <c r="N34" s="480"/>
    </row>
    <row r="35" spans="1:14" ht="18" customHeight="1" thickTop="1" x14ac:dyDescent="0.2">
      <c r="A35" s="2146" t="s">
        <v>550</v>
      </c>
      <c r="B35" s="214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26478470</v>
      </c>
    </row>
    <row r="37" spans="1:14" ht="13.5" thickBot="1" x14ac:dyDescent="0.25">
      <c r="A37" s="1758" t="s">
        <v>674</v>
      </c>
      <c r="B37" s="1763"/>
      <c r="C37" s="477"/>
      <c r="D37" s="477"/>
      <c r="E37" s="477"/>
      <c r="F37" s="477"/>
      <c r="G37" s="477"/>
      <c r="H37" s="477"/>
      <c r="I37" s="477"/>
      <c r="J37" s="477"/>
      <c r="K37" s="477"/>
      <c r="L37" s="480"/>
      <c r="M37" s="468"/>
      <c r="N37" s="1710">
        <f>SUM(N36:N36)</f>
        <v>26478470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2562396</v>
      </c>
      <c r="D39" s="466">
        <v>23809</v>
      </c>
      <c r="E39" s="466">
        <v>78403</v>
      </c>
      <c r="F39" s="466">
        <v>132100</v>
      </c>
      <c r="G39" s="466">
        <v>255439</v>
      </c>
      <c r="H39" s="466">
        <v>2107518</v>
      </c>
      <c r="I39" s="466">
        <v>309111</v>
      </c>
      <c r="J39" s="467">
        <v>116551</v>
      </c>
      <c r="K39" s="466">
        <v>1172953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56910463</v>
      </c>
      <c r="N40" s="497"/>
    </row>
    <row r="41" spans="1:14" ht="13.5" customHeight="1" thickBot="1" x14ac:dyDescent="0.25">
      <c r="A41" s="1758" t="s">
        <v>676</v>
      </c>
      <c r="B41" s="1728"/>
      <c r="C41" s="1710">
        <f>(SUM(C34,C37,C38,C39))</f>
        <v>2562396</v>
      </c>
      <c r="D41" s="1710">
        <f t="shared" ref="D41:L41" si="2">SUM(D34,D37,D38:D39)</f>
        <v>23809</v>
      </c>
      <c r="E41" s="1710">
        <f t="shared" si="2"/>
        <v>78403</v>
      </c>
      <c r="F41" s="1710">
        <f t="shared" si="2"/>
        <v>132100</v>
      </c>
      <c r="G41" s="1710">
        <f t="shared" si="2"/>
        <v>255439</v>
      </c>
      <c r="H41" s="1710">
        <f t="shared" si="2"/>
        <v>2107518</v>
      </c>
      <c r="I41" s="1710">
        <f t="shared" si="2"/>
        <v>309111</v>
      </c>
      <c r="J41" s="1710">
        <f t="shared" si="2"/>
        <v>116551</v>
      </c>
      <c r="K41" s="1710">
        <f t="shared" si="2"/>
        <v>1172953</v>
      </c>
      <c r="L41" s="1710">
        <f t="shared" si="2"/>
        <v>432144</v>
      </c>
      <c r="M41" s="1710">
        <f>SUM(M40)</f>
        <v>56910463</v>
      </c>
      <c r="N41" s="1710">
        <f>SUM(N37)</f>
        <v>26478470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STATEMENT OF POSITION AS OF JUNE 30, 2018</oddHeader>
    <oddFooter>&amp;CThe notes to the financial statements are an integral part of this statement.
6</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5"/>
      <c r="D3" s="1596"/>
      <c r="E3" s="1596"/>
      <c r="F3" s="1596"/>
      <c r="G3" s="1596"/>
      <c r="H3" s="1596"/>
      <c r="I3" s="1596"/>
      <c r="J3" s="1596"/>
      <c r="K3" s="1597"/>
      <c r="L3" s="506"/>
    </row>
    <row r="4" spans="1:13" ht="15.75" customHeight="1" x14ac:dyDescent="0.2">
      <c r="A4" s="1952" t="s">
        <v>1578</v>
      </c>
      <c r="B4" s="1953">
        <v>1000</v>
      </c>
      <c r="C4" s="1764">
        <f>'Revenues 9-14'!C109</f>
        <v>3527888</v>
      </c>
      <c r="D4" s="1764">
        <f>'Revenues 9-14'!D109</f>
        <v>670313</v>
      </c>
      <c r="E4" s="1764">
        <f>'Revenues 9-14'!E109</f>
        <v>1047926</v>
      </c>
      <c r="F4" s="1764">
        <f>'Revenues 9-14'!F109</f>
        <v>284975</v>
      </c>
      <c r="G4" s="1764">
        <f>'Revenues 9-14'!G109</f>
        <v>610429</v>
      </c>
      <c r="H4" s="1764">
        <f>'Revenues 9-14'!H109</f>
        <v>1011563</v>
      </c>
      <c r="I4" s="1764">
        <f>'Revenues 9-14'!I109</f>
        <v>66503</v>
      </c>
      <c r="J4" s="1764">
        <f>'Revenues 9-14'!J109</f>
        <v>537438</v>
      </c>
      <c r="K4" s="1764">
        <f>'Revenues 9-14'!K109</f>
        <v>74144</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1580</v>
      </c>
      <c r="B6" s="1600">
        <v>3000</v>
      </c>
      <c r="C6" s="1765">
        <f>'Revenues 9-14'!C173</f>
        <v>11616046</v>
      </c>
      <c r="D6" s="1765">
        <f>'Revenues 9-14'!D173</f>
        <v>80000</v>
      </c>
      <c r="E6" s="1765">
        <f>'Revenues 9-14'!E173</f>
        <v>0</v>
      </c>
      <c r="F6" s="1765">
        <f>'Revenues 9-14'!F173</f>
        <v>911595</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2129950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17273884</v>
      </c>
      <c r="D8" s="1710">
        <f t="shared" ref="D8:K8" si="0">SUM(D4:D7)</f>
        <v>750313</v>
      </c>
      <c r="E8" s="1710">
        <f t="shared" si="0"/>
        <v>1047926</v>
      </c>
      <c r="F8" s="1710">
        <f t="shared" si="0"/>
        <v>1196570</v>
      </c>
      <c r="G8" s="1710">
        <f t="shared" si="0"/>
        <v>610429</v>
      </c>
      <c r="H8" s="1710">
        <f t="shared" si="0"/>
        <v>1011563</v>
      </c>
      <c r="I8" s="1710">
        <f t="shared" si="0"/>
        <v>66503</v>
      </c>
      <c r="J8" s="1710">
        <f t="shared" si="0"/>
        <v>537438</v>
      </c>
      <c r="K8" s="1710">
        <f t="shared" si="0"/>
        <v>74144</v>
      </c>
      <c r="L8" s="347"/>
    </row>
    <row r="9" spans="1:13" ht="15.75" thickTop="1" x14ac:dyDescent="0.2">
      <c r="A9" s="514" t="s">
        <v>1751</v>
      </c>
      <c r="B9" s="515">
        <v>3998</v>
      </c>
      <c r="C9" s="481">
        <v>12773097</v>
      </c>
      <c r="D9" s="516"/>
      <c r="E9" s="481"/>
      <c r="F9" s="481"/>
      <c r="G9" s="517"/>
      <c r="H9" s="481"/>
      <c r="I9" s="509" t="s">
        <v>1231</v>
      </c>
      <c r="J9" s="478"/>
      <c r="K9" s="481"/>
      <c r="L9" s="347"/>
    </row>
    <row r="10" spans="1:13" s="519" customFormat="1" ht="13.5" thickBot="1" x14ac:dyDescent="0.25">
      <c r="A10" s="1758" t="s">
        <v>1235</v>
      </c>
      <c r="B10" s="1731"/>
      <c r="C10" s="1710">
        <f>SUM(C8:C9)</f>
        <v>30046981</v>
      </c>
      <c r="D10" s="1710">
        <f t="shared" ref="D10:K10" si="1">SUM(D8:D9)</f>
        <v>750313</v>
      </c>
      <c r="E10" s="1710">
        <f t="shared" si="1"/>
        <v>1047926</v>
      </c>
      <c r="F10" s="1710">
        <f t="shared" si="1"/>
        <v>1196570</v>
      </c>
      <c r="G10" s="1710">
        <f t="shared" si="1"/>
        <v>610429</v>
      </c>
      <c r="H10" s="1710">
        <f t="shared" si="1"/>
        <v>1011563</v>
      </c>
      <c r="I10" s="1710">
        <f t="shared" si="1"/>
        <v>66503</v>
      </c>
      <c r="J10" s="1710">
        <f t="shared" si="1"/>
        <v>537438</v>
      </c>
      <c r="K10" s="1710">
        <f t="shared" si="1"/>
        <v>74144</v>
      </c>
      <c r="L10" s="518"/>
    </row>
    <row r="11" spans="1:13" s="519" customFormat="1" ht="16.7" customHeight="1" thickTop="1" x14ac:dyDescent="0.2">
      <c r="A11" s="2142" t="s">
        <v>1238</v>
      </c>
      <c r="B11" s="2143"/>
      <c r="C11" s="1592"/>
      <c r="D11" s="1593"/>
      <c r="E11" s="1593"/>
      <c r="F11" s="1593"/>
      <c r="G11" s="1593"/>
      <c r="H11" s="1593"/>
      <c r="I11" s="1593"/>
      <c r="J11" s="1593"/>
      <c r="K11" s="1594"/>
      <c r="L11" s="518"/>
    </row>
    <row r="12" spans="1:13" ht="15.75" customHeight="1" x14ac:dyDescent="0.2">
      <c r="A12" s="1598" t="s">
        <v>476</v>
      </c>
      <c r="B12" s="1600">
        <v>1000</v>
      </c>
      <c r="C12" s="1764">
        <f>'Expenditures 15-22'!K33</f>
        <v>10373926</v>
      </c>
      <c r="D12" s="520" t="s">
        <v>1231</v>
      </c>
      <c r="E12" s="468" t="s">
        <v>1231</v>
      </c>
      <c r="F12" s="468" t="s">
        <v>1231</v>
      </c>
      <c r="G12" s="1764">
        <f>'Expenditures 15-22'!K229</f>
        <v>290205</v>
      </c>
      <c r="H12" s="521"/>
      <c r="I12" s="468" t="s">
        <v>1231</v>
      </c>
      <c r="J12" s="468" t="s">
        <v>1231</v>
      </c>
      <c r="K12" s="521" t="s">
        <v>1231</v>
      </c>
      <c r="L12" s="347"/>
    </row>
    <row r="13" spans="1:13" ht="15.75" customHeight="1" x14ac:dyDescent="0.2">
      <c r="A13" s="1598" t="s">
        <v>477</v>
      </c>
      <c r="B13" s="1600">
        <v>2000</v>
      </c>
      <c r="C13" s="1765">
        <f>'Expenditures 15-22'!K74</f>
        <v>4376291</v>
      </c>
      <c r="D13" s="1765">
        <f>'Expenditures 15-22'!K129</f>
        <v>794438</v>
      </c>
      <c r="E13" s="469" t="s">
        <v>1231</v>
      </c>
      <c r="F13" s="1765">
        <f>'Expenditures 15-22'!K184</f>
        <v>1077853</v>
      </c>
      <c r="G13" s="1765">
        <f>'Expenditures 15-22'!K279</f>
        <v>297387</v>
      </c>
      <c r="H13" s="1765">
        <f>'Expenditures 15-22'!K303</f>
        <v>8106131</v>
      </c>
      <c r="I13" s="468" t="s">
        <v>1231</v>
      </c>
      <c r="J13" s="1765">
        <f>'Expenditures 15-22'!K330</f>
        <v>465604</v>
      </c>
      <c r="K13" s="1769">
        <f>'Expenditures 15-22'!K352</f>
        <v>1515412</v>
      </c>
      <c r="L13" s="347"/>
    </row>
    <row r="14" spans="1:13" ht="15.75" customHeight="1" x14ac:dyDescent="0.2">
      <c r="A14" s="1598" t="s">
        <v>469</v>
      </c>
      <c r="B14" s="1600">
        <v>3000</v>
      </c>
      <c r="C14" s="1765">
        <f>'Expenditures 15-22'!K75</f>
        <v>83402</v>
      </c>
      <c r="D14" s="1765">
        <f>'Expenditures 15-22'!K130</f>
        <v>0</v>
      </c>
      <c r="E14" s="520" t="s">
        <v>1231</v>
      </c>
      <c r="F14" s="1765">
        <f>'Expenditures 15-22'!K185</f>
        <v>0</v>
      </c>
      <c r="G14" s="1765">
        <f>'Expenditures 15-22'!K280</f>
        <v>1290</v>
      </c>
      <c r="H14" s="512"/>
      <c r="I14" s="468" t="s">
        <v>1231</v>
      </c>
      <c r="J14" s="468" t="s">
        <v>1231</v>
      </c>
      <c r="K14" s="512" t="s">
        <v>1231</v>
      </c>
      <c r="L14" s="347"/>
    </row>
    <row r="15" spans="1:13" ht="15.75" customHeight="1" x14ac:dyDescent="0.2">
      <c r="A15" s="1598" t="s">
        <v>109</v>
      </c>
      <c r="B15" s="1600">
        <v>4000</v>
      </c>
      <c r="C15" s="1765">
        <f>'Expenditures 15-22'!K102</f>
        <v>638049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7028</v>
      </c>
      <c r="D16" s="1765">
        <f>'Expenditures 15-22'!K149</f>
        <v>0</v>
      </c>
      <c r="E16" s="1765">
        <f>'Expenditures 15-22'!K172</f>
        <v>1070758</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15478696</v>
      </c>
      <c r="D17" s="1710">
        <f t="shared" si="2"/>
        <v>794438</v>
      </c>
      <c r="E17" s="1710">
        <f t="shared" si="2"/>
        <v>1070758</v>
      </c>
      <c r="F17" s="1710">
        <f t="shared" si="2"/>
        <v>1077853</v>
      </c>
      <c r="G17" s="1710">
        <f t="shared" si="2"/>
        <v>588882</v>
      </c>
      <c r="H17" s="1710">
        <f t="shared" si="2"/>
        <v>8106131</v>
      </c>
      <c r="I17" s="468"/>
      <c r="J17" s="1710">
        <f>SUM(J12:J16)</f>
        <v>465604</v>
      </c>
      <c r="K17" s="1710">
        <f>SUM(K12:K16)</f>
        <v>1515412</v>
      </c>
      <c r="L17" s="347"/>
    </row>
    <row r="18" spans="1:12" ht="15" customHeight="1" thickTop="1" x14ac:dyDescent="0.2">
      <c r="A18" s="1766" t="s">
        <v>1752</v>
      </c>
      <c r="B18" s="1767">
        <v>4180</v>
      </c>
      <c r="C18" s="1764">
        <f t="shared" ref="C18:H18" si="3">C9</f>
        <v>12773097</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28251793</v>
      </c>
      <c r="D19" s="1710">
        <f t="shared" si="4"/>
        <v>794438</v>
      </c>
      <c r="E19" s="1710">
        <f t="shared" si="4"/>
        <v>1070758</v>
      </c>
      <c r="F19" s="1710">
        <f t="shared" si="4"/>
        <v>1077853</v>
      </c>
      <c r="G19" s="1710">
        <f t="shared" si="4"/>
        <v>588882</v>
      </c>
      <c r="H19" s="1710">
        <f t="shared" si="4"/>
        <v>8106131</v>
      </c>
      <c r="I19" s="468"/>
      <c r="J19" s="1710">
        <f>SUM(J17:J18)</f>
        <v>465604</v>
      </c>
      <c r="K19" s="1710">
        <f>SUM(K17:K18)</f>
        <v>1515412</v>
      </c>
      <c r="L19" s="347"/>
    </row>
    <row r="20" spans="1:12" ht="16.5" thickTop="1" thickBot="1" x14ac:dyDescent="0.25">
      <c r="A20" s="2158" t="s">
        <v>1753</v>
      </c>
      <c r="B20" s="2159"/>
      <c r="C20" s="1768">
        <f>C8-C17</f>
        <v>1795188</v>
      </c>
      <c r="D20" s="1768">
        <f t="shared" ref="D20:K20" si="5">D8-D17</f>
        <v>-44125</v>
      </c>
      <c r="E20" s="1768">
        <f t="shared" si="5"/>
        <v>-22832</v>
      </c>
      <c r="F20" s="1768">
        <f t="shared" si="5"/>
        <v>118717</v>
      </c>
      <c r="G20" s="1768">
        <f t="shared" si="5"/>
        <v>21547</v>
      </c>
      <c r="H20" s="1768">
        <f t="shared" si="5"/>
        <v>-7094568</v>
      </c>
      <c r="I20" s="1768">
        <f t="shared" si="5"/>
        <v>66503</v>
      </c>
      <c r="J20" s="1768">
        <f t="shared" si="5"/>
        <v>71834</v>
      </c>
      <c r="K20" s="1768">
        <f t="shared" si="5"/>
        <v>-1441268</v>
      </c>
      <c r="L20" s="347"/>
    </row>
    <row r="21" spans="1:12" ht="16.7" customHeight="1" thickTop="1" x14ac:dyDescent="0.2">
      <c r="A21" s="2170" t="s">
        <v>616</v>
      </c>
      <c r="B21" s="2171"/>
      <c r="C21" s="1592"/>
      <c r="D21" s="1593"/>
      <c r="E21" s="1593"/>
      <c r="F21" s="1593"/>
      <c r="G21" s="1593"/>
      <c r="H21" s="1593"/>
      <c r="I21" s="1593"/>
      <c r="J21" s="1593"/>
      <c r="K21" s="1594"/>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20810</v>
      </c>
      <c r="F37" s="475"/>
      <c r="G37" s="475"/>
      <c r="H37" s="475"/>
      <c r="I37" s="477"/>
      <c r="J37" s="475"/>
      <c r="K37" s="475"/>
      <c r="L37" s="524"/>
    </row>
    <row r="38" spans="1:12" s="485" customFormat="1" x14ac:dyDescent="0.2">
      <c r="A38" s="1511" t="s">
        <v>462</v>
      </c>
      <c r="B38" s="525">
        <v>7500</v>
      </c>
      <c r="C38" s="477"/>
      <c r="D38" s="477"/>
      <c r="E38" s="1765">
        <f>SUM(C58:D61,H58:H61)</f>
        <v>5393</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5">
        <f>SUM(C24:C43)</f>
        <v>0</v>
      </c>
      <c r="D44" s="1725">
        <f t="shared" ref="D44:K44" si="6">SUM(D24:D43)</f>
        <v>0</v>
      </c>
      <c r="E44" s="1725">
        <f t="shared" si="6"/>
        <v>26203</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v>20810</v>
      </c>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5393</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25">
        <f t="shared" ref="C76:K76" si="7">SUM(C47:C75)</f>
        <v>26203</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50" t="s">
        <v>1239</v>
      </c>
      <c r="B77" s="2151"/>
      <c r="C77" s="1725">
        <f t="shared" ref="C77:K77" si="8">C44-C76</f>
        <v>-26203</v>
      </c>
      <c r="D77" s="1725">
        <f t="shared" si="8"/>
        <v>0</v>
      </c>
      <c r="E77" s="1725">
        <f t="shared" si="8"/>
        <v>26203</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4" t="s">
        <v>618</v>
      </c>
      <c r="B78" s="2155"/>
      <c r="C78" s="1724">
        <f t="shared" ref="C78:K78" si="9">C20+C77</f>
        <v>1768985</v>
      </c>
      <c r="D78" s="1724">
        <f t="shared" si="9"/>
        <v>-44125</v>
      </c>
      <c r="E78" s="1724">
        <f t="shared" si="9"/>
        <v>3371</v>
      </c>
      <c r="F78" s="1724">
        <f t="shared" si="9"/>
        <v>118717</v>
      </c>
      <c r="G78" s="1724">
        <f t="shared" si="9"/>
        <v>21547</v>
      </c>
      <c r="H78" s="1724">
        <f t="shared" si="9"/>
        <v>-7094568</v>
      </c>
      <c r="I78" s="1724">
        <f t="shared" si="9"/>
        <v>66503</v>
      </c>
      <c r="J78" s="1724">
        <f t="shared" si="9"/>
        <v>71834</v>
      </c>
      <c r="K78" s="1724">
        <f t="shared" si="9"/>
        <v>-1441268</v>
      </c>
      <c r="L78" s="533"/>
    </row>
    <row r="79" spans="1:12" ht="13.5" thickTop="1" x14ac:dyDescent="0.2">
      <c r="A79" s="1516" t="s">
        <v>2068</v>
      </c>
      <c r="B79" s="534"/>
      <c r="C79" s="478">
        <v>793411</v>
      </c>
      <c r="D79" s="535">
        <v>67934</v>
      </c>
      <c r="E79" s="535">
        <v>75032</v>
      </c>
      <c r="F79" s="535">
        <v>13383</v>
      </c>
      <c r="G79" s="535">
        <v>233892</v>
      </c>
      <c r="H79" s="535">
        <v>9202086</v>
      </c>
      <c r="I79" s="535">
        <v>242608</v>
      </c>
      <c r="J79" s="535">
        <v>44717</v>
      </c>
      <c r="K79" s="535">
        <v>2614221</v>
      </c>
      <c r="L79" s="347"/>
    </row>
    <row r="80" spans="1:12" x14ac:dyDescent="0.2">
      <c r="A80" s="2160" t="s">
        <v>1895</v>
      </c>
      <c r="B80" s="2161"/>
      <c r="C80" s="467"/>
      <c r="D80" s="467"/>
      <c r="E80" s="467"/>
      <c r="F80" s="467"/>
      <c r="G80" s="467"/>
      <c r="H80" s="467"/>
      <c r="I80" s="467"/>
      <c r="J80" s="467"/>
      <c r="K80" s="467"/>
      <c r="L80" s="347"/>
    </row>
    <row r="81" spans="1:12" ht="13.5" thickBot="1" x14ac:dyDescent="0.25">
      <c r="A81" s="2152" t="s">
        <v>2069</v>
      </c>
      <c r="B81" s="2153"/>
      <c r="C81" s="1710">
        <f>(SUM(C78:C80))</f>
        <v>2562396</v>
      </c>
      <c r="D81" s="1710">
        <f>SUM(D78:D80)</f>
        <v>23809</v>
      </c>
      <c r="E81" s="1710">
        <f t="shared" ref="E81:K81" si="10">SUM(E78:E80)</f>
        <v>78403</v>
      </c>
      <c r="F81" s="1710">
        <f t="shared" si="10"/>
        <v>132100</v>
      </c>
      <c r="G81" s="1710">
        <f t="shared" si="10"/>
        <v>255439</v>
      </c>
      <c r="H81" s="1710">
        <f t="shared" si="10"/>
        <v>2107518</v>
      </c>
      <c r="I81" s="1710">
        <f t="shared" si="10"/>
        <v>309111</v>
      </c>
      <c r="J81" s="1710">
        <f t="shared" si="10"/>
        <v>116551</v>
      </c>
      <c r="K81" s="1710">
        <f t="shared" si="10"/>
        <v>1172953</v>
      </c>
      <c r="L81" s="347"/>
    </row>
    <row r="82" spans="1:12" ht="0.75" customHeight="1" thickTop="1" thickBot="1" x14ac:dyDescent="0.25">
      <c r="A82" s="536" t="s">
        <v>361</v>
      </c>
      <c r="B82" s="537"/>
      <c r="C82" s="538">
        <f>(C81-C79)</f>
        <v>1768985</v>
      </c>
      <c r="D82" s="538">
        <f t="shared" ref="D82:K82" si="11">(D81-D79)</f>
        <v>-44125</v>
      </c>
      <c r="E82" s="538">
        <f t="shared" si="11"/>
        <v>3371</v>
      </c>
      <c r="F82" s="538">
        <f t="shared" si="11"/>
        <v>118717</v>
      </c>
      <c r="G82" s="538">
        <f t="shared" si="11"/>
        <v>21547</v>
      </c>
      <c r="H82" s="538">
        <f t="shared" si="11"/>
        <v>-7094568</v>
      </c>
      <c r="I82" s="538">
        <f t="shared" si="11"/>
        <v>66503</v>
      </c>
      <c r="J82" s="538">
        <f t="shared" si="11"/>
        <v>71834</v>
      </c>
      <c r="K82" s="538">
        <f t="shared" si="11"/>
        <v>-1441268</v>
      </c>
    </row>
    <row r="83" spans="1:12" ht="14.25" hidden="1" thickTop="1" thickBot="1" x14ac:dyDescent="0.25">
      <c r="A83" s="539" t="s">
        <v>362</v>
      </c>
      <c r="B83" s="464"/>
      <c r="C83" s="540">
        <f>C82/C81</f>
        <v>0.69036362841652887</v>
      </c>
      <c r="D83" s="540">
        <f t="shared" ref="D83:K83" si="12">D82/D81</f>
        <v>-1.8532907723969927</v>
      </c>
      <c r="E83" s="540">
        <f t="shared" si="12"/>
        <v>4.299580373200005E-2</v>
      </c>
      <c r="F83" s="540">
        <f t="shared" si="12"/>
        <v>0.89869038607115825</v>
      </c>
      <c r="G83" s="540">
        <f t="shared" si="12"/>
        <v>8.4352820047056243E-2</v>
      </c>
      <c r="H83" s="540">
        <f t="shared" si="12"/>
        <v>-3.3663143090592822</v>
      </c>
      <c r="I83" s="540">
        <f t="shared" si="12"/>
        <v>0.21514278042515472</v>
      </c>
      <c r="J83" s="540">
        <f t="shared" si="12"/>
        <v>0.61633104821065454</v>
      </c>
      <c r="K83" s="540">
        <f t="shared" si="12"/>
        <v>-1.2287517061638447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2018
 </oddHeader>
    <oddFooter>&amp;CThe notes to the financial statements are an integral part of this statement.
9</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1902</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2590376</v>
      </c>
      <c r="D5" s="481">
        <v>647594</v>
      </c>
      <c r="E5" s="466">
        <v>1047175</v>
      </c>
      <c r="F5" s="548">
        <v>259039</v>
      </c>
      <c r="G5" s="466">
        <v>304281</v>
      </c>
      <c r="H5" s="466"/>
      <c r="I5" s="466">
        <v>64761</v>
      </c>
      <c r="J5" s="467">
        <v>532217</v>
      </c>
      <c r="K5" s="466">
        <v>64761</v>
      </c>
    </row>
    <row r="6" spans="1:12" ht="15" x14ac:dyDescent="0.2">
      <c r="A6" s="463" t="s">
        <v>1760</v>
      </c>
      <c r="B6" s="470">
        <v>1130</v>
      </c>
      <c r="C6" s="466">
        <v>64761</v>
      </c>
      <c r="D6" s="466"/>
      <c r="E6" s="475"/>
      <c r="F6" s="475"/>
      <c r="G6" s="468"/>
      <c r="H6" s="468"/>
      <c r="I6" s="468"/>
      <c r="J6" s="468"/>
      <c r="K6" s="468"/>
    </row>
    <row r="7" spans="1:12" x14ac:dyDescent="0.2">
      <c r="A7" s="463" t="s">
        <v>112</v>
      </c>
      <c r="B7" s="549">
        <v>1140</v>
      </c>
      <c r="C7" s="466">
        <v>51808</v>
      </c>
      <c r="D7" s="466"/>
      <c r="E7" s="468"/>
      <c r="F7" s="467"/>
      <c r="G7" s="467"/>
      <c r="H7" s="467"/>
      <c r="I7" s="468"/>
      <c r="J7" s="468"/>
      <c r="K7" s="468"/>
    </row>
    <row r="8" spans="1:12" x14ac:dyDescent="0.2">
      <c r="A8" s="463" t="s">
        <v>433</v>
      </c>
      <c r="B8" s="470">
        <v>1150</v>
      </c>
      <c r="C8" s="475"/>
      <c r="D8" s="475"/>
      <c r="E8" s="477"/>
      <c r="F8" s="477"/>
      <c r="G8" s="481">
        <v>304281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2706945</v>
      </c>
      <c r="D12" s="1729">
        <f t="shared" si="0"/>
        <v>647594</v>
      </c>
      <c r="E12" s="1729">
        <f t="shared" si="0"/>
        <v>1047175</v>
      </c>
      <c r="F12" s="1729">
        <f t="shared" si="0"/>
        <v>259039</v>
      </c>
      <c r="G12" s="1729">
        <f t="shared" si="0"/>
        <v>608562</v>
      </c>
      <c r="H12" s="1729">
        <f t="shared" si="0"/>
        <v>0</v>
      </c>
      <c r="I12" s="1729">
        <f t="shared" si="0"/>
        <v>64761</v>
      </c>
      <c r="J12" s="1729">
        <f t="shared" si="0"/>
        <v>532217</v>
      </c>
      <c r="K12" s="1710">
        <f t="shared" si="0"/>
        <v>64761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264013</v>
      </c>
      <c r="D16" s="466">
        <v>4336</v>
      </c>
      <c r="E16" s="466"/>
      <c r="F16" s="466">
        <v>25702</v>
      </c>
      <c r="G16" s="466"/>
      <c r="H16" s="466"/>
      <c r="I16" s="466"/>
      <c r="J16" s="467"/>
      <c r="K16" s="466"/>
    </row>
    <row r="17" spans="1:11" ht="12.75" customHeight="1" x14ac:dyDescent="0.2">
      <c r="A17" s="463" t="s">
        <v>840</v>
      </c>
      <c r="B17" s="470">
        <v>1290</v>
      </c>
      <c r="C17" s="551">
        <v>1018</v>
      </c>
      <c r="D17" s="466"/>
      <c r="E17" s="466"/>
      <c r="F17" s="466"/>
      <c r="G17" s="466"/>
      <c r="H17" s="466"/>
      <c r="I17" s="466"/>
      <c r="J17" s="467"/>
      <c r="K17" s="466"/>
    </row>
    <row r="18" spans="1:11" ht="12.75" customHeight="1" thickBot="1" x14ac:dyDescent="0.25">
      <c r="A18" s="1730" t="s">
        <v>558</v>
      </c>
      <c r="B18" s="1731"/>
      <c r="C18" s="1732">
        <f>SUM(C14:C17)</f>
        <v>265031</v>
      </c>
      <c r="D18" s="1732">
        <f t="shared" ref="D18:K18" si="1">SUM(D14:D17)</f>
        <v>4336</v>
      </c>
      <c r="E18" s="1732">
        <f t="shared" si="1"/>
        <v>0</v>
      </c>
      <c r="F18" s="1732">
        <f t="shared" si="1"/>
        <v>25702</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49406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49406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12401</v>
      </c>
      <c r="D65" s="466">
        <v>360</v>
      </c>
      <c r="E65" s="466">
        <v>751</v>
      </c>
      <c r="F65" s="467">
        <v>234</v>
      </c>
      <c r="G65" s="466">
        <v>1867</v>
      </c>
      <c r="H65" s="466">
        <v>25052</v>
      </c>
      <c r="I65" s="466">
        <v>1742</v>
      </c>
      <c r="J65" s="467">
        <v>1192</v>
      </c>
      <c r="K65" s="466">
        <v>9383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12401</v>
      </c>
      <c r="D67" s="1710">
        <f t="shared" ref="D67:K67" si="2">SUM(D65:D66)</f>
        <v>360</v>
      </c>
      <c r="E67" s="1710">
        <f t="shared" si="2"/>
        <v>751</v>
      </c>
      <c r="F67" s="1710">
        <f t="shared" si="2"/>
        <v>234</v>
      </c>
      <c r="G67" s="1710">
        <f t="shared" si="2"/>
        <v>1867</v>
      </c>
      <c r="H67" s="1710">
        <f t="shared" si="2"/>
        <v>25052</v>
      </c>
      <c r="I67" s="1710">
        <f t="shared" si="2"/>
        <v>1742</v>
      </c>
      <c r="J67" s="1710">
        <f t="shared" si="2"/>
        <v>1192</v>
      </c>
      <c r="K67" s="1710">
        <f t="shared" si="2"/>
        <v>9383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100103</v>
      </c>
      <c r="D69" s="468"/>
      <c r="E69" s="468"/>
      <c r="F69" s="468"/>
      <c r="G69" s="468"/>
      <c r="H69" s="468"/>
      <c r="I69" s="468"/>
      <c r="J69" s="468"/>
      <c r="K69" s="468"/>
    </row>
    <row r="70" spans="1:11" ht="12.75" customHeight="1" x14ac:dyDescent="0.2">
      <c r="A70" s="463" t="s">
        <v>1054</v>
      </c>
      <c r="B70" s="470">
        <v>1612</v>
      </c>
      <c r="C70" s="551">
        <v>13900</v>
      </c>
      <c r="D70" s="468"/>
      <c r="E70" s="468"/>
      <c r="F70" s="468"/>
      <c r="G70" s="468"/>
      <c r="H70" s="468"/>
      <c r="I70" s="468"/>
      <c r="J70" s="468"/>
      <c r="K70" s="468"/>
    </row>
    <row r="71" spans="1:11" ht="12.75" customHeight="1" x14ac:dyDescent="0.2">
      <c r="A71" s="463" t="s">
        <v>291</v>
      </c>
      <c r="B71" s="470">
        <v>1613</v>
      </c>
      <c r="C71" s="551">
        <v>33653</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9000</v>
      </c>
      <c r="D73" s="468"/>
      <c r="E73" s="468"/>
      <c r="F73" s="468"/>
      <c r="G73" s="468"/>
      <c r="H73" s="468"/>
      <c r="I73" s="468"/>
      <c r="J73" s="468"/>
      <c r="K73" s="468"/>
    </row>
    <row r="74" spans="1:11" ht="12.75" customHeight="1" x14ac:dyDescent="0.2">
      <c r="A74" s="463" t="s">
        <v>25</v>
      </c>
      <c r="B74" s="470">
        <v>1690</v>
      </c>
      <c r="C74" s="551">
        <v>24826</v>
      </c>
      <c r="D74" s="468"/>
      <c r="E74" s="468"/>
      <c r="F74" s="468"/>
      <c r="G74" s="468"/>
      <c r="H74" s="468"/>
      <c r="I74" s="468"/>
      <c r="J74" s="468"/>
      <c r="K74" s="468"/>
    </row>
    <row r="75" spans="1:11" ht="12.75" customHeight="1" thickBot="1" x14ac:dyDescent="0.25">
      <c r="A75" s="1730" t="s">
        <v>569</v>
      </c>
      <c r="B75" s="1731"/>
      <c r="C75" s="1710">
        <f>SUM(C69:C74)</f>
        <v>181482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53216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6461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59677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23408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23408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98002</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101439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3815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963449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1504</v>
      </c>
      <c r="B106" s="470">
        <v>1993</v>
      </c>
      <c r="C106" s="466">
        <v>26282</v>
      </c>
      <c r="D106" s="489"/>
      <c r="E106" s="467"/>
      <c r="F106" s="467"/>
      <c r="G106" s="467"/>
      <c r="H106" s="467"/>
      <c r="I106" s="521"/>
      <c r="J106" s="467"/>
      <c r="K106" s="467"/>
    </row>
    <row r="107" spans="1:12" ht="12.75" customHeight="1" x14ac:dyDescent="0.2">
      <c r="A107" s="463" t="s">
        <v>80</v>
      </c>
      <c r="B107" s="470">
        <v>1999</v>
      </c>
      <c r="C107" s="551"/>
      <c r="D107" s="466">
        <v>18023</v>
      </c>
      <c r="E107" s="466"/>
      <c r="F107" s="466"/>
      <c r="G107" s="466"/>
      <c r="H107" s="466">
        <v>23062</v>
      </c>
      <c r="I107" s="466"/>
      <c r="J107" s="467">
        <v>4029</v>
      </c>
      <c r="K107" s="466"/>
    </row>
    <row r="108" spans="1:12" ht="12.75" customHeight="1" thickBot="1" x14ac:dyDescent="0.25">
      <c r="A108" s="1730" t="s">
        <v>508</v>
      </c>
      <c r="B108" s="1734"/>
      <c r="C108" s="1729">
        <f>SUM(C95:C107)</f>
        <v>229538</v>
      </c>
      <c r="D108" s="1729">
        <f t="shared" ref="D108:K108" si="3">SUM(D95:D107)</f>
        <v>18023</v>
      </c>
      <c r="E108" s="1729">
        <f t="shared" si="3"/>
        <v>0</v>
      </c>
      <c r="F108" s="1729">
        <f t="shared" si="3"/>
        <v>0</v>
      </c>
      <c r="G108" s="1729">
        <f t="shared" si="3"/>
        <v>0</v>
      </c>
      <c r="H108" s="1729">
        <f t="shared" si="3"/>
        <v>986511</v>
      </c>
      <c r="I108" s="1729">
        <f t="shared" si="3"/>
        <v>0</v>
      </c>
      <c r="J108" s="1729">
        <f t="shared" si="3"/>
        <v>4029</v>
      </c>
      <c r="K108" s="1710">
        <f t="shared" si="3"/>
        <v>0</v>
      </c>
    </row>
    <row r="109" spans="1:12" ht="14.25" thickTop="1" thickBot="1" x14ac:dyDescent="0.25">
      <c r="A109" s="1735" t="s">
        <v>266</v>
      </c>
      <c r="B109" s="1736" t="s">
        <v>591</v>
      </c>
      <c r="C109" s="1737">
        <f t="shared" ref="C109:K109" si="4">SUM(C12,C18,C40,C63,C67,C75,C82,C93,C108,)</f>
        <v>3527888</v>
      </c>
      <c r="D109" s="1737">
        <f t="shared" si="4"/>
        <v>670313</v>
      </c>
      <c r="E109" s="1737">
        <f t="shared" si="4"/>
        <v>1047926</v>
      </c>
      <c r="F109" s="1737">
        <f t="shared" si="4"/>
        <v>284975</v>
      </c>
      <c r="G109" s="1737">
        <f t="shared" si="4"/>
        <v>610429</v>
      </c>
      <c r="H109" s="1737">
        <f t="shared" si="4"/>
        <v>1011563</v>
      </c>
      <c r="I109" s="1737">
        <f t="shared" si="4"/>
        <v>66503</v>
      </c>
      <c r="J109" s="1737">
        <f t="shared" si="4"/>
        <v>537438</v>
      </c>
      <c r="K109" s="1724">
        <f t="shared" si="4"/>
        <v>74144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10652033</v>
      </c>
      <c r="D117" s="481">
        <v>80000</v>
      </c>
      <c r="E117" s="466"/>
      <c r="F117" s="481">
        <v>100000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10652033</v>
      </c>
      <c r="D121" s="1729">
        <f t="shared" si="5"/>
        <v>80000</v>
      </c>
      <c r="E121" s="1729">
        <f t="shared" si="5"/>
        <v>0</v>
      </c>
      <c r="F121" s="1729">
        <f t="shared" si="5"/>
        <v>100000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1520</v>
      </c>
      <c r="B125" s="562">
        <v>3105</v>
      </c>
      <c r="C125" s="466">
        <v>139893</v>
      </c>
      <c r="D125" s="561"/>
      <c r="E125" s="468"/>
      <c r="F125" s="466"/>
      <c r="G125" s="468"/>
      <c r="H125" s="468"/>
      <c r="I125" s="468"/>
      <c r="J125" s="468"/>
      <c r="K125" s="468"/>
    </row>
    <row r="126" spans="1:11" ht="12.75" customHeight="1" x14ac:dyDescent="0.2">
      <c r="A126" s="463" t="s">
        <v>922</v>
      </c>
      <c r="B126" s="562">
        <v>3110</v>
      </c>
      <c r="C126" s="551">
        <v>171841</v>
      </c>
      <c r="D126" s="466"/>
      <c r="E126" s="468"/>
      <c r="F126" s="466"/>
      <c r="G126" s="468"/>
      <c r="H126" s="468"/>
      <c r="I126" s="468"/>
      <c r="J126" s="468"/>
      <c r="K126" s="468"/>
    </row>
    <row r="127" spans="1:11" ht="12.75" customHeight="1" x14ac:dyDescent="0.2">
      <c r="A127" s="463" t="s">
        <v>107</v>
      </c>
      <c r="B127" s="562">
        <v>3120</v>
      </c>
      <c r="C127" s="466">
        <v>93959</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405693</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37514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14475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51989</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9962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27126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547304</v>
      </c>
      <c r="G151" s="467"/>
      <c r="H151" s="468"/>
      <c r="I151" s="468"/>
      <c r="J151" s="468"/>
      <c r="K151" s="468"/>
    </row>
    <row r="152" spans="1:11" ht="12.75" customHeight="1" x14ac:dyDescent="0.2">
      <c r="A152" s="463" t="s">
        <v>1117</v>
      </c>
      <c r="B152" s="562">
        <v>3510</v>
      </c>
      <c r="C152" s="551"/>
      <c r="D152" s="466"/>
      <c r="E152" s="561"/>
      <c r="F152" s="466">
        <v>264291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811595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405276</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v>2669</v>
      </c>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61298</v>
      </c>
      <c r="D171" s="580"/>
      <c r="E171" s="580"/>
      <c r="F171" s="580"/>
      <c r="G171" s="581"/>
      <c r="H171" s="582"/>
      <c r="I171" s="581"/>
      <c r="J171" s="581"/>
      <c r="K171" s="582"/>
    </row>
    <row r="172" spans="1:11" ht="12.75" customHeight="1" thickTop="1" thickBot="1" x14ac:dyDescent="0.25">
      <c r="A172" s="2176" t="s">
        <v>418</v>
      </c>
      <c r="B172" s="2177"/>
      <c r="C172" s="1744">
        <f t="shared" ref="C172:K172" si="6">SUM(C131,C140,C144,C145:C149,C154,C155:C170,C171)</f>
        <v>964013</v>
      </c>
      <c r="D172" s="1744">
        <f t="shared" si="6"/>
        <v>0</v>
      </c>
      <c r="E172" s="1744">
        <f t="shared" si="6"/>
        <v>0</v>
      </c>
      <c r="F172" s="1744">
        <f t="shared" si="6"/>
        <v>811595</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11616046</v>
      </c>
      <c r="D173" s="1737">
        <f>SUM(D121,D172)</f>
        <v>80000</v>
      </c>
      <c r="E173" s="1737">
        <f>SUM(E121,E172)</f>
        <v>0</v>
      </c>
      <c r="F173" s="1737">
        <f t="shared" ref="F173:K173" si="7">SUM(F121,F172)</f>
        <v>911595</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8" t="s">
        <v>1571</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1763</v>
      </c>
      <c r="B178" s="218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6" t="s">
        <v>1762</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4" t="s">
        <v>818</v>
      </c>
      <c r="B184" s="218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0" t="s">
        <v>1903</v>
      </c>
      <c r="B185" s="2181"/>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34609</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34609</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1118</v>
      </c>
      <c r="B194" s="470">
        <v>4210</v>
      </c>
      <c r="C194" s="466">
        <v>430208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172025</v>
      </c>
      <c r="D196" s="468"/>
      <c r="E196" s="561"/>
      <c r="F196" s="468"/>
      <c r="G196" s="585"/>
      <c r="H196" s="468"/>
      <c r="I196" s="468"/>
      <c r="J196" s="468"/>
      <c r="K196" s="468"/>
    </row>
    <row r="197" spans="1:11" ht="12.75" customHeight="1" x14ac:dyDescent="0.2">
      <c r="A197" s="463" t="s">
        <v>1525</v>
      </c>
      <c r="B197" s="470">
        <v>4225</v>
      </c>
      <c r="C197" s="551">
        <v>38957</v>
      </c>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641190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755695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755695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18792</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18792</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1528</v>
      </c>
      <c r="B220" s="557">
        <v>4620</v>
      </c>
      <c r="C220" s="551">
        <v>1058</v>
      </c>
      <c r="D220" s="466"/>
      <c r="E220" s="468"/>
      <c r="F220" s="466"/>
      <c r="G220" s="466"/>
      <c r="H220" s="468"/>
      <c r="I220" s="468"/>
      <c r="J220" s="468"/>
      <c r="K220" s="468"/>
    </row>
    <row r="221" spans="1:11" ht="12.75" customHeight="1" x14ac:dyDescent="0.2">
      <c r="A221" s="463" t="s">
        <v>1114</v>
      </c>
      <c r="B221" s="470">
        <v>4625</v>
      </c>
      <c r="C221" s="551">
        <v>4255</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5313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1293</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1293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122949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18208</v>
      </c>
      <c r="D270" s="576"/>
      <c r="E270" s="468"/>
      <c r="F270" s="576"/>
      <c r="G270" s="576"/>
      <c r="H270" s="468"/>
      <c r="I270" s="468"/>
      <c r="J270" s="468"/>
      <c r="K270" s="468"/>
    </row>
    <row r="271" spans="1:11" ht="12.75" customHeight="1" thickTop="1" thickBot="1" x14ac:dyDescent="0.25">
      <c r="A271" s="463" t="s">
        <v>395</v>
      </c>
      <c r="B271" s="470">
        <v>4992</v>
      </c>
      <c r="C271" s="575">
        <v>43774</v>
      </c>
      <c r="D271" s="576"/>
      <c r="E271" s="468"/>
      <c r="F271" s="576"/>
      <c r="G271" s="576"/>
      <c r="H271" s="468"/>
      <c r="I271" s="468"/>
      <c r="J271" s="468"/>
      <c r="K271" s="468"/>
    </row>
    <row r="272" spans="1:11" s="594" customFormat="1" ht="12.75" customHeight="1" thickTop="1" thickBot="1" x14ac:dyDescent="0.25">
      <c r="A272" s="563" t="s">
        <v>77</v>
      </c>
      <c r="B272" s="557">
        <v>4999</v>
      </c>
      <c r="C272" s="575">
        <v>488127</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2129950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2129950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17273884</v>
      </c>
      <c r="D275" s="1737">
        <f t="shared" si="12"/>
        <v>750313</v>
      </c>
      <c r="E275" s="1737">
        <f t="shared" si="12"/>
        <v>1047926</v>
      </c>
      <c r="F275" s="1737">
        <f t="shared" si="12"/>
        <v>1196570</v>
      </c>
      <c r="G275" s="1737">
        <f t="shared" si="12"/>
        <v>610429</v>
      </c>
      <c r="H275" s="1737">
        <f t="shared" si="12"/>
        <v>1011563</v>
      </c>
      <c r="I275" s="1737">
        <f t="shared" si="12"/>
        <v>66503</v>
      </c>
      <c r="J275" s="1737">
        <f t="shared" si="12"/>
        <v>537438</v>
      </c>
      <c r="K275" s="1724">
        <f t="shared" si="12"/>
        <v>74144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2018</oddHeader>
    <oddFooter>&amp;CThe notes to the financial statements are an integral part of this statement.
&amp;P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60" activePane="bottomLeft" state="frozen"/>
      <selection activeCell="A47" sqref="A47"/>
      <selection pane="bottomLeft" activeCell="H171" sqref="H17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2332549+1246504+1472683</f>
        <v>5051736</v>
      </c>
      <c r="D5" s="466">
        <f>453556+260016+312101</f>
        <v>1025673</v>
      </c>
      <c r="E5" s="466">
        <f>16325+6455+17225</f>
        <v>40005</v>
      </c>
      <c r="F5" s="466">
        <f>163225+82948+86451</f>
        <v>332624</v>
      </c>
      <c r="G5" s="466"/>
      <c r="H5" s="466">
        <v>994</v>
      </c>
      <c r="I5" s="467"/>
      <c r="J5" s="467"/>
      <c r="K5" s="1693">
        <f>SUM(C5:J5)</f>
        <v>6451032</v>
      </c>
      <c r="L5" s="466">
        <v>4332400</v>
      </c>
    </row>
    <row r="6" spans="1:14" x14ac:dyDescent="0.2">
      <c r="A6" s="1526" t="s">
        <v>1507</v>
      </c>
      <c r="B6" s="615" t="s">
        <v>1505</v>
      </c>
      <c r="C6" s="477"/>
      <c r="D6" s="477"/>
      <c r="E6" s="466"/>
      <c r="F6" s="477"/>
      <c r="G6" s="477"/>
      <c r="H6" s="477"/>
      <c r="I6" s="477"/>
      <c r="J6" s="477"/>
      <c r="K6" s="1693">
        <f>SUM(C6,E6)</f>
        <v>0</v>
      </c>
      <c r="L6" s="466">
        <v>9500</v>
      </c>
    </row>
    <row r="7" spans="1:14" x14ac:dyDescent="0.2">
      <c r="A7" s="1526" t="s">
        <v>165</v>
      </c>
      <c r="B7" s="615" t="s">
        <v>1024</v>
      </c>
      <c r="C7" s="467">
        <v>242026</v>
      </c>
      <c r="D7" s="467">
        <v>53123</v>
      </c>
      <c r="E7" s="467">
        <v>2396</v>
      </c>
      <c r="F7" s="467">
        <v>36044</v>
      </c>
      <c r="G7" s="467">
        <v>7571</v>
      </c>
      <c r="H7" s="467"/>
      <c r="I7" s="467"/>
      <c r="J7" s="467"/>
      <c r="K7" s="1693">
        <f t="shared" ref="K7:K32" si="0">SUM(C7:J7)</f>
        <v>341160</v>
      </c>
      <c r="L7" s="466">
        <v>2180275</v>
      </c>
    </row>
    <row r="8" spans="1:14" x14ac:dyDescent="0.2">
      <c r="A8" s="1526" t="s">
        <v>166</v>
      </c>
      <c r="B8" s="615">
        <v>1200</v>
      </c>
      <c r="C8" s="466">
        <f>83207+46980+162519+139529+1422014</f>
        <v>1854249</v>
      </c>
      <c r="D8" s="466">
        <f>17136+7146+34189+28575+241057</f>
        <v>328103</v>
      </c>
      <c r="E8" s="466">
        <f>2636+4416</f>
        <v>7052</v>
      </c>
      <c r="F8" s="466">
        <f>411+111+222</f>
        <v>744</v>
      </c>
      <c r="G8" s="466"/>
      <c r="H8" s="466"/>
      <c r="I8" s="467"/>
      <c r="J8" s="467"/>
      <c r="K8" s="1693">
        <f t="shared" si="0"/>
        <v>2190148</v>
      </c>
      <c r="L8" s="466">
        <v>2193175</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f>512792</f>
        <v>512792</v>
      </c>
      <c r="D10" s="466">
        <f>94395</f>
        <v>94395</v>
      </c>
      <c r="E10" s="466">
        <f>23645+6995</f>
        <v>30640</v>
      </c>
      <c r="F10" s="466">
        <f>100656+16237</f>
        <v>116893</v>
      </c>
      <c r="G10" s="466">
        <v>9849</v>
      </c>
      <c r="H10" s="466"/>
      <c r="I10" s="467"/>
      <c r="J10" s="467"/>
      <c r="K10" s="1693">
        <f t="shared" si="0"/>
        <v>764569</v>
      </c>
      <c r="L10" s="466">
        <v>811801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169532</v>
      </c>
      <c r="D13" s="466">
        <v>35415</v>
      </c>
      <c r="E13" s="466">
        <v>1105</v>
      </c>
      <c r="F13" s="466">
        <v>4844</v>
      </c>
      <c r="G13" s="466"/>
      <c r="H13" s="466"/>
      <c r="I13" s="467"/>
      <c r="J13" s="467"/>
      <c r="K13" s="1693">
        <f t="shared" si="0"/>
        <v>210896</v>
      </c>
      <c r="L13" s="466">
        <v>193200</v>
      </c>
    </row>
    <row r="14" spans="1:14" x14ac:dyDescent="0.2">
      <c r="A14" s="1526" t="s">
        <v>1020</v>
      </c>
      <c r="B14" s="615">
        <v>1500</v>
      </c>
      <c r="C14" s="466">
        <f>2575+11417+8941+11806+13978+6622+2027+3503+1686+4352+25906+16088+8867+58+7743+8724+8164+3846+2188+2023+2360+52456+53364+2195+13357+9586+2575+302+7731</f>
        <v>294440</v>
      </c>
      <c r="D14" s="466">
        <f>1407+1130+959+96+202+343+2847+1476+877+963+366+511+13+13152+7373+235+1382+1192</f>
        <v>34524</v>
      </c>
      <c r="E14" s="466">
        <f>20+1000+1230+3864+429+4445+856+1120+1100+5420+3785+72+3896+1899+4055+2250+1956+1329+1275+130+496+40+4332+1902</f>
        <v>46901</v>
      </c>
      <c r="F14" s="466">
        <f>160+10740+1065+2249+3626</f>
        <v>17840</v>
      </c>
      <c r="G14" s="466">
        <f>1332+500+1332+1331</f>
        <v>4495</v>
      </c>
      <c r="H14" s="466">
        <f>9424+6657+500</f>
        <v>16581</v>
      </c>
      <c r="I14" s="467"/>
      <c r="J14" s="467"/>
      <c r="K14" s="1693">
        <f t="shared" si="0"/>
        <v>414781</v>
      </c>
      <c r="L14" s="466">
        <v>410875</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v>1340</v>
      </c>
      <c r="D18" s="466"/>
      <c r="E18" s="466"/>
      <c r="F18" s="466"/>
      <c r="G18" s="466"/>
      <c r="H18" s="466"/>
      <c r="I18" s="467"/>
      <c r="J18" s="467"/>
      <c r="K18" s="1693">
        <f t="shared" si="0"/>
        <v>1340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1766</v>
      </c>
      <c r="B33" s="1691" t="s">
        <v>591</v>
      </c>
      <c r="C33" s="1692">
        <f>SUM(C5:C32)</f>
        <v>8126115</v>
      </c>
      <c r="D33" s="1692">
        <f t="shared" ref="D33:L33" si="1">SUM(D5:D32)</f>
        <v>1571233</v>
      </c>
      <c r="E33" s="1692">
        <f t="shared" si="1"/>
        <v>128099</v>
      </c>
      <c r="F33" s="1692">
        <f t="shared" si="1"/>
        <v>508989</v>
      </c>
      <c r="G33" s="1692">
        <f t="shared" si="1"/>
        <v>21915</v>
      </c>
      <c r="H33" s="1692">
        <f t="shared" si="1"/>
        <v>17575</v>
      </c>
      <c r="I33" s="1692">
        <f t="shared" si="1"/>
        <v>0</v>
      </c>
      <c r="J33" s="1692">
        <f t="shared" si="1"/>
        <v>0</v>
      </c>
      <c r="K33" s="1692">
        <f t="shared" si="1"/>
        <v>10373926</v>
      </c>
      <c r="L33" s="1692">
        <f t="shared" si="1"/>
        <v>10131226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f>6565+331</f>
        <v>6896</v>
      </c>
      <c r="D36" s="481">
        <v>203</v>
      </c>
      <c r="E36" s="481"/>
      <c r="F36" s="481"/>
      <c r="G36" s="481"/>
      <c r="H36" s="481"/>
      <c r="I36" s="467"/>
      <c r="J36" s="467"/>
      <c r="K36" s="1693">
        <f t="shared" ref="K36:K41" si="2">SUM(C36:J36)</f>
        <v>7099</v>
      </c>
      <c r="L36" s="466"/>
    </row>
    <row r="37" spans="1:14" x14ac:dyDescent="0.2">
      <c r="A37" s="1526" t="s">
        <v>1151</v>
      </c>
      <c r="B37" s="615">
        <v>2120</v>
      </c>
      <c r="C37" s="466">
        <f>107206+35421</f>
        <v>142627</v>
      </c>
      <c r="D37" s="466">
        <f>19106+440</f>
        <v>19546</v>
      </c>
      <c r="E37" s="466">
        <v>203</v>
      </c>
      <c r="F37" s="466">
        <f>75+211</f>
        <v>286</v>
      </c>
      <c r="G37" s="466"/>
      <c r="H37" s="466"/>
      <c r="I37" s="467"/>
      <c r="J37" s="467"/>
      <c r="K37" s="1693">
        <f t="shared" si="2"/>
        <v>162662</v>
      </c>
      <c r="L37" s="466">
        <v>163765</v>
      </c>
    </row>
    <row r="38" spans="1:14" x14ac:dyDescent="0.2">
      <c r="A38" s="1526" t="s">
        <v>207</v>
      </c>
      <c r="B38" s="615">
        <v>2130</v>
      </c>
      <c r="C38" s="466">
        <f>29830+29644+6613</f>
        <v>66087</v>
      </c>
      <c r="D38" s="466">
        <v>5550</v>
      </c>
      <c r="E38" s="466">
        <v>2374</v>
      </c>
      <c r="F38" s="466"/>
      <c r="G38" s="466"/>
      <c r="H38" s="466"/>
      <c r="I38" s="467"/>
      <c r="J38" s="467"/>
      <c r="K38" s="1693">
        <f t="shared" si="2"/>
        <v>74011</v>
      </c>
      <c r="L38" s="466">
        <v>71775</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v>600</v>
      </c>
      <c r="H40" s="466"/>
      <c r="I40" s="467"/>
      <c r="J40" s="467"/>
      <c r="K40" s="1693">
        <f t="shared" si="2"/>
        <v>600</v>
      </c>
      <c r="L40" s="466"/>
    </row>
    <row r="41" spans="1:14" x14ac:dyDescent="0.2">
      <c r="A41" s="1526" t="s">
        <v>1767</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215610</v>
      </c>
      <c r="D42" s="1692">
        <f t="shared" ref="D42:L42" si="3">SUM(D36:D41)</f>
        <v>25299</v>
      </c>
      <c r="E42" s="1692">
        <f t="shared" si="3"/>
        <v>2577</v>
      </c>
      <c r="F42" s="1692">
        <f t="shared" si="3"/>
        <v>286</v>
      </c>
      <c r="G42" s="1692">
        <f t="shared" si="3"/>
        <v>600</v>
      </c>
      <c r="H42" s="1692">
        <f t="shared" si="3"/>
        <v>0</v>
      </c>
      <c r="I42" s="1692">
        <f t="shared" si="3"/>
        <v>0</v>
      </c>
      <c r="J42" s="1692">
        <f t="shared" si="3"/>
        <v>0</v>
      </c>
      <c r="K42" s="1692">
        <f t="shared" si="3"/>
        <v>244372</v>
      </c>
      <c r="L42" s="1692">
        <f t="shared" si="3"/>
        <v>235540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1000+56957</f>
        <v>57957</v>
      </c>
      <c r="D44" s="481">
        <f>271+18750</f>
        <v>19021</v>
      </c>
      <c r="E44" s="481">
        <v>39565</v>
      </c>
      <c r="F44" s="481"/>
      <c r="G44" s="481"/>
      <c r="H44" s="481"/>
      <c r="I44" s="467"/>
      <c r="J44" s="467"/>
      <c r="K44" s="1694">
        <f>SUM(C44:J44)</f>
        <v>116543</v>
      </c>
      <c r="L44" s="481">
        <v>385849</v>
      </c>
    </row>
    <row r="45" spans="1:14" x14ac:dyDescent="0.2">
      <c r="A45" s="1526" t="s">
        <v>869</v>
      </c>
      <c r="B45" s="615">
        <v>2220</v>
      </c>
      <c r="C45" s="466">
        <f>130984+43227</f>
        <v>174211</v>
      </c>
      <c r="D45" s="466">
        <f>26525+6273</f>
        <v>32798</v>
      </c>
      <c r="E45" s="466">
        <f>260+3139+68769-22353</f>
        <v>49815</v>
      </c>
      <c r="F45" s="466">
        <f>9377+6333+13497</f>
        <v>29207</v>
      </c>
      <c r="G45" s="466">
        <f>6547+31470+11360</f>
        <v>49377</v>
      </c>
      <c r="H45" s="466"/>
      <c r="I45" s="467"/>
      <c r="J45" s="467"/>
      <c r="K45" s="1694">
        <f>SUM(C45:J45)</f>
        <v>335408</v>
      </c>
      <c r="L45" s="466">
        <v>440176</v>
      </c>
    </row>
    <row r="46" spans="1:14" x14ac:dyDescent="0.2">
      <c r="A46" s="1526" t="s">
        <v>870</v>
      </c>
      <c r="B46" s="615">
        <v>2230</v>
      </c>
      <c r="C46" s="466">
        <v>2298</v>
      </c>
      <c r="D46" s="466">
        <v>639</v>
      </c>
      <c r="E46" s="466"/>
      <c r="F46" s="466"/>
      <c r="G46" s="466"/>
      <c r="H46" s="466"/>
      <c r="I46" s="467"/>
      <c r="J46" s="467"/>
      <c r="K46" s="1694">
        <f>SUM(C46:J46)</f>
        <v>2937</v>
      </c>
      <c r="L46" s="466"/>
    </row>
    <row r="47" spans="1:14" ht="12.75" customHeight="1" thickBot="1" x14ac:dyDescent="0.25">
      <c r="A47" s="1690" t="s">
        <v>582</v>
      </c>
      <c r="B47" s="1691" t="s">
        <v>32</v>
      </c>
      <c r="C47" s="1692">
        <f>SUM(C44:C46)</f>
        <v>234466</v>
      </c>
      <c r="D47" s="1692">
        <f t="shared" ref="D47:K47" si="4">SUM(D44:D46)</f>
        <v>52458</v>
      </c>
      <c r="E47" s="1692">
        <f t="shared" si="4"/>
        <v>89380</v>
      </c>
      <c r="F47" s="1692">
        <f t="shared" si="4"/>
        <v>29207</v>
      </c>
      <c r="G47" s="1692">
        <f t="shared" si="4"/>
        <v>49377</v>
      </c>
      <c r="H47" s="1692">
        <f t="shared" si="4"/>
        <v>0</v>
      </c>
      <c r="I47" s="1692">
        <f t="shared" si="4"/>
        <v>0</v>
      </c>
      <c r="J47" s="1692">
        <f t="shared" si="4"/>
        <v>0</v>
      </c>
      <c r="K47" s="1692">
        <f t="shared" si="4"/>
        <v>454888</v>
      </c>
      <c r="L47" s="1692">
        <f>SUM(L44:L46)</f>
        <v>826025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36500</v>
      </c>
      <c r="D49" s="481">
        <v>1033</v>
      </c>
      <c r="E49" s="481">
        <v>29334</v>
      </c>
      <c r="F49" s="481">
        <v>4166</v>
      </c>
      <c r="G49" s="481">
        <v>5097</v>
      </c>
      <c r="H49" s="481">
        <v>10192</v>
      </c>
      <c r="I49" s="467"/>
      <c r="J49" s="467"/>
      <c r="K49" s="1694">
        <f>SUM(C49:J49)</f>
        <v>86322</v>
      </c>
      <c r="L49" s="481">
        <v>49549</v>
      </c>
    </row>
    <row r="50" spans="1:14" x14ac:dyDescent="0.2">
      <c r="A50" s="1526" t="s">
        <v>872</v>
      </c>
      <c r="B50" s="615">
        <v>2320</v>
      </c>
      <c r="C50" s="466">
        <v>142149</v>
      </c>
      <c r="D50" s="466">
        <v>21248</v>
      </c>
      <c r="E50" s="466">
        <v>5368</v>
      </c>
      <c r="F50" s="466">
        <v>2382</v>
      </c>
      <c r="G50" s="466">
        <v>1572</v>
      </c>
      <c r="H50" s="466">
        <v>1717</v>
      </c>
      <c r="I50" s="467"/>
      <c r="J50" s="467"/>
      <c r="K50" s="1694">
        <f>SUM(C50:J50)</f>
        <v>174436</v>
      </c>
      <c r="L50" s="466">
        <v>237487</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178649</v>
      </c>
      <c r="D53" s="1692">
        <f t="shared" ref="D53:L53" si="5">SUM(D49:D52)</f>
        <v>22281</v>
      </c>
      <c r="E53" s="1692">
        <f t="shared" si="5"/>
        <v>34702</v>
      </c>
      <c r="F53" s="1692">
        <f t="shared" si="5"/>
        <v>6548</v>
      </c>
      <c r="G53" s="1692">
        <f t="shared" si="5"/>
        <v>6669</v>
      </c>
      <c r="H53" s="1692">
        <f t="shared" si="5"/>
        <v>11909</v>
      </c>
      <c r="I53" s="1692">
        <f t="shared" si="5"/>
        <v>0</v>
      </c>
      <c r="J53" s="1692">
        <f t="shared" si="5"/>
        <v>0</v>
      </c>
      <c r="K53" s="1692">
        <f t="shared" si="5"/>
        <v>260758</v>
      </c>
      <c r="L53" s="1692">
        <f t="shared" si="5"/>
        <v>287036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909357</v>
      </c>
      <c r="D55" s="481">
        <v>164525</v>
      </c>
      <c r="E55" s="481">
        <v>4412</v>
      </c>
      <c r="F55" s="481">
        <v>8320</v>
      </c>
      <c r="G55" s="481" t="s">
        <v>2131</v>
      </c>
      <c r="H55" s="481">
        <v>2370</v>
      </c>
      <c r="I55" s="467"/>
      <c r="J55" s="467"/>
      <c r="K55" s="1694">
        <f>SUM(C55:J55)</f>
        <v>1088984</v>
      </c>
      <c r="L55" s="481">
        <v>1089600</v>
      </c>
    </row>
    <row r="56" spans="1:14" ht="12.75" customHeight="1" x14ac:dyDescent="0.2">
      <c r="A56" s="1530" t="s">
        <v>394</v>
      </c>
      <c r="B56" s="629">
        <v>2490</v>
      </c>
      <c r="C56" s="466">
        <v>5400</v>
      </c>
      <c r="D56" s="466"/>
      <c r="E56" s="466"/>
      <c r="F56" s="466"/>
      <c r="G56" s="466"/>
      <c r="H56" s="466"/>
      <c r="I56" s="467"/>
      <c r="J56" s="467"/>
      <c r="K56" s="1694">
        <f>SUM(C56:J56)</f>
        <v>5400</v>
      </c>
      <c r="L56" s="466"/>
    </row>
    <row r="57" spans="1:14" s="343" customFormat="1" ht="12.75" customHeight="1" thickBot="1" x14ac:dyDescent="0.25">
      <c r="A57" s="1690" t="s">
        <v>281</v>
      </c>
      <c r="B57" s="1695" t="s">
        <v>34</v>
      </c>
      <c r="C57" s="1696">
        <f>SUM(C55:C56)</f>
        <v>914757</v>
      </c>
      <c r="D57" s="1696">
        <f t="shared" ref="D57:K57" si="6">SUM(D55:D56)</f>
        <v>164525</v>
      </c>
      <c r="E57" s="1696">
        <f t="shared" si="6"/>
        <v>4412</v>
      </c>
      <c r="F57" s="1696">
        <f t="shared" si="6"/>
        <v>8320</v>
      </c>
      <c r="G57" s="1696">
        <f t="shared" si="6"/>
        <v>0</v>
      </c>
      <c r="H57" s="1696">
        <f t="shared" si="6"/>
        <v>2370</v>
      </c>
      <c r="I57" s="1696">
        <f t="shared" si="6"/>
        <v>0</v>
      </c>
      <c r="J57" s="1696">
        <f t="shared" si="6"/>
        <v>0</v>
      </c>
      <c r="K57" s="1696">
        <f t="shared" si="6"/>
        <v>1094384</v>
      </c>
      <c r="L57" s="1692">
        <f>SUM(L55:L56)</f>
        <v>1089600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81148</v>
      </c>
      <c r="D59" s="481">
        <v>10713</v>
      </c>
      <c r="E59" s="481">
        <v>1491</v>
      </c>
      <c r="F59" s="481">
        <v>2055</v>
      </c>
      <c r="G59" s="481"/>
      <c r="H59" s="481">
        <v>1728</v>
      </c>
      <c r="I59" s="467"/>
      <c r="J59" s="467"/>
      <c r="K59" s="1694">
        <f t="shared" ref="K59:K64" si="7">SUM(C59:J59)</f>
        <v>97135</v>
      </c>
      <c r="L59" s="481">
        <v>95872</v>
      </c>
      <c r="M59" s="610"/>
      <c r="N59" s="610"/>
    </row>
    <row r="60" spans="1:14" s="343" customFormat="1" x14ac:dyDescent="0.2">
      <c r="A60" s="1526" t="s">
        <v>483</v>
      </c>
      <c r="B60" s="615">
        <v>2520</v>
      </c>
      <c r="C60" s="466"/>
      <c r="D60" s="466"/>
      <c r="E60" s="466"/>
      <c r="F60" s="466"/>
      <c r="G60" s="466">
        <v>1223</v>
      </c>
      <c r="H60" s="466"/>
      <c r="I60" s="467"/>
      <c r="J60" s="467"/>
      <c r="K60" s="1694">
        <f t="shared" si="7"/>
        <v>1223</v>
      </c>
      <c r="L60" s="466"/>
      <c r="M60" s="610"/>
      <c r="N60" s="610"/>
    </row>
    <row r="61" spans="1:14" s="343" customFormat="1" x14ac:dyDescent="0.2">
      <c r="A61" s="1526" t="s">
        <v>206</v>
      </c>
      <c r="B61" s="615">
        <v>2540</v>
      </c>
      <c r="C61" s="466">
        <v>723325</v>
      </c>
      <c r="D61" s="466">
        <v>113388</v>
      </c>
      <c r="E61" s="466"/>
      <c r="F61" s="466"/>
      <c r="G61" s="466"/>
      <c r="H61" s="466"/>
      <c r="I61" s="467"/>
      <c r="J61" s="467"/>
      <c r="K61" s="1694">
        <f t="shared" si="7"/>
        <v>836713</v>
      </c>
      <c r="L61" s="466">
        <v>715907</v>
      </c>
      <c r="M61" s="610"/>
      <c r="N61" s="610"/>
    </row>
    <row r="62" spans="1:14" s="343" customFormat="1" x14ac:dyDescent="0.2">
      <c r="A62" s="1526" t="s">
        <v>1010</v>
      </c>
      <c r="B62" s="615">
        <v>2550</v>
      </c>
      <c r="C62" s="466"/>
      <c r="D62" s="466">
        <v>11</v>
      </c>
      <c r="E62" s="466"/>
      <c r="F62" s="466"/>
      <c r="G62" s="466"/>
      <c r="H62" s="466"/>
      <c r="I62" s="467"/>
      <c r="J62" s="467"/>
      <c r="K62" s="1694">
        <f t="shared" si="7"/>
        <v>11</v>
      </c>
      <c r="L62" s="466"/>
      <c r="M62" s="610"/>
      <c r="N62" s="610"/>
    </row>
    <row r="63" spans="1:14" s="610" customFormat="1" x14ac:dyDescent="0.2">
      <c r="A63" s="1526" t="s">
        <v>102</v>
      </c>
      <c r="B63" s="615">
        <v>2560</v>
      </c>
      <c r="C63" s="466">
        <v>300028</v>
      </c>
      <c r="D63" s="466">
        <v>53434</v>
      </c>
      <c r="E63" s="466">
        <v>8780</v>
      </c>
      <c r="F63" s="466">
        <v>491415</v>
      </c>
      <c r="G63" s="466">
        <v>5969</v>
      </c>
      <c r="H63" s="466"/>
      <c r="I63" s="467"/>
      <c r="J63" s="467"/>
      <c r="K63" s="1694">
        <f t="shared" si="7"/>
        <v>859626</v>
      </c>
      <c r="L63" s="466">
        <v>893064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1104501</v>
      </c>
      <c r="D65" s="1692">
        <f t="shared" ref="D65:L65" si="8">SUM(D59:D64)</f>
        <v>177546</v>
      </c>
      <c r="E65" s="1692">
        <f t="shared" si="8"/>
        <v>10271</v>
      </c>
      <c r="F65" s="1692">
        <f t="shared" si="8"/>
        <v>493470</v>
      </c>
      <c r="G65" s="1692">
        <f t="shared" si="8"/>
        <v>7192</v>
      </c>
      <c r="H65" s="1692">
        <f t="shared" si="8"/>
        <v>1728</v>
      </c>
      <c r="I65" s="1692">
        <f t="shared" si="8"/>
        <v>0</v>
      </c>
      <c r="J65" s="1692">
        <f t="shared" si="8"/>
        <v>0</v>
      </c>
      <c r="K65" s="1692">
        <f t="shared" si="8"/>
        <v>1794708</v>
      </c>
      <c r="L65" s="1692">
        <f t="shared" si="8"/>
        <v>1704843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174626</v>
      </c>
      <c r="D73" s="573">
        <v>44413</v>
      </c>
      <c r="E73" s="573">
        <f>220916+86159</f>
        <v>307075</v>
      </c>
      <c r="F73" s="573">
        <f>1067</f>
        <v>1067</v>
      </c>
      <c r="G73" s="573"/>
      <c r="H73" s="573"/>
      <c r="I73" s="531"/>
      <c r="J73" s="531"/>
      <c r="K73" s="1692">
        <f>SUM(C73:J73)</f>
        <v>527181</v>
      </c>
      <c r="L73" s="576"/>
      <c r="M73" s="610"/>
      <c r="N73" s="610"/>
    </row>
    <row r="74" spans="1:14" ht="12.75" customHeight="1" thickTop="1" thickBot="1" x14ac:dyDescent="0.25">
      <c r="A74" s="1690" t="s">
        <v>865</v>
      </c>
      <c r="B74" s="1698">
        <v>2000</v>
      </c>
      <c r="C74" s="1699">
        <f>SUM(C42,C47,C53,C57,C65,C72,C73)</f>
        <v>2822609</v>
      </c>
      <c r="D74" s="1699">
        <f t="shared" ref="D74:K74" si="10">SUM(D42,D47,D53,D57,D65,D72,D73)</f>
        <v>486522</v>
      </c>
      <c r="E74" s="1699">
        <f t="shared" si="10"/>
        <v>448417</v>
      </c>
      <c r="F74" s="1699">
        <f t="shared" si="10"/>
        <v>538898</v>
      </c>
      <c r="G74" s="1699">
        <f t="shared" si="10"/>
        <v>63838</v>
      </c>
      <c r="H74" s="1699">
        <f t="shared" si="10"/>
        <v>16007</v>
      </c>
      <c r="I74" s="1699">
        <f t="shared" si="10"/>
        <v>0</v>
      </c>
      <c r="J74" s="1699">
        <f t="shared" si="10"/>
        <v>0</v>
      </c>
      <c r="K74" s="1699">
        <f t="shared" si="10"/>
        <v>4376291</v>
      </c>
      <c r="L74" s="1699">
        <f>SUM(L42,L47,L53,L57,L65,L72,L73)</f>
        <v>4143044</v>
      </c>
    </row>
    <row r="75" spans="1:14" s="259" customFormat="1" ht="15.75" customHeight="1" thickTop="1" thickBot="1" x14ac:dyDescent="0.25">
      <c r="A75" s="1632" t="s">
        <v>49</v>
      </c>
      <c r="B75" s="1633" t="s">
        <v>596</v>
      </c>
      <c r="C75" s="573">
        <f>9096+26877</f>
        <v>35973</v>
      </c>
      <c r="D75" s="573">
        <f>390+2652</f>
        <v>3042</v>
      </c>
      <c r="E75" s="573">
        <v>28281</v>
      </c>
      <c r="F75" s="573">
        <f>8604+7502</f>
        <v>16106</v>
      </c>
      <c r="G75" s="573"/>
      <c r="H75" s="573"/>
      <c r="I75" s="531"/>
      <c r="J75" s="531"/>
      <c r="K75" s="1692">
        <f>SUM(C75:J75)</f>
        <v>83402</v>
      </c>
      <c r="L75" s="576">
        <v>24800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24703</v>
      </c>
      <c r="I78" s="477"/>
      <c r="J78" s="477"/>
      <c r="K78" s="1693">
        <f t="shared" ref="K78:K83" si="11">SUM(C78:J78)</f>
        <v>24703</v>
      </c>
      <c r="L78" s="481">
        <v>55000</v>
      </c>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v>3090</v>
      </c>
      <c r="I81" s="477"/>
      <c r="J81" s="477"/>
      <c r="K81" s="1693">
        <f t="shared" si="11"/>
        <v>3090</v>
      </c>
      <c r="L81" s="466">
        <v>3296</v>
      </c>
    </row>
    <row r="82" spans="1:12" x14ac:dyDescent="0.2">
      <c r="A82" s="1526" t="s">
        <v>88</v>
      </c>
      <c r="B82" s="615">
        <v>4170</v>
      </c>
      <c r="C82" s="617"/>
      <c r="D82" s="617"/>
      <c r="E82" s="466"/>
      <c r="F82" s="617"/>
      <c r="G82" s="617"/>
      <c r="H82" s="466"/>
      <c r="I82" s="477"/>
      <c r="J82" s="477"/>
      <c r="K82" s="1693">
        <f t="shared" si="11"/>
        <v>0</v>
      </c>
      <c r="L82" s="466">
        <v>1000</v>
      </c>
    </row>
    <row r="83" spans="1:12" x14ac:dyDescent="0.2">
      <c r="A83" s="1530" t="s">
        <v>722</v>
      </c>
      <c r="B83" s="629">
        <v>4190</v>
      </c>
      <c r="C83" s="617"/>
      <c r="D83" s="617"/>
      <c r="E83" s="466"/>
      <c r="F83" s="617"/>
      <c r="G83" s="617"/>
      <c r="H83" s="466">
        <v>17480</v>
      </c>
      <c r="I83" s="477"/>
      <c r="J83" s="477"/>
      <c r="K83" s="1693">
        <f t="shared" si="11"/>
        <v>17480</v>
      </c>
      <c r="L83" s="466"/>
    </row>
    <row r="84" spans="1:12" ht="13.5" thickBot="1" x14ac:dyDescent="0.25">
      <c r="A84" s="1690" t="s">
        <v>1564</v>
      </c>
      <c r="B84" s="1700">
        <v>4100</v>
      </c>
      <c r="C84" s="617"/>
      <c r="D84" s="617"/>
      <c r="E84" s="1692">
        <f>SUM(E78:E83)</f>
        <v>0</v>
      </c>
      <c r="F84" s="617"/>
      <c r="G84" s="617"/>
      <c r="H84" s="1692">
        <f>SUM(H78:H83)</f>
        <v>45273</v>
      </c>
      <c r="I84" s="477"/>
      <c r="J84" s="477"/>
      <c r="K84" s="1692">
        <f>SUM(K78:K83)</f>
        <v>45273</v>
      </c>
      <c r="L84" s="1692">
        <f>SUM(L78:L83)</f>
        <v>59296</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f>513795+73961</f>
        <v>587756</v>
      </c>
      <c r="I86" s="477"/>
      <c r="J86" s="477"/>
      <c r="K86" s="1699">
        <f t="shared" ref="K86:K98" si="12">H86</f>
        <v>587756</v>
      </c>
      <c r="L86" s="530">
        <v>777000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v>5020</v>
      </c>
      <c r="I90" s="477"/>
      <c r="J90" s="477"/>
      <c r="K90" s="1699">
        <f t="shared" si="12"/>
        <v>5020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592776</v>
      </c>
      <c r="I92" s="477"/>
      <c r="J92" s="477"/>
      <c r="K92" s="1699">
        <f t="shared" si="12"/>
        <v>592776</v>
      </c>
      <c r="L92" s="1692">
        <f>SUM(L85:L91)</f>
        <v>777000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988</v>
      </c>
      <c r="C101" s="617"/>
      <c r="D101" s="617"/>
      <c r="E101" s="531"/>
      <c r="F101" s="617"/>
      <c r="G101" s="617"/>
      <c r="H101" s="531"/>
      <c r="I101" s="477"/>
      <c r="J101" s="477"/>
      <c r="K101" s="1701">
        <f>SUM(C101:J101)</f>
        <v>0</v>
      </c>
      <c r="L101" s="530">
        <v>258835</v>
      </c>
    </row>
    <row r="102" spans="1:14" ht="12.75" customHeight="1" thickTop="1" thickBot="1" x14ac:dyDescent="0.25">
      <c r="A102" s="1690" t="s">
        <v>1566</v>
      </c>
      <c r="B102" s="1700">
        <v>4000</v>
      </c>
      <c r="C102" s="617"/>
      <c r="D102" s="617"/>
      <c r="E102" s="1699">
        <f>SUM(E84,E92,E100,E101)</f>
        <v>0</v>
      </c>
      <c r="F102" s="617"/>
      <c r="G102" s="617"/>
      <c r="H102" s="1699">
        <f>SUM(H84,H92,H100,H101)</f>
        <v>638049</v>
      </c>
      <c r="I102" s="477"/>
      <c r="J102" s="477"/>
      <c r="K102" s="1699">
        <f>SUM(K84,K92,K100,K101)</f>
        <v>638049</v>
      </c>
      <c r="L102" s="1699">
        <f>SUM(L84,L92,L100,L101)</f>
        <v>1095131</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7028</v>
      </c>
      <c r="I105" s="468"/>
      <c r="J105" s="468"/>
      <c r="K105" s="1693">
        <f>H105</f>
        <v>7028</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7028</v>
      </c>
      <c r="I110" s="468"/>
      <c r="J110" s="468"/>
      <c r="K110" s="1692">
        <f>SUM(K105:K109)</f>
        <v>7028</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3150</v>
      </c>
      <c r="M111" s="210"/>
      <c r="N111" s="210"/>
    </row>
    <row r="112" spans="1:14" s="598" customFormat="1" ht="12.75" customHeight="1" thickTop="1" thickBot="1" x14ac:dyDescent="0.25">
      <c r="A112" s="1690" t="s">
        <v>659</v>
      </c>
      <c r="B112" s="1691" t="s">
        <v>513</v>
      </c>
      <c r="C112" s="617"/>
      <c r="D112" s="617"/>
      <c r="E112" s="617"/>
      <c r="F112" s="617"/>
      <c r="G112" s="617"/>
      <c r="H112" s="1692">
        <f>SUM(H110:H111)</f>
        <v>7028</v>
      </c>
      <c r="I112" s="468"/>
      <c r="J112" s="468"/>
      <c r="K112" s="1692">
        <f>SUM(K110:K111)</f>
        <v>7028</v>
      </c>
      <c r="L112" s="1699">
        <f>SUM(L110,L111)</f>
        <v>3150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10984697</v>
      </c>
      <c r="D114" s="1692">
        <f t="shared" ref="D114:K114" si="13">SUM(D33,D74,D75,D102,D112,D113)</f>
        <v>2060797</v>
      </c>
      <c r="E114" s="1692">
        <f t="shared" si="13"/>
        <v>604797</v>
      </c>
      <c r="F114" s="1692">
        <f t="shared" si="13"/>
        <v>1063993</v>
      </c>
      <c r="G114" s="1692">
        <f t="shared" si="13"/>
        <v>85753</v>
      </c>
      <c r="H114" s="1692">
        <f>SUM(H33,H74,H75,H102,H112,H113)</f>
        <v>678659</v>
      </c>
      <c r="I114" s="1692">
        <f t="shared" si="13"/>
        <v>0</v>
      </c>
      <c r="J114" s="1692">
        <f t="shared" si="13"/>
        <v>0</v>
      </c>
      <c r="K114" s="1692">
        <f t="shared" si="13"/>
        <v>15478696</v>
      </c>
      <c r="L114" s="1692">
        <f>SUM(L33,L74,L75,L102,L112,L113)</f>
        <v>15397351</v>
      </c>
    </row>
    <row r="115" spans="1:14" ht="13.5" thickTop="1" x14ac:dyDescent="0.2">
      <c r="A115" s="2188" t="s">
        <v>1053</v>
      </c>
      <c r="B115" s="2189"/>
      <c r="C115" s="619"/>
      <c r="D115" s="619"/>
      <c r="E115" s="619"/>
      <c r="F115" s="619"/>
      <c r="G115" s="619"/>
      <c r="H115" s="619"/>
      <c r="I115" s="619"/>
      <c r="J115" s="619"/>
      <c r="K115" s="1706">
        <f>'Revenues 9-14'!C275-'Expenditures 15-22'!K114</f>
        <v>1795188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29107</v>
      </c>
      <c r="D124" s="466">
        <v>4843</v>
      </c>
      <c r="E124" s="466">
        <v>223969</v>
      </c>
      <c r="F124" s="466">
        <v>518547</v>
      </c>
      <c r="G124" s="466">
        <v>14396</v>
      </c>
      <c r="H124" s="466">
        <v>3576</v>
      </c>
      <c r="I124" s="467"/>
      <c r="J124" s="467"/>
      <c r="K124" s="1692">
        <f>SUM(C124:J124)</f>
        <v>794438</v>
      </c>
      <c r="L124" s="466">
        <v>835400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29107</v>
      </c>
      <c r="D127" s="1692">
        <f t="shared" ref="D127:L127" si="14">SUM(D122:D126)</f>
        <v>4843</v>
      </c>
      <c r="E127" s="1692">
        <f t="shared" si="14"/>
        <v>223969</v>
      </c>
      <c r="F127" s="1692">
        <f t="shared" si="14"/>
        <v>518547</v>
      </c>
      <c r="G127" s="1692">
        <f t="shared" si="14"/>
        <v>14396</v>
      </c>
      <c r="H127" s="1692">
        <f t="shared" si="14"/>
        <v>3576</v>
      </c>
      <c r="I127" s="1692">
        <f t="shared" si="14"/>
        <v>0</v>
      </c>
      <c r="J127" s="1692">
        <f t="shared" si="14"/>
        <v>0</v>
      </c>
      <c r="K127" s="1692">
        <f t="shared" si="14"/>
        <v>794438</v>
      </c>
      <c r="L127" s="1692">
        <f t="shared" si="14"/>
        <v>835400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29107</v>
      </c>
      <c r="D129" s="1699">
        <f t="shared" ref="D129:L129" si="15">SUM(D120,D127,D128)</f>
        <v>4843</v>
      </c>
      <c r="E129" s="1699">
        <f t="shared" si="15"/>
        <v>223969</v>
      </c>
      <c r="F129" s="1699">
        <f t="shared" si="15"/>
        <v>518547</v>
      </c>
      <c r="G129" s="1699">
        <f t="shared" si="15"/>
        <v>14396</v>
      </c>
      <c r="H129" s="1699">
        <f t="shared" si="15"/>
        <v>3576</v>
      </c>
      <c r="I129" s="1699">
        <f t="shared" si="15"/>
        <v>0</v>
      </c>
      <c r="J129" s="1699">
        <f t="shared" si="15"/>
        <v>0</v>
      </c>
      <c r="K129" s="1699">
        <f t="shared" si="15"/>
        <v>794438</v>
      </c>
      <c r="L129" s="1699">
        <f t="shared" si="15"/>
        <v>835400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1953</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5" t="s">
        <v>641</v>
      </c>
      <c r="B151" s="2185"/>
      <c r="C151" s="1692">
        <f>SUM(C129,C130,C139,C149,C150)</f>
        <v>29107</v>
      </c>
      <c r="D151" s="1692">
        <f t="shared" ref="D151:K151" si="16">SUM(D129,D130,D139,D149,D150)</f>
        <v>4843</v>
      </c>
      <c r="E151" s="1692">
        <f t="shared" si="16"/>
        <v>223969</v>
      </c>
      <c r="F151" s="1692">
        <f t="shared" si="16"/>
        <v>518547</v>
      </c>
      <c r="G151" s="1692">
        <f t="shared" si="16"/>
        <v>14396</v>
      </c>
      <c r="H151" s="1692">
        <f t="shared" si="16"/>
        <v>3576</v>
      </c>
      <c r="I151" s="1692">
        <f t="shared" si="16"/>
        <v>0</v>
      </c>
      <c r="J151" s="1692">
        <f t="shared" si="16"/>
        <v>0</v>
      </c>
      <c r="K151" s="1692">
        <f t="shared" si="16"/>
        <v>794438</v>
      </c>
      <c r="L151" s="1692">
        <f>SUM(L129,L130,L139,L149,L150)</f>
        <v>835400</v>
      </c>
    </row>
    <row r="152" spans="1:14" ht="12.75" customHeight="1" thickTop="1" x14ac:dyDescent="0.2">
      <c r="A152" s="2208" t="s">
        <v>1240</v>
      </c>
      <c r="B152" s="2209"/>
      <c r="C152" s="619"/>
      <c r="D152" s="619"/>
      <c r="E152" s="619"/>
      <c r="F152" s="619"/>
      <c r="G152" s="619"/>
      <c r="H152" s="619"/>
      <c r="I152" s="619"/>
      <c r="J152" s="617"/>
      <c r="K152" s="1706">
        <f>'Revenues 9-14'!D275-'Expenditures 15-22'!K151</f>
        <v>-44125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479374</v>
      </c>
      <c r="I169" s="617"/>
      <c r="J169" s="617"/>
      <c r="K169" s="1693">
        <f>SUM(C169:H169)</f>
        <v>479374</v>
      </c>
      <c r="L169" s="657">
        <v>476134</v>
      </c>
    </row>
    <row r="170" spans="1:14" ht="33.75" customHeight="1" x14ac:dyDescent="0.2">
      <c r="A170" s="670" t="s">
        <v>1768</v>
      </c>
      <c r="B170" s="672" t="s">
        <v>31</v>
      </c>
      <c r="C170" s="617"/>
      <c r="D170" s="617"/>
      <c r="E170" s="617"/>
      <c r="F170" s="617"/>
      <c r="G170" s="617"/>
      <c r="H170" s="569">
        <v>589642</v>
      </c>
      <c r="I170" s="617"/>
      <c r="J170" s="617"/>
      <c r="K170" s="1693">
        <f>SUM(C170:J170)</f>
        <v>589642</v>
      </c>
      <c r="L170" s="569">
        <v>595888</v>
      </c>
    </row>
    <row r="171" spans="1:14" ht="15.75" customHeight="1" x14ac:dyDescent="0.2">
      <c r="A171" s="622" t="s">
        <v>790</v>
      </c>
      <c r="B171" s="673" t="s">
        <v>86</v>
      </c>
      <c r="C171" s="617"/>
      <c r="D171" s="617"/>
      <c r="E171" s="466"/>
      <c r="F171" s="617"/>
      <c r="G171" s="617"/>
      <c r="H171" s="569">
        <v>1742</v>
      </c>
      <c r="I171" s="477"/>
      <c r="J171" s="617"/>
      <c r="K171" s="1693">
        <f>SUM(C171:J171)</f>
        <v>1742</v>
      </c>
      <c r="L171" s="569">
        <v>2000</v>
      </c>
    </row>
    <row r="172" spans="1:14" ht="12.75" customHeight="1" thickBot="1" x14ac:dyDescent="0.25">
      <c r="A172" s="1690" t="s">
        <v>659</v>
      </c>
      <c r="B172" s="1691" t="s">
        <v>513</v>
      </c>
      <c r="C172" s="617"/>
      <c r="D172" s="617"/>
      <c r="E172" s="1699">
        <f>SUM(E168,E169,E170,E171)</f>
        <v>0</v>
      </c>
      <c r="F172" s="617"/>
      <c r="G172" s="617"/>
      <c r="H172" s="1699">
        <f>SUM(H168,H169,H170,H171)</f>
        <v>1070758</v>
      </c>
      <c r="I172" s="639"/>
      <c r="J172" s="617"/>
      <c r="K172" s="1699">
        <f>SUM(K168,K169,K170,K171)</f>
        <v>1070758</v>
      </c>
      <c r="L172" s="1699">
        <f>SUM(L168,L169,L170,L171)</f>
        <v>1074022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1070758</v>
      </c>
      <c r="I174" s="639"/>
      <c r="J174" s="617"/>
      <c r="K174" s="1699">
        <f>SUM(K160,K172,K173)</f>
        <v>1070758</v>
      </c>
      <c r="L174" s="1699">
        <f>SUM(L160,L172,L173)</f>
        <v>1074022</v>
      </c>
    </row>
    <row r="175" spans="1:14" ht="13.5" thickTop="1" x14ac:dyDescent="0.2">
      <c r="A175" s="2188" t="s">
        <v>1053</v>
      </c>
      <c r="B175" s="2189"/>
      <c r="C175" s="617"/>
      <c r="D175" s="617"/>
      <c r="E175" s="617"/>
      <c r="F175" s="617"/>
      <c r="G175" s="617"/>
      <c r="H175" s="619"/>
      <c r="I175" s="617"/>
      <c r="J175" s="617"/>
      <c r="K175" s="1706">
        <f>'Revenues 9-14'!E275-'Expenditures 15-22'!K174</f>
        <v>-22832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1750</v>
      </c>
      <c r="D182" s="466">
        <v>199</v>
      </c>
      <c r="E182" s="466">
        <v>1034001</v>
      </c>
      <c r="F182" s="466">
        <v>19863</v>
      </c>
      <c r="G182" s="466">
        <v>22040</v>
      </c>
      <c r="H182" s="466"/>
      <c r="I182" s="467"/>
      <c r="J182" s="467"/>
      <c r="K182" s="1693">
        <f>SUM(C182:J182)</f>
        <v>1077853</v>
      </c>
      <c r="L182" s="466">
        <v>1027500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1750</v>
      </c>
      <c r="D184" s="1699">
        <f t="shared" ref="D184:J184" si="17">SUM(D180,D182,D183)</f>
        <v>199</v>
      </c>
      <c r="E184" s="1699">
        <f t="shared" si="17"/>
        <v>1034001</v>
      </c>
      <c r="F184" s="1699">
        <f t="shared" si="17"/>
        <v>19863</v>
      </c>
      <c r="G184" s="1699">
        <f t="shared" si="17"/>
        <v>22040</v>
      </c>
      <c r="H184" s="1699">
        <f t="shared" si="17"/>
        <v>0</v>
      </c>
      <c r="I184" s="1699">
        <f t="shared" si="17"/>
        <v>0</v>
      </c>
      <c r="J184" s="1699">
        <f t="shared" si="17"/>
        <v>0</v>
      </c>
      <c r="K184" s="1699">
        <f>SUM(K180,K182,K183)</f>
        <v>1077853</v>
      </c>
      <c r="L184" s="1699">
        <f>SUM(L180, L182:L183)</f>
        <v>1027500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1566</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v>1847</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1847</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1847</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1750</v>
      </c>
      <c r="D210" s="1692">
        <f>SUM(D184,D185)</f>
        <v>199</v>
      </c>
      <c r="E210" s="1692">
        <f>SUM(E184,E185,E196)</f>
        <v>1034001</v>
      </c>
      <c r="F210" s="1692">
        <f>SUM(F184,F185)</f>
        <v>19863</v>
      </c>
      <c r="G210" s="1692">
        <f>SUM(G184,G185)</f>
        <v>22040</v>
      </c>
      <c r="H210" s="1692">
        <f>SUM(H184,H185,H196,H208,H209)</f>
        <v>0</v>
      </c>
      <c r="I210" s="1692">
        <f>SUM(I184,I185)</f>
        <v>0</v>
      </c>
      <c r="J210" s="1692">
        <f>SUM(J184,J185)</f>
        <v>0</v>
      </c>
      <c r="K210" s="1693">
        <f>SUM(K184,K185,K196,K208,K209)</f>
        <v>1077853</v>
      </c>
      <c r="L210" s="1692">
        <f>SUM(L184,L185,L196,L208,L209)</f>
        <v>1029347</v>
      </c>
    </row>
    <row r="211" spans="1:14" ht="13.5" thickTop="1" x14ac:dyDescent="0.2">
      <c r="A211" s="2188" t="s">
        <v>1053</v>
      </c>
      <c r="B211" s="2189"/>
      <c r="C211" s="619"/>
      <c r="D211" s="619"/>
      <c r="E211" s="619"/>
      <c r="F211" s="619"/>
      <c r="G211" s="619"/>
      <c r="H211" s="619"/>
      <c r="I211" s="617"/>
      <c r="J211" s="617"/>
      <c r="K211" s="1706">
        <f>'Revenues 9-14'!F275-'Expenditures 15-22'!K210</f>
        <v>118717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98405</v>
      </c>
      <c r="E215" s="617"/>
      <c r="F215" s="617"/>
      <c r="G215" s="617"/>
      <c r="H215" s="617"/>
      <c r="I215" s="617"/>
      <c r="J215" s="617"/>
      <c r="K215" s="1693">
        <f>D215</f>
        <v>98405</v>
      </c>
      <c r="L215" s="466">
        <v>70800</v>
      </c>
    </row>
    <row r="216" spans="1:14" x14ac:dyDescent="0.2">
      <c r="A216" s="1526" t="s">
        <v>165</v>
      </c>
      <c r="B216" s="615" t="s">
        <v>1024</v>
      </c>
      <c r="C216" s="617"/>
      <c r="D216" s="467"/>
      <c r="E216" s="617"/>
      <c r="F216" s="617"/>
      <c r="G216" s="617"/>
      <c r="H216" s="617"/>
      <c r="I216" s="617"/>
      <c r="J216" s="617"/>
      <c r="K216" s="1693">
        <f t="shared" ref="K216:K228" si="19">D216</f>
        <v>0</v>
      </c>
      <c r="L216" s="466">
        <v>40500</v>
      </c>
    </row>
    <row r="217" spans="1:14" x14ac:dyDescent="0.2">
      <c r="A217" s="1526" t="s">
        <v>166</v>
      </c>
      <c r="B217" s="615">
        <v>1200</v>
      </c>
      <c r="C217" s="617"/>
      <c r="D217" s="466">
        <v>119861</v>
      </c>
      <c r="E217" s="617"/>
      <c r="F217" s="617"/>
      <c r="G217" s="617"/>
      <c r="H217" s="617"/>
      <c r="I217" s="617"/>
      <c r="J217" s="617"/>
      <c r="K217" s="1693">
        <f t="shared" si="19"/>
        <v>119861</v>
      </c>
      <c r="L217" s="466">
        <v>133635</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60237</v>
      </c>
      <c r="E219" s="617"/>
      <c r="F219" s="617"/>
      <c r="G219" s="617"/>
      <c r="H219" s="617"/>
      <c r="I219" s="617"/>
      <c r="J219" s="617"/>
      <c r="K219" s="1693">
        <f t="shared" si="19"/>
        <v>60237</v>
      </c>
      <c r="L219" s="466">
        <v>43175</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2402</v>
      </c>
      <c r="E222" s="617"/>
      <c r="F222" s="617"/>
      <c r="G222" s="617"/>
      <c r="H222" s="617"/>
      <c r="I222" s="617"/>
      <c r="J222" s="617"/>
      <c r="K222" s="1693">
        <f t="shared" si="19"/>
        <v>2402</v>
      </c>
      <c r="L222" s="466">
        <v>3200</v>
      </c>
    </row>
    <row r="223" spans="1:14" x14ac:dyDescent="0.2">
      <c r="A223" s="1526" t="s">
        <v>1020</v>
      </c>
      <c r="B223" s="615">
        <v>1500</v>
      </c>
      <c r="C223" s="617"/>
      <c r="D223" s="466">
        <v>9300</v>
      </c>
      <c r="E223" s="617"/>
      <c r="F223" s="617"/>
      <c r="G223" s="617"/>
      <c r="H223" s="617"/>
      <c r="I223" s="617"/>
      <c r="J223" s="617"/>
      <c r="K223" s="1693">
        <f t="shared" si="19"/>
        <v>9300</v>
      </c>
      <c r="L223" s="466">
        <v>10175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290205</v>
      </c>
      <c r="E229" s="617"/>
      <c r="F229" s="617"/>
      <c r="G229" s="617"/>
      <c r="H229" s="617"/>
      <c r="I229" s="617"/>
      <c r="J229" s="617"/>
      <c r="K229" s="1692">
        <f>SUM(K215:K228)</f>
        <v>290205</v>
      </c>
      <c r="L229" s="1692">
        <f>SUM(L215:L228)</f>
        <v>301485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1154</v>
      </c>
      <c r="E232" s="617"/>
      <c r="F232" s="617"/>
      <c r="G232" s="617"/>
      <c r="H232" s="617"/>
      <c r="I232" s="617"/>
      <c r="J232" s="617"/>
      <c r="K232" s="1693">
        <f t="shared" ref="K232:K237" si="20">D232</f>
        <v>1154</v>
      </c>
      <c r="L232" s="466"/>
    </row>
    <row r="233" spans="1:12" x14ac:dyDescent="0.2">
      <c r="A233" s="1526" t="s">
        <v>1151</v>
      </c>
      <c r="B233" s="615">
        <v>2120</v>
      </c>
      <c r="C233" s="617"/>
      <c r="D233" s="466">
        <v>11664</v>
      </c>
      <c r="E233" s="617"/>
      <c r="F233" s="617"/>
      <c r="G233" s="617"/>
      <c r="H233" s="617"/>
      <c r="I233" s="617"/>
      <c r="J233" s="617"/>
      <c r="K233" s="1693">
        <f t="shared" si="20"/>
        <v>11664</v>
      </c>
      <c r="L233" s="466">
        <v>14016</v>
      </c>
    </row>
    <row r="234" spans="1:12" x14ac:dyDescent="0.2">
      <c r="A234" s="1526" t="s">
        <v>207</v>
      </c>
      <c r="B234" s="615">
        <v>2130</v>
      </c>
      <c r="C234" s="617"/>
      <c r="D234" s="466">
        <v>9762</v>
      </c>
      <c r="E234" s="617"/>
      <c r="F234" s="617"/>
      <c r="G234" s="617"/>
      <c r="H234" s="617"/>
      <c r="I234" s="617"/>
      <c r="J234" s="617"/>
      <c r="K234" s="1693">
        <f t="shared" si="20"/>
        <v>9762</v>
      </c>
      <c r="L234" s="466">
        <v>10000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22580</v>
      </c>
      <c r="E238" s="617"/>
      <c r="F238" s="617"/>
      <c r="G238" s="617"/>
      <c r="H238" s="617"/>
      <c r="I238" s="617"/>
      <c r="J238" s="617"/>
      <c r="K238" s="1692">
        <f>SUM(K232:K237)</f>
        <v>22580</v>
      </c>
      <c r="L238" s="1692">
        <f>SUM(L232:L237)</f>
        <v>24016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1008</v>
      </c>
      <c r="E240" s="617"/>
      <c r="F240" s="617"/>
      <c r="G240" s="617"/>
      <c r="H240" s="617"/>
      <c r="I240" s="617"/>
      <c r="J240" s="617"/>
      <c r="K240" s="1694">
        <f>D240</f>
        <v>1008</v>
      </c>
      <c r="L240" s="481">
        <v>1390</v>
      </c>
    </row>
    <row r="241" spans="1:12" x14ac:dyDescent="0.2">
      <c r="A241" s="1526" t="s">
        <v>869</v>
      </c>
      <c r="B241" s="615">
        <v>2220</v>
      </c>
      <c r="C241" s="617"/>
      <c r="D241" s="466">
        <v>21006</v>
      </c>
      <c r="E241" s="617"/>
      <c r="F241" s="617"/>
      <c r="G241" s="617"/>
      <c r="H241" s="617"/>
      <c r="I241" s="617"/>
      <c r="J241" s="617"/>
      <c r="K241" s="1694">
        <f>D241</f>
        <v>21006</v>
      </c>
      <c r="L241" s="466">
        <v>36500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22014</v>
      </c>
      <c r="E243" s="617"/>
      <c r="F243" s="617"/>
      <c r="G243" s="617"/>
      <c r="H243" s="617"/>
      <c r="I243" s="617"/>
      <c r="J243" s="617"/>
      <c r="K243" s="1692">
        <f>SUM(K240:K242)</f>
        <v>22014</v>
      </c>
      <c r="L243" s="1692">
        <f>SUM(L240:L242)</f>
        <v>37890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5256</v>
      </c>
      <c r="E246" s="617"/>
      <c r="F246" s="617"/>
      <c r="G246" s="617"/>
      <c r="H246" s="617"/>
      <c r="I246" s="617"/>
      <c r="J246" s="617"/>
      <c r="K246" s="1694">
        <f t="shared" ref="K246:K256" si="21">D246</f>
        <v>5256</v>
      </c>
      <c r="L246" s="466">
        <v>8075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5256</v>
      </c>
      <c r="E257" s="617"/>
      <c r="F257" s="617"/>
      <c r="G257" s="617"/>
      <c r="H257" s="617"/>
      <c r="I257" s="617"/>
      <c r="J257" s="617"/>
      <c r="K257" s="1692">
        <f>SUM(K245:K256)</f>
        <v>5256</v>
      </c>
      <c r="L257" s="1692">
        <f>SUM(L245:L256)</f>
        <v>8075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59182</v>
      </c>
      <c r="E259" s="617"/>
      <c r="F259" s="617"/>
      <c r="G259" s="617"/>
      <c r="H259" s="617"/>
      <c r="I259" s="617"/>
      <c r="J259" s="617"/>
      <c r="K259" s="1694">
        <f>D259</f>
        <v>59182</v>
      </c>
      <c r="L259" s="481">
        <v>57950</v>
      </c>
    </row>
    <row r="260" spans="1:14" s="598" customFormat="1" x14ac:dyDescent="0.2">
      <c r="A260" s="1544" t="s">
        <v>1904</v>
      </c>
      <c r="B260" s="629">
        <v>2490</v>
      </c>
      <c r="C260" s="617"/>
      <c r="D260" s="466">
        <v>413</v>
      </c>
      <c r="E260" s="617"/>
      <c r="F260" s="617"/>
      <c r="G260" s="617"/>
      <c r="H260" s="617"/>
      <c r="I260" s="617"/>
      <c r="J260" s="617"/>
      <c r="K260" s="1694">
        <f>D260</f>
        <v>413</v>
      </c>
      <c r="L260" s="466">
        <v>138</v>
      </c>
      <c r="M260" s="210"/>
      <c r="N260" s="210"/>
    </row>
    <row r="261" spans="1:14" ht="12.75" customHeight="1" thickBot="1" x14ac:dyDescent="0.25">
      <c r="A261" s="1714" t="s">
        <v>281</v>
      </c>
      <c r="B261" s="1719" t="s">
        <v>34</v>
      </c>
      <c r="C261" s="617"/>
      <c r="D261" s="1692">
        <f>SUM(D259:D260)</f>
        <v>59595</v>
      </c>
      <c r="E261" s="617"/>
      <c r="F261" s="617"/>
      <c r="G261" s="617"/>
      <c r="H261" s="617"/>
      <c r="I261" s="617"/>
      <c r="J261" s="617"/>
      <c r="K261" s="1692">
        <f>SUM(K259:K260)</f>
        <v>59595</v>
      </c>
      <c r="L261" s="1692">
        <f>SUM(L259:L260)</f>
        <v>58088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13345</v>
      </c>
      <c r="E263" s="617"/>
      <c r="F263" s="617"/>
      <c r="G263" s="617"/>
      <c r="H263" s="617"/>
      <c r="I263" s="617"/>
      <c r="J263" s="617"/>
      <c r="K263" s="1694">
        <f>D263</f>
        <v>13345</v>
      </c>
      <c r="L263" s="481">
        <v>14200</v>
      </c>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124040</v>
      </c>
      <c r="E266" s="617"/>
      <c r="F266" s="617"/>
      <c r="G266" s="617"/>
      <c r="H266" s="617"/>
      <c r="I266" s="617"/>
      <c r="J266" s="617"/>
      <c r="K266" s="1694">
        <f t="shared" si="22"/>
        <v>124040</v>
      </c>
      <c r="L266" s="466">
        <v>122000</v>
      </c>
    </row>
    <row r="267" spans="1:14" x14ac:dyDescent="0.2">
      <c r="A267" s="1526" t="s">
        <v>1010</v>
      </c>
      <c r="B267" s="615">
        <v>2550</v>
      </c>
      <c r="C267" s="617"/>
      <c r="D267" s="466">
        <v>19</v>
      </c>
      <c r="E267" s="617"/>
      <c r="F267" s="617"/>
      <c r="G267" s="617"/>
      <c r="H267" s="617"/>
      <c r="I267" s="617"/>
      <c r="J267" s="617"/>
      <c r="K267" s="1694">
        <f t="shared" si="22"/>
        <v>19</v>
      </c>
      <c r="L267" s="466"/>
    </row>
    <row r="268" spans="1:14" x14ac:dyDescent="0.2">
      <c r="A268" s="1526" t="s">
        <v>102</v>
      </c>
      <c r="B268" s="615">
        <v>2560</v>
      </c>
      <c r="C268" s="617"/>
      <c r="D268" s="466">
        <v>45698</v>
      </c>
      <c r="E268" s="617"/>
      <c r="F268" s="617"/>
      <c r="G268" s="617"/>
      <c r="H268" s="617"/>
      <c r="I268" s="617"/>
      <c r="J268" s="617"/>
      <c r="K268" s="1694">
        <f t="shared" si="22"/>
        <v>45698</v>
      </c>
      <c r="L268" s="466">
        <v>51000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183102</v>
      </c>
      <c r="E270" s="617"/>
      <c r="F270" s="617"/>
      <c r="G270" s="617"/>
      <c r="H270" s="617"/>
      <c r="I270" s="617"/>
      <c r="J270" s="617"/>
      <c r="K270" s="1692">
        <f>SUM(K263:K269)</f>
        <v>183102</v>
      </c>
      <c r="L270" s="1692">
        <f>SUM(L263:L269)</f>
        <v>187200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4840</v>
      </c>
      <c r="E278" s="617"/>
      <c r="F278" s="617"/>
      <c r="G278" s="617"/>
      <c r="H278" s="617"/>
      <c r="I278" s="617"/>
      <c r="J278" s="617"/>
      <c r="K278" s="1707">
        <f>D278</f>
        <v>4840</v>
      </c>
      <c r="L278" s="657"/>
    </row>
    <row r="279" spans="1:12" ht="12.75" customHeight="1" thickBot="1" x14ac:dyDescent="0.25">
      <c r="A279" s="1720" t="s">
        <v>865</v>
      </c>
      <c r="B279" s="1703">
        <v>2000</v>
      </c>
      <c r="C279" s="617"/>
      <c r="D279" s="1699">
        <f>SUM(D238,D243,D257,D261,D270,D277,D278)</f>
        <v>297387</v>
      </c>
      <c r="E279" s="617"/>
      <c r="F279" s="617"/>
      <c r="G279" s="617"/>
      <c r="H279" s="617"/>
      <c r="I279" s="617"/>
      <c r="J279" s="617"/>
      <c r="K279" s="1699">
        <f>SUM(K238,K243,K257,K261,K270,K277,K278)</f>
        <v>297387</v>
      </c>
      <c r="L279" s="1699">
        <f>SUM(L238,L243,L257,L261,L270,L277,L278)</f>
        <v>315269</v>
      </c>
    </row>
    <row r="280" spans="1:12" ht="15.75" customHeight="1" thickTop="1" thickBot="1" x14ac:dyDescent="0.25">
      <c r="A280" s="1646" t="s">
        <v>930</v>
      </c>
      <c r="B280" s="1635">
        <v>3000</v>
      </c>
      <c r="C280" s="617"/>
      <c r="D280" s="576">
        <v>1290</v>
      </c>
      <c r="E280" s="617"/>
      <c r="F280" s="617"/>
      <c r="G280" s="617"/>
      <c r="H280" s="617"/>
      <c r="I280" s="617"/>
      <c r="J280" s="617"/>
      <c r="K280" s="1701">
        <f>D280</f>
        <v>1290</v>
      </c>
      <c r="L280" s="576">
        <v>2670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1953</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v>7300</v>
      </c>
    </row>
    <row r="285" spans="1:12" ht="12.75" customHeight="1" thickBot="1" x14ac:dyDescent="0.25">
      <c r="A285" s="1690" t="s">
        <v>1566</v>
      </c>
      <c r="B285" s="1691" t="s">
        <v>915</v>
      </c>
      <c r="C285" s="617"/>
      <c r="D285" s="1692">
        <f>SUM(D282:D284)</f>
        <v>0</v>
      </c>
      <c r="E285" s="617"/>
      <c r="F285" s="617"/>
      <c r="G285" s="617"/>
      <c r="H285" s="617"/>
      <c r="I285" s="617"/>
      <c r="J285" s="617"/>
      <c r="K285" s="1692">
        <f>SUM(K282:K284)</f>
        <v>0</v>
      </c>
      <c r="L285" s="1692">
        <f>SUM(L282:L284)</f>
        <v>7300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6" t="s">
        <v>526</v>
      </c>
      <c r="B295" s="2207"/>
      <c r="C295" s="617"/>
      <c r="D295" s="1692">
        <f>SUM(D229,D279,D280,D285)</f>
        <v>588882</v>
      </c>
      <c r="E295" s="617"/>
      <c r="F295" s="617"/>
      <c r="G295" s="617"/>
      <c r="H295" s="1692">
        <f>H293</f>
        <v>0</v>
      </c>
      <c r="I295" s="617"/>
      <c r="J295" s="617"/>
      <c r="K295" s="1692">
        <f>SUM(K229,K279,K280,K285,K293,K294)</f>
        <v>588882</v>
      </c>
      <c r="L295" s="1692">
        <f>SUM(L229,L279,L280,L285,L293,L294)</f>
        <v>626724</v>
      </c>
    </row>
    <row r="296" spans="1:14" ht="13.5" thickTop="1" x14ac:dyDescent="0.2">
      <c r="A296" s="2188" t="s">
        <v>1053</v>
      </c>
      <c r="B296" s="2189"/>
      <c r="C296" s="617"/>
      <c r="D296" s="619"/>
      <c r="E296" s="617"/>
      <c r="F296" s="617"/>
      <c r="G296" s="617"/>
      <c r="H296" s="688"/>
      <c r="I296" s="617"/>
      <c r="J296" s="617"/>
      <c r="K296" s="1706">
        <f>'Revenues 9-14'!G275-'Expenditures 15-22'!K295</f>
        <v>21547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7273594</v>
      </c>
      <c r="H301" s="466">
        <v>832537</v>
      </c>
      <c r="I301" s="467"/>
      <c r="J301" s="467"/>
      <c r="K301" s="1693">
        <f>SUM(C301:J301)</f>
        <v>8106131</v>
      </c>
      <c r="L301" s="467">
        <v>8000000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7273594</v>
      </c>
      <c r="H303" s="1699">
        <f t="shared" si="23"/>
        <v>832537</v>
      </c>
      <c r="I303" s="1699">
        <f t="shared" si="23"/>
        <v>0</v>
      </c>
      <c r="J303" s="1699">
        <f t="shared" si="23"/>
        <v>0</v>
      </c>
      <c r="K303" s="1699">
        <f t="shared" si="23"/>
        <v>8106131</v>
      </c>
      <c r="L303" s="1699">
        <f t="shared" si="23"/>
        <v>8000000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v>905790</v>
      </c>
    </row>
    <row r="310" spans="1:14" ht="12.75" customHeight="1" thickBot="1" x14ac:dyDescent="0.25">
      <c r="A310" s="1690" t="s">
        <v>1566</v>
      </c>
      <c r="B310" s="1697" t="s">
        <v>915</v>
      </c>
      <c r="C310" s="617"/>
      <c r="D310" s="617"/>
      <c r="E310" s="1692">
        <f>SUM(E306:E309)</f>
        <v>0</v>
      </c>
      <c r="F310" s="617"/>
      <c r="G310" s="617"/>
      <c r="H310" s="1692">
        <f>SUM(H306:H309)</f>
        <v>0</v>
      </c>
      <c r="I310" s="477"/>
      <c r="J310" s="617"/>
      <c r="K310" s="1692">
        <f>SUM(K306:K309)</f>
        <v>0</v>
      </c>
      <c r="L310" s="1699">
        <f>SUM(L306:L309)</f>
        <v>905790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203" t="s">
        <v>295</v>
      </c>
      <c r="B312" s="2204"/>
      <c r="C312" s="1692">
        <f>SUM(C303)</f>
        <v>0</v>
      </c>
      <c r="D312" s="1692">
        <f>SUM(D303)</f>
        <v>0</v>
      </c>
      <c r="E312" s="1692">
        <f>SUM(E303,E310)</f>
        <v>0</v>
      </c>
      <c r="F312" s="1692">
        <f>SUM(F303)</f>
        <v>0</v>
      </c>
      <c r="G312" s="1692">
        <f>SUM(G303)</f>
        <v>7273594</v>
      </c>
      <c r="H312" s="1692">
        <f>SUM(H303,H310)</f>
        <v>832537</v>
      </c>
      <c r="I312" s="1692">
        <f>SUM(I303)</f>
        <v>0</v>
      </c>
      <c r="J312" s="1692">
        <f>SUM(J303)</f>
        <v>0</v>
      </c>
      <c r="K312" s="1692">
        <f>SUM(K303,K310,K311)</f>
        <v>8106131</v>
      </c>
      <c r="L312" s="1692">
        <f>SUM(L303,L310,L311)</f>
        <v>8905790</v>
      </c>
      <c r="M312" s="666"/>
      <c r="N312" s="666"/>
    </row>
    <row r="313" spans="1:14" ht="13.5" thickTop="1" x14ac:dyDescent="0.2">
      <c r="A313" s="2199" t="s">
        <v>1053</v>
      </c>
      <c r="B313" s="2200"/>
      <c r="C313" s="627"/>
      <c r="D313" s="627"/>
      <c r="E313" s="627"/>
      <c r="F313" s="627"/>
      <c r="G313" s="627"/>
      <c r="H313" s="627"/>
      <c r="I313" s="627"/>
      <c r="J313" s="627"/>
      <c r="K313" s="1707">
        <f>'Revenues 9-14'!H275-'Expenditures 15-22'!K312</f>
        <v>-7094568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v>456</v>
      </c>
      <c r="F319" s="467"/>
      <c r="G319" s="467"/>
      <c r="H319" s="467"/>
      <c r="I319" s="467"/>
      <c r="J319" s="467"/>
      <c r="K319" s="1693">
        <f>SUM(C319:J319)</f>
        <v>456</v>
      </c>
      <c r="L319" s="467">
        <v>500</v>
      </c>
      <c r="M319" s="666"/>
      <c r="N319" s="666"/>
    </row>
    <row r="320" spans="1:14" s="675" customFormat="1" x14ac:dyDescent="0.2">
      <c r="A320" s="1545" t="s">
        <v>1905</v>
      </c>
      <c r="B320" s="699" t="s">
        <v>300</v>
      </c>
      <c r="C320" s="467"/>
      <c r="D320" s="467"/>
      <c r="E320" s="467">
        <v>87457</v>
      </c>
      <c r="F320" s="467"/>
      <c r="G320" s="467"/>
      <c r="H320" s="467"/>
      <c r="I320" s="467"/>
      <c r="J320" s="467"/>
      <c r="K320" s="1693">
        <f t="shared" ref="K320:K327" si="24">SUM(C320:J320)</f>
        <v>87457</v>
      </c>
      <c r="L320" s="467">
        <v>102000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241465</v>
      </c>
      <c r="F322" s="467"/>
      <c r="G322" s="467"/>
      <c r="H322" s="467"/>
      <c r="I322" s="467"/>
      <c r="J322" s="467"/>
      <c r="K322" s="1693">
        <f t="shared" si="24"/>
        <v>241465</v>
      </c>
      <c r="L322" s="467">
        <v>206800</v>
      </c>
      <c r="M322" s="666"/>
      <c r="N322" s="666"/>
    </row>
    <row r="323" spans="1:14" s="675" customFormat="1" x14ac:dyDescent="0.2">
      <c r="A323" s="1541" t="s">
        <v>726</v>
      </c>
      <c r="B323" s="698" t="s">
        <v>303</v>
      </c>
      <c r="C323" s="467"/>
      <c r="D323" s="467"/>
      <c r="E323" s="467">
        <v>3775</v>
      </c>
      <c r="F323" s="467"/>
      <c r="G323" s="467"/>
      <c r="H323" s="467"/>
      <c r="I323" s="467"/>
      <c r="J323" s="467"/>
      <c r="K323" s="1693">
        <f t="shared" si="24"/>
        <v>3775</v>
      </c>
      <c r="L323" s="467">
        <v>8000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89998</v>
      </c>
      <c r="F325" s="467"/>
      <c r="G325" s="467">
        <v>1000</v>
      </c>
      <c r="H325" s="467"/>
      <c r="I325" s="467"/>
      <c r="J325" s="467"/>
      <c r="K325" s="1693">
        <f t="shared" si="24"/>
        <v>90998</v>
      </c>
      <c r="L325" s="467">
        <v>54000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17314</v>
      </c>
      <c r="F327" s="467">
        <v>24139</v>
      </c>
      <c r="G327" s="467"/>
      <c r="H327" s="467"/>
      <c r="I327" s="467"/>
      <c r="J327" s="467"/>
      <c r="K327" s="1693">
        <f t="shared" si="24"/>
        <v>41453</v>
      </c>
      <c r="L327" s="467">
        <v>24000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440465</v>
      </c>
      <c r="F330" s="1692">
        <f t="shared" si="25"/>
        <v>24139</v>
      </c>
      <c r="G330" s="1692">
        <f t="shared" si="25"/>
        <v>1000</v>
      </c>
      <c r="H330" s="1692">
        <f t="shared" si="25"/>
        <v>0</v>
      </c>
      <c r="I330" s="1692">
        <f t="shared" si="25"/>
        <v>0</v>
      </c>
      <c r="J330" s="1692">
        <f t="shared" si="25"/>
        <v>0</v>
      </c>
      <c r="K330" s="1692">
        <f>SUM(K319:K329)</f>
        <v>465604</v>
      </c>
      <c r="L330" s="1692">
        <f>SUM(L319:L329)</f>
        <v>395300</v>
      </c>
      <c r="M330" s="666"/>
      <c r="N330" s="666"/>
    </row>
    <row r="331" spans="1:14" s="675" customFormat="1" ht="12.75" customHeight="1" thickTop="1" x14ac:dyDescent="0.2">
      <c r="A331" s="1854" t="s">
        <v>1959</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440465</v>
      </c>
      <c r="F342" s="1692">
        <f>SUM(F330)</f>
        <v>24139</v>
      </c>
      <c r="G342" s="1692">
        <f>SUM(G330)</f>
        <v>1000</v>
      </c>
      <c r="H342" s="1692">
        <f>SUM(H330,H334,H340)</f>
        <v>0</v>
      </c>
      <c r="I342" s="1692">
        <f>SUM(I330)</f>
        <v>0</v>
      </c>
      <c r="J342" s="1692">
        <f>SUM(J330)</f>
        <v>0</v>
      </c>
      <c r="K342" s="1692">
        <f>SUM(K330,K334,K340)</f>
        <v>465604</v>
      </c>
      <c r="L342" s="1699">
        <f>SUM(L330,L340,L341)</f>
        <v>395300</v>
      </c>
    </row>
    <row r="343" spans="1:14" ht="12.75" customHeight="1" thickTop="1" x14ac:dyDescent="0.2">
      <c r="A343" s="2201" t="s">
        <v>1053</v>
      </c>
      <c r="B343" s="2202"/>
      <c r="C343" s="617"/>
      <c r="D343" s="617"/>
      <c r="E343" s="617"/>
      <c r="F343" s="617"/>
      <c r="G343" s="617"/>
      <c r="H343" s="617"/>
      <c r="I343" s="617"/>
      <c r="J343" s="617"/>
      <c r="K343" s="1706">
        <f>'Revenues 9-14'!J275-'Expenditures 15-22'!K342</f>
        <v>71834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1515412</v>
      </c>
      <c r="H348" s="466"/>
      <c r="I348" s="467"/>
      <c r="J348" s="467"/>
      <c r="K348" s="1693">
        <f>SUM(C348:J348)</f>
        <v>1515412</v>
      </c>
      <c r="L348" s="466">
        <v>2500000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1515412</v>
      </c>
      <c r="H350" s="1692">
        <f t="shared" si="26"/>
        <v>0</v>
      </c>
      <c r="I350" s="1692">
        <f t="shared" si="26"/>
        <v>0</v>
      </c>
      <c r="J350" s="1692">
        <f t="shared" si="26"/>
        <v>0</v>
      </c>
      <c r="K350" s="1692">
        <f t="shared" si="26"/>
        <v>1515412</v>
      </c>
      <c r="L350" s="1692">
        <f t="shared" si="26"/>
        <v>2500000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1515412</v>
      </c>
      <c r="H352" s="1692">
        <f t="shared" si="27"/>
        <v>0</v>
      </c>
      <c r="I352" s="1692">
        <f t="shared" si="27"/>
        <v>0</v>
      </c>
      <c r="J352" s="1692">
        <f t="shared" si="27"/>
        <v>0</v>
      </c>
      <c r="K352" s="1692">
        <f t="shared" si="27"/>
        <v>1515412</v>
      </c>
      <c r="L352" s="1692">
        <f t="shared" si="27"/>
        <v>2500000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1566</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1515412</v>
      </c>
      <c r="H367" s="1692">
        <f t="shared" si="28"/>
        <v>0</v>
      </c>
      <c r="I367" s="1692">
        <f t="shared" si="28"/>
        <v>0</v>
      </c>
      <c r="J367" s="1692">
        <f t="shared" si="28"/>
        <v>0</v>
      </c>
      <c r="K367" s="1692">
        <f t="shared" si="28"/>
        <v>1515412</v>
      </c>
      <c r="L367" s="1692">
        <f t="shared" si="28"/>
        <v>2500000</v>
      </c>
    </row>
    <row r="368" spans="1:14" ht="13.5" thickTop="1" x14ac:dyDescent="0.2">
      <c r="A368" s="2188" t="s">
        <v>1053</v>
      </c>
      <c r="B368" s="2189"/>
      <c r="C368" s="655"/>
      <c r="D368" s="655"/>
      <c r="E368" s="627"/>
      <c r="F368" s="627"/>
      <c r="G368" s="627"/>
      <c r="H368" s="627"/>
      <c r="I368" s="627"/>
      <c r="J368" s="624"/>
      <c r="K368" s="1693">
        <f>'Revenues 9-14'!K275-'Expenditures 15-22'!K367</f>
        <v>-1441268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2018</oddHeader>
    <oddFooter>&amp;CThe mnotes tomthe financial statements are an integral part of this statement.
&amp;P</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6ce3111e-7420-4802-b50a-75d4e9a0b980"/>
    <ds:schemaRef ds:uri="http://purl.org/dc/terms/"/>
    <ds:schemaRef ds:uri="d21dc803-237d-4c68-8692-8d731fd29118"/>
    <ds:schemaRef ds:uri="http://www.w3.org/XML/1998/namespace"/>
    <ds:schemaRef ds:uri="http://purl.org/dc/elements/1.1/"/>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2018-10-01T12:57:45Z</cp:lastPrinted>
  <dcterms:created xsi:type="dcterms:W3CDTF">2003-10-29T19:06:34Z</dcterms:created>
  <dcterms:modified xsi:type="dcterms:W3CDTF">2018-12-03T19:33:24Z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