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5360" windowHeight="15435" tabRatio="95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E18" i="181"/>
  <c r="F18" i="181" s="1"/>
  <c r="G18" i="181" s="1"/>
  <c r="F19" i="181" l="1"/>
  <c r="G19" i="181" s="1"/>
  <c r="D141" i="18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2"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D7761" i="106" s="1"/>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D27" i="108"/>
  <c r="E27" i="108"/>
  <c r="F27" i="108"/>
  <c r="G27" i="108"/>
  <c r="F31" i="108"/>
  <c r="G28" i="108"/>
  <c r="E30" i="108"/>
  <c r="G30" i="108"/>
  <c r="D31"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D14" i="4"/>
  <c r="B2570" i="106" s="1"/>
  <c r="D2570" i="106" s="1"/>
  <c r="F14" i="4"/>
  <c r="B2597" i="106" s="1"/>
  <c r="D2597" i="106" s="1"/>
  <c r="B2633" i="106"/>
  <c r="D2633" i="106" s="1"/>
  <c r="D7" i="118"/>
  <c r="D8" i="118"/>
  <c r="D9" i="118"/>
  <c r="H14" i="118"/>
  <c r="H19" i="118"/>
  <c r="H24" i="118"/>
  <c r="D54" i="36" l="1"/>
  <c r="L13" i="11"/>
  <c r="B2060" i="106" s="1"/>
  <c r="D2060" i="106" s="1"/>
  <c r="F41" i="34"/>
  <c r="B7078" i="106"/>
  <c r="D7078" i="106" s="1"/>
  <c r="B7047" i="106"/>
  <c r="D7047" i="106" s="1"/>
  <c r="G35" i="108"/>
  <c r="E35" i="108"/>
  <c r="E28" i="108"/>
  <c r="G39" i="108"/>
  <c r="F70" i="34"/>
  <c r="B1126" i="106"/>
  <c r="D1126" i="106" s="1"/>
  <c r="D6103" i="106"/>
  <c r="H33" i="118"/>
  <c r="F36" i="108"/>
  <c r="F50" i="34"/>
  <c r="F44" i="34"/>
  <c r="D36" i="108"/>
  <c r="D69" i="36"/>
  <c r="D17" i="7"/>
  <c r="B4104" i="106" s="1"/>
  <c r="D4104" i="106" s="1"/>
  <c r="B6289" i="106"/>
  <c r="D6289" i="106" s="1"/>
  <c r="F35" i="34"/>
  <c r="F45" i="34"/>
  <c r="F52" i="34"/>
  <c r="D37" i="108"/>
  <c r="F37" i="108"/>
  <c r="F28" i="108"/>
  <c r="L15" i="11"/>
  <c r="B3459" i="106" s="1"/>
  <c r="D3459" i="106" s="1"/>
  <c r="L5" i="11"/>
  <c r="B2056" i="106" s="1"/>
  <c r="D2056" i="106" s="1"/>
  <c r="D68" i="36"/>
  <c r="J22" i="37"/>
  <c r="D9" i="7"/>
  <c r="B1767" i="106" s="1"/>
  <c r="D1767" i="106" s="1"/>
  <c r="B1223" i="106"/>
  <c r="D1223" i="106" s="1"/>
  <c r="F42" i="34"/>
  <c r="F46" i="34"/>
  <c r="H342" i="29"/>
  <c r="B7221" i="106" s="1"/>
  <c r="D7221" i="106" s="1"/>
  <c r="B1274" i="106"/>
  <c r="D1274" i="106" s="1"/>
  <c r="B1124" i="106"/>
  <c r="D1124" i="106" s="1"/>
  <c r="D15" i="7"/>
  <c r="B1772" i="106" s="1"/>
  <c r="D1772" i="106" s="1"/>
  <c r="D11" i="7"/>
  <c r="B1768" i="106" s="1"/>
  <c r="D1768" i="106" s="1"/>
  <c r="F131" i="34"/>
  <c r="F136" i="34"/>
  <c r="I274" i="5"/>
  <c r="B4435" i="106" s="1"/>
  <c r="D4435" i="106" s="1"/>
  <c r="I24" i="12"/>
  <c r="B1996" i="106" s="1"/>
  <c r="D1996" i="106" s="1"/>
  <c r="B2733" i="106"/>
  <c r="D2733" i="106" s="1"/>
  <c r="D7" i="7"/>
  <c r="B1763" i="106" s="1"/>
  <c r="D1763" i="106" s="1"/>
  <c r="L22" i="37"/>
  <c r="D31" i="36"/>
  <c r="D11" i="37"/>
  <c r="H29" i="118"/>
  <c r="K24" i="12"/>
  <c r="B1990" i="106"/>
  <c r="D1990" i="106" s="1"/>
  <c r="H28" i="118"/>
  <c r="N22" i="3"/>
  <c r="B283" i="106" s="1"/>
  <c r="D283" i="106" s="1"/>
  <c r="F21" i="8"/>
  <c r="D24" i="37"/>
  <c r="B4270" i="106" s="1"/>
  <c r="D4270" i="106" s="1"/>
  <c r="B1746" i="106"/>
  <c r="D1746" i="106" s="1"/>
  <c r="D13" i="7"/>
  <c r="B3726" i="106" s="1"/>
  <c r="D3726" i="106" s="1"/>
  <c r="D4" i="7"/>
  <c r="B1760" i="106" s="1"/>
  <c r="D1760" i="106" s="1"/>
  <c r="F19" i="7"/>
  <c r="B1807" i="106" s="1"/>
  <c r="D1807" i="106" s="1"/>
  <c r="F172" i="5"/>
  <c r="B5644" i="106" s="1"/>
  <c r="D5644" i="106" s="1"/>
  <c r="H109" i="5"/>
  <c r="B6025" i="106" s="1"/>
  <c r="D6025" i="106" s="1"/>
  <c r="J274" i="5"/>
  <c r="B7054" i="106" s="1"/>
  <c r="D7054" i="106" s="1"/>
  <c r="H173" i="5"/>
  <c r="B5906" i="106" s="1"/>
  <c r="D5906" i="106" s="1"/>
  <c r="G172" i="5"/>
  <c r="G173" i="5" s="1"/>
  <c r="B5778" i="106" s="1"/>
  <c r="D5778" i="106" s="1"/>
  <c r="F127" i="34"/>
  <c r="C109" i="5"/>
  <c r="B5121" i="106" s="1"/>
  <c r="D5121" i="106" s="1"/>
  <c r="B5847" i="106"/>
  <c r="D5847" i="106" s="1"/>
  <c r="F128" i="34"/>
  <c r="D5" i="7"/>
  <c r="B1761" i="106" s="1"/>
  <c r="D1761" i="106" s="1"/>
  <c r="D5" i="4"/>
  <c r="B3406" i="106" s="1"/>
  <c r="D3406" i="106" s="1"/>
  <c r="C342" i="29"/>
  <c r="B7216" i="106" s="1"/>
  <c r="D7216" i="106" s="1"/>
  <c r="H76" i="4"/>
  <c r="B3298" i="106" s="1"/>
  <c r="D3298" i="106" s="1"/>
  <c r="J77" i="4"/>
  <c r="B6262" i="106" s="1"/>
  <c r="D6262" i="106" s="1"/>
  <c r="J352" i="29"/>
  <c r="F34" i="34"/>
  <c r="G38" i="108"/>
  <c r="E38" i="108"/>
  <c r="H365" i="29"/>
  <c r="B7242" i="106" s="1"/>
  <c r="D7242" i="106" s="1"/>
  <c r="B2724" i="106"/>
  <c r="D2724" i="106" s="1"/>
  <c r="I342" i="29"/>
  <c r="B7222" i="106" s="1"/>
  <c r="D7222" i="106" s="1"/>
  <c r="B6238" i="106"/>
  <c r="D6238" i="106" s="1"/>
  <c r="F77" i="4"/>
  <c r="B3255" i="106" s="1"/>
  <c r="D3255" i="106" s="1"/>
  <c r="G29" i="108"/>
  <c r="E29" i="108"/>
  <c r="B1329" i="106"/>
  <c r="D1329" i="106" s="1"/>
  <c r="F61" i="34"/>
  <c r="I210" i="29"/>
  <c r="J129" i="29"/>
  <c r="B7038" i="106" s="1"/>
  <c r="D7038" i="106" s="1"/>
  <c r="K184" i="29"/>
  <c r="F13" i="4" s="1"/>
  <c r="B2596" i="106" s="1"/>
  <c r="D2596" i="106" s="1"/>
  <c r="F94" i="34"/>
  <c r="K173" i="5"/>
  <c r="K6" i="4" s="1"/>
  <c r="B3570" i="106" s="1"/>
  <c r="D3570" i="106" s="1"/>
  <c r="G5" i="4"/>
  <c r="B3409" i="106" s="1"/>
  <c r="D3409" i="106" s="1"/>
  <c r="I173" i="5"/>
  <c r="B4216" i="106" s="1"/>
  <c r="D4216" i="106" s="1"/>
  <c r="G109" i="5"/>
  <c r="K274" i="5"/>
  <c r="B6022" i="106" s="1"/>
  <c r="D6022" i="106" s="1"/>
  <c r="F111" i="34"/>
  <c r="F106" i="34"/>
  <c r="D109" i="5"/>
  <c r="F130" i="34"/>
  <c r="B7041" i="106"/>
  <c r="D7041" i="106" s="1"/>
  <c r="E109" i="5"/>
  <c r="E4" i="4" s="1"/>
  <c r="B2630" i="106" s="1"/>
  <c r="D2630" i="106" s="1"/>
  <c r="D12" i="7"/>
  <c r="B1769" i="106" s="1"/>
  <c r="D1769" i="106" s="1"/>
  <c r="C172" i="5"/>
  <c r="K76" i="4"/>
  <c r="B3586" i="106" s="1"/>
  <c r="D3586" i="106" s="1"/>
  <c r="J41" i="3"/>
  <c r="D51" i="36" s="1"/>
  <c r="K41" i="3"/>
  <c r="B3568" i="106" s="1"/>
  <c r="D3568" i="106" s="1"/>
  <c r="B3649" i="106"/>
  <c r="D3649" i="106" s="1"/>
  <c r="G367" i="29"/>
  <c r="B3650" i="106" s="1"/>
  <c r="D3650" i="106" s="1"/>
  <c r="L367" i="29"/>
  <c r="L342" i="29"/>
  <c r="B3647" i="106"/>
  <c r="D3647" i="106" s="1"/>
  <c r="L312" i="29"/>
  <c r="B1410" i="106"/>
  <c r="D1410" i="106" s="1"/>
  <c r="J210" i="29"/>
  <c r="B7072" i="106" s="1"/>
  <c r="D7072" i="106" s="1"/>
  <c r="K350" i="29"/>
  <c r="K285" i="29"/>
  <c r="C352" i="29"/>
  <c r="G210" i="29"/>
  <c r="E174" i="29"/>
  <c r="B1309" i="106" s="1"/>
  <c r="D1309" i="106" s="1"/>
  <c r="I129" i="29"/>
  <c r="B7037" i="106" s="1"/>
  <c r="D7037"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1" i="106" l="1"/>
  <c r="D7254" i="106"/>
  <c r="D7255" i="106"/>
  <c r="B1328" i="106"/>
  <c r="D1328" i="106" s="1"/>
  <c r="D7253" i="106"/>
  <c r="D7256" i="106"/>
  <c r="D7250" i="106"/>
  <c r="D7252" i="106"/>
  <c r="D41" i="108"/>
  <c r="E43" i="108" s="1"/>
  <c r="H77" i="4"/>
  <c r="B3299" i="106" s="1"/>
  <c r="D3299" i="106" s="1"/>
  <c r="F41" i="108"/>
  <c r="G43" i="108" s="1"/>
  <c r="J7" i="4"/>
  <c r="B6222" i="106" s="1"/>
  <c r="D6222" i="106" s="1"/>
  <c r="B5770" i="106"/>
  <c r="D5770" i="106" s="1"/>
  <c r="H6" i="4"/>
  <c r="B2656" i="106" s="1"/>
  <c r="D2656" i="106" s="1"/>
  <c r="G6" i="4"/>
  <c r="B2604" i="106" s="1"/>
  <c r="D2604" i="106" s="1"/>
  <c r="H151" i="29"/>
  <c r="B1273" i="106" s="1"/>
  <c r="D1273" i="106" s="1"/>
  <c r="B1317" i="106"/>
  <c r="D1317" i="106" s="1"/>
  <c r="K28" i="118"/>
  <c r="O27" i="118" s="1"/>
  <c r="O29" i="118" s="1"/>
  <c r="H275" i="5"/>
  <c r="B5915" i="106" s="1"/>
  <c r="D5915" i="106" s="1"/>
  <c r="F173" i="5"/>
  <c r="F6" i="4" s="1"/>
  <c r="B2593" i="106" s="1"/>
  <c r="D2593" i="106" s="1"/>
  <c r="B5527" i="106"/>
  <c r="D5527" i="106" s="1"/>
  <c r="I26" i="12"/>
  <c r="B7741" i="106" s="1"/>
  <c r="D7741" i="106" s="1"/>
  <c r="H4" i="4"/>
  <c r="B2655" i="106" s="1"/>
  <c r="D2655" i="106" s="1"/>
  <c r="K7" i="4"/>
  <c r="B3718" i="106" s="1"/>
  <c r="D3718" i="106" s="1"/>
  <c r="N23" i="3"/>
  <c r="B284" i="106" s="1"/>
  <c r="D284" i="106" s="1"/>
  <c r="L16" i="11"/>
  <c r="B2061" i="106" s="1"/>
  <c r="D2061" i="106" s="1"/>
  <c r="B7733" i="106"/>
  <c r="D7733" i="106" s="1"/>
  <c r="K26" i="12"/>
  <c r="B7743" i="106" s="1"/>
  <c r="D7743" i="106" s="1"/>
  <c r="B1879" i="106"/>
  <c r="D1879" i="106" s="1"/>
  <c r="H22" i="37"/>
  <c r="I151" i="29"/>
  <c r="F59" i="34" s="1"/>
  <c r="D44" i="36"/>
  <c r="K77" i="4"/>
  <c r="B3587" i="106" s="1"/>
  <c r="D3587" i="106" s="1"/>
  <c r="B3628" i="106"/>
  <c r="D3628" i="106" s="1"/>
  <c r="F274" i="5"/>
  <c r="B5719" i="106" s="1"/>
  <c r="D5719" i="106" s="1"/>
  <c r="B6014" i="106"/>
  <c r="D6014" i="106" s="1"/>
  <c r="B5914" i="106"/>
  <c r="D5914" i="106" s="1"/>
  <c r="C4" i="4"/>
  <c r="B2551" i="106" s="1"/>
  <c r="D2551" i="106" s="1"/>
  <c r="B1381" i="106"/>
  <c r="D1381" i="106" s="1"/>
  <c r="F73" i="34"/>
  <c r="G15" i="4"/>
  <c r="B6032" i="106" s="1"/>
  <c r="D6032" i="106" s="1"/>
  <c r="B3724" i="106"/>
  <c r="D3724" i="106" s="1"/>
  <c r="B7071" i="106"/>
  <c r="D7071" i="106" s="1"/>
  <c r="F66" i="34"/>
  <c r="B1365" i="106"/>
  <c r="D1365" i="106" s="1"/>
  <c r="F65" i="34"/>
  <c r="J367" i="29"/>
  <c r="B7245" i="106" s="1"/>
  <c r="D7245" i="106" s="1"/>
  <c r="B7235" i="106"/>
  <c r="D7235" i="106" s="1"/>
  <c r="C114" i="29"/>
  <c r="B757" i="106" s="1"/>
  <c r="D757" i="106" s="1"/>
  <c r="K365" i="29"/>
  <c r="K16" i="4" s="1"/>
  <c r="K342" i="29"/>
  <c r="F13" i="34" s="1"/>
  <c r="B5356" i="106"/>
  <c r="D5356" i="106" s="1"/>
  <c r="D4" i="4"/>
  <c r="B2564" i="106" s="1"/>
  <c r="D2564" i="106" s="1"/>
  <c r="B6024" i="106"/>
  <c r="D6024" i="106" s="1"/>
  <c r="G4" i="4"/>
  <c r="B2603" i="106" s="1"/>
  <c r="D2603" i="106" s="1"/>
  <c r="D19" i="7"/>
  <c r="B1775" i="106" s="1"/>
  <c r="D1775" i="106" s="1"/>
  <c r="B5214" i="106"/>
  <c r="D5214" i="106" s="1"/>
  <c r="C173" i="5"/>
  <c r="D274" i="5"/>
  <c r="D7" i="4" s="1"/>
  <c r="I6" i="4"/>
  <c r="B5011" i="106" s="1"/>
  <c r="D5011" i="106" s="1"/>
  <c r="B6216" i="106"/>
  <c r="D6216" i="106" s="1"/>
  <c r="D52" i="36"/>
  <c r="L114" i="29"/>
  <c r="B3670" i="106"/>
  <c r="D3670" i="106" s="1"/>
  <c r="K352" i="29"/>
  <c r="H367" i="29"/>
  <c r="B3660" i="106" s="1"/>
  <c r="D3660" i="106" s="1"/>
  <c r="J16" i="4"/>
  <c r="B6226" i="106" s="1"/>
  <c r="D6226" i="106" s="1"/>
  <c r="B3621" i="106"/>
  <c r="D3621" i="106" s="1"/>
  <c r="C367" i="29"/>
  <c r="B3622" i="106" s="1"/>
  <c r="D362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24" i="106"/>
  <c r="D7224" i="106" s="1"/>
  <c r="B5653" i="106"/>
  <c r="D5653" i="106" s="1"/>
  <c r="H8" i="4"/>
  <c r="B2658" i="106" s="1"/>
  <c r="D2658" i="106" s="1"/>
  <c r="B1145" i="106"/>
  <c r="D1145" i="106" s="1"/>
  <c r="F275" i="5"/>
  <c r="B5720" i="106" s="1"/>
  <c r="D5720" i="106" s="1"/>
  <c r="F7" i="4"/>
  <c r="B2594" i="106" s="1"/>
  <c r="D2594" i="106" s="1"/>
  <c r="K367" i="29"/>
  <c r="B3678" i="106" s="1"/>
  <c r="D3678" i="106" s="1"/>
  <c r="B7243" i="106"/>
  <c r="D7243" i="106" s="1"/>
  <c r="G41" i="108"/>
  <c r="G44" i="108" s="1"/>
  <c r="G45" i="108" s="1"/>
  <c r="E41" i="108"/>
  <c r="E44" i="108" s="1"/>
  <c r="E45" i="108" s="1"/>
  <c r="B5223" i="106"/>
  <c r="D5223" i="106" s="1"/>
  <c r="C6" i="4"/>
  <c r="B2553" i="106" s="1"/>
  <c r="D2553" i="106" s="1"/>
  <c r="D275" i="5"/>
  <c r="B5508" i="106" s="1"/>
  <c r="D5508" i="106" s="1"/>
  <c r="B5507" i="106"/>
  <c r="D5507" i="106" s="1"/>
  <c r="J8" i="4"/>
  <c r="B6223" i="106" s="1"/>
  <c r="D6223" i="106" s="1"/>
  <c r="J17" i="4"/>
  <c r="J19" i="4" s="1"/>
  <c r="B6229" i="106" s="1"/>
  <c r="D6229"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10" i="4" l="1"/>
  <c r="B4127" i="106" s="1"/>
  <c r="D4127" i="106" s="1"/>
  <c r="K368" i="29"/>
  <c r="B3681" i="106" s="1"/>
  <c r="D3681" i="106" s="1"/>
  <c r="F8" i="4"/>
  <c r="D8" i="4"/>
  <c r="J10" i="4"/>
  <c r="B6225" i="106" s="1"/>
  <c r="D6225" i="106" s="1"/>
  <c r="K17" i="4"/>
  <c r="K20" i="4" s="1"/>
  <c r="B6227" i="106"/>
  <c r="D6227" i="106" s="1"/>
  <c r="J20" i="4"/>
  <c r="B6230" i="106" s="1"/>
  <c r="D6230"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3575" i="106" l="1"/>
  <c r="D3575" i="106" s="1"/>
  <c r="J78" i="4"/>
  <c r="J81" i="4" s="1"/>
  <c r="K19" i="4"/>
  <c r="B4144" i="106" s="1"/>
  <c r="D4144" i="106" s="1"/>
  <c r="B2595" i="106"/>
  <c r="D2595" i="106" s="1"/>
  <c r="D8" i="146"/>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c r="D6263" i="106" s="1"/>
  <c r="D78" i="4"/>
  <c r="B2574" i="106"/>
  <c r="D2574" i="106" s="1"/>
  <c r="F8" i="146" l="1"/>
  <c r="D10" i="14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<sst xmlns="http://schemas.openxmlformats.org/spreadsheetml/2006/main" count="5159" uniqueCount="2163">
  <si>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</si>
  <si>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</si>
  <si>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</si>
  <si>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</si>
  <si>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</si>
  <si>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</si>
  <si>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</si>
  <si>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</si>
  <si>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</si>
  <si>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</si>
  <si>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</si>
  <si>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</si>
  <si>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</si>
  <si>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</si>
  <si>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</si>
  <si>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</si>
  <si>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</si>
  <si>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</si>
  <si>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</si>
  <si>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</si>
  <si>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</si>
  <si>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</si>
  <si>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</si>
  <si>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</si>
  <si>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</si>
  <si>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</si>
  <si>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</si>
  <si>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</si>
  <si>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</si>
  <si>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</si>
  <si>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</si>
  <si>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</si>
  <si>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</si>
  <si>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</si>
  <si>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</si>
  <si>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</si>
  <si>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</si>
  <si>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</si>
  <si>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</si>
  <si>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</si>
  <si>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</si>
  <si>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</si>
  <si>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</si>
  <si>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</si>
  <si>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</si>
  <si>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</si>
  <si>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</si>
  <si>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</si>
  <si>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</si>
  <si>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</si>
  <si>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</si>
  <si>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</si>
  <si>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</si>
  <si>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</si>
  <si>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</si>
  <si>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</si>
  <si>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</si>
  <si>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</si>
  <si>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</si>
  <si>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</si>
  <si>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</si>
  <si>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</si>
  <si>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</si>
  <si>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</si>
  <si>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</si>
  <si>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</si>
  <si>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</si>
  <si>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</si>
  <si>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</si>
  <si>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</si>
  <si>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</si>
  <si>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</si>
  <si>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</si>
  <si>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</si>
  <si>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</si>
  <si>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</si>
  <si>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</si>
  <si>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</si>
  <si>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</si>
  <si>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</si>
  <si>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</si>
  <si>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</si>
  <si>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</si>
  <si>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</si>
  <si>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</si>
  <si>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</si>
  <si>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</si>
  <si>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</si>
  <si>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</si>
  <si>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</si>
  <si>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</si>
  <si>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</si>
  <si>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</si>
  <si>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</si>
  <si>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</si>
  <si>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</si>
  <si>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</si>
  <si>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</si>
  <si>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</si>
  <si>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</si>
  <si>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</si>
  <si>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</si>
  <si>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</si>
  <si>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</si>
  <si>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</si>
  <si>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</si>
  <si>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</si>
  <si>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</si>
  <si>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</si>
  <si>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</si>
  <si>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</si>
  <si>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</si>
  <si>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</si>
  <si>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</si>
  <si>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</si>
  <si>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</si>
  <si>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</si>
  <si>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</si>
  <si>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</si>
  <si>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</si>
  <si>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</si>
  <si>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</si>
  <si>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</si>
  <si>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</si>
  <si>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</si>
  <si>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</si>
  <si>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</si>
  <si>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</si>
  <si>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</si>
  <si>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</si>
  <si>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</si>
  <si>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</si>
  <si>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</si>
  <si>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</si>
  <si>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</si>
  <si>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</si>
  <si>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</si>
  <si>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</si>
  <si>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</si>
  <si>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</si>
  <si>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</si>
  <si>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</si>
  <si>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</si>
  <si>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</si>
  <si>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</si>
  <si>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</si>
  <si>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</si>
  <si>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</si>
  <si>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</si>
  <si>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</si>
  <si>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</si>
  <si>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</si>
  <si>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</si>
  <si>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</si>
  <si>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</si>
  <si>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</si>
  <si>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</si>
  <si>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</si>
  <si>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</si>
  <si>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</si>
  <si>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</si>
  <si>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</si>
  <si>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</si>
  <si>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</si>
  <si>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</si>
  <si>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</si>
  <si>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</si>
  <si>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</si>
  <si>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</si>
  <si>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</si>
  <si>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</si>
  <si>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</si>
  <si>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</si>
  <si>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</si>
  <si>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</si>
  <si>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</si>
  <si>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</si>
  <si>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</si>
  <si>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</si>
  <si>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</si>
  <si>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</si>
  <si>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</si>
  <si>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</si>
  <si>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</si>
  <si>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</si>
  <si>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</si>
  <si>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</si>
  <si>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</si>
  <si>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</si>
  <si>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</si>
  <si>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</si>
  <si>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</si>
  <si>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</si>
  <si>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</si>
  <si>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</si>
  <si>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</si>
  <si>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</si>
  <si>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</si>
  <si>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</si>
  <si>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</si>
  <si>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</si>
  <si>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</si>
  <si>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</si>
  <si>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</si>
  <si>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</si>
  <si>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</si>
  <si>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</si>
  <si>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</si>
  <si>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</si>
  <si>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</si>
  <si>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</si>
  <si>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</si>
  <si>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</si>
  <si>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</si>
  <si>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</si>
  <si>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</si>
  <si>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</si>
  <si>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</si>
  <si>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</si>
  <si>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</si>
  <si>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</si>
  <si>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</si>
  <si>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</si>
  <si>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</si>
  <si>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</si>
  <si>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</si>
  <si>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</si>
  <si>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</si>
  <si>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</si>
  <si>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</si>
  <si>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</si>
  <si>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</si>
  <si>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</si>
  <si>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</si>
  <si>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</si>
  <si>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</si>
  <si>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</si>
  <si>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</si>
  <si>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</si>
  <si>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</si>
  <si>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</si>
  <si>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</si>
  <si>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</si>
  <si>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</si>
  <si>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</si>
  <si>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</si>
  <si>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</si>
  <si>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</si>
  <si>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</si>
  <si>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</si>
  <si>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</si>
  <si>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</si>
  <si>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</si>
  <si>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</si>
  <si>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</si>
  <si>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</si>
  <si>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</si>
  <si>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</si>
  <si>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</si>
  <si>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</si>
  <si>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</si>
  <si>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</si>
  <si>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</si>
  <si>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</si>
  <si>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</si>
  <si>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</si>
  <si>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</si>
  <si>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</si>
  <si>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</si>
  <si>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</si>
  <si>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</si>
  <si>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</si>
  <si>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</si>
  <si>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</si>
  <si>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</si>
  <si>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</si>
  <si>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</si>
  <si>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</si>
  <si>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</si>
  <si>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</si>
  <si>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</si>
  <si>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</si>
  <si>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</si>
  <si>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</si>
  <si>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</si>
  <si>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</si>
  <si>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</si>
  <si>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</si>
  <si>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</si>
  <si>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</si>
  <si>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</si>
  <si>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</si>
  <si>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</si>
  <si>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</si>
  <si>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</si>
  <si>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</si>
  <si>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</si>
  <si>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</si>
  <si>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</si>
  <si>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</si>
  <si>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</si>
  <si>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</si>
  <si>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</si>
  <si>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</si>
  <si>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</si>
  <si>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</si>
  <si>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</si>
  <si>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</si>
  <si>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</si>
  <si>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</si>
  <si>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</si>
  <si>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</si>
  <si>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</si>
  <si>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</si>
  <si>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</si>
  <si>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</si>
  <si>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</si>
  <si>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</si>
  <si>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</si>
  <si>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</si>
  <si>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</si>
  <si>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</si>
  <si>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</si>
  <si>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</si>
  <si>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</si>
  <si>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</si>
  <si>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</si>
  <si>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</si>
  <si>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</si>
  <si>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</si>
  <si>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</si>
  <si>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</si>
  <si>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</si>
  <si>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</si>
  <si>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</si>
  <si>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</si>
  <si>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</si>
  <si>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</si>
  <si>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</si>
  <si>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</si>
  <si>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</si>
  <si>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</si>
  <si>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</si>
  <si>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</si>
  <si>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</si>
  <si>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</si>
  <si>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</si>
  <si>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</si>
  <si>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</si>
  <si>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</si>
  <si>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</si>
  <si>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</si>
  <si>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</si>
  <si>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</si>
  <si>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</si>
  <si>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</si>
  <si>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</si>
  <si>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</si>
  <si>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</si>
  <si>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</si>
  <si>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</si>
  <si>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</si>
  <si>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</si>
  <si>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</si>
  <si>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</si>
  <si>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</si>
  <si>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</si>
  <si>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</si>
  <si>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</si>
  <si>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</si>
  <si>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</si>
  <si>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</si>
  <si>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</si>
  <si>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</si>
  <si>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</si>
  <si>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</si>
  <si>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</si>
  <si>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</si>
  <si>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</si>
  <si>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</si>
  <si>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</si>
  <si>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</si>
  <si>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</si>
  <si>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</si>
  <si>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</si>
  <si>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</si>
  <si>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</si>
  <si>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</si>
  <si>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</si>
  <si>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</si>
  <si>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</si>
  <si>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</si>
  <si>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</si>
  <si>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</si>
  <si>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</si>
  <si>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</si>
  <si>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</si>
  <si>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</si>
  <si>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</si>
  <si>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</si>
  <si>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</si>
  <si>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</si>
  <si>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</si>
  <si>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</si>
  <si>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</si>
  <si>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</si>
  <si>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</si>
  <si>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</si>
  <si>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</si>
  <si>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</si>
  <si>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</si>
  <si>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</si>
  <si>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</si>
  <si>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</si>
  <si>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</si>
  <si>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</si>
  <si>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</si>
  <si>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</si>
  <si>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</si>
  <si>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</si>
  <si>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</si>
  <si>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</si>
  <si>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</si>
  <si>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</si>
  <si>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</si>
  <si>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</si>
  <si>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</si>
  <si>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</si>
  <si>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</si>
  <si>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</si>
  <si>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</si>
  <si>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</si>
  <si>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</si>
  <si>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</si>
  <si>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</si>
  <si>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</si>
  <si>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</si>
  <si>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</si>
  <si>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</si>
  <si>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</si>
  <si>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</si>
  <si>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</si>
  <si>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</si>
  <si>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</si>
  <si>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</si>
  <si>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</si>
  <si>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</si>
  <si>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</si>
  <si>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</si>
  <si>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</si>
  <si>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</si>
  <si>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</si>
  <si>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</si>
  <si>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</si>
  <si>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</si>
  <si>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</si>
  <si>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</si>
  <si>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</si>
  <si>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</si>
  <si>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</si>
  <si>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</si>
  <si>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</si>
  <si>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</si>
  <si>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</si>
  <si>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</si>
  <si>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</si>
  <si>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</si>
  <si>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</si>
  <si>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</si>
  <si>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</si>
  <si>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</si>
  <si>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</si>
  <si>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</si>
  <si>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</si>
  <si>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</si>
  <si>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</si>
  <si>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</si>
  <si>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</si>
  <si>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</si>
  <si>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</si>
  <si>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</si>
  <si>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</si>
  <si>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</si>
  <si>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</si>
  <si>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</si>
  <si>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</si>
  <si>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</si>
  <si>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</si>
  <si>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</si>
  <si>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</si>
  <si>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</si>
  <si>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</si>
  <si>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</si>
  <si>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</si>
  <si>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</si>
  <si>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</si>
  <si>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</si>
  <si>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</si>
  <si>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</si>
  <si>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</si>
  <si>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</si>
  <si>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</si>
  <si>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</si>
  <si>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</si>
  <si>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</si>
  <si>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</si>
  <si>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</si>
  <si>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</si>
  <si>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</si>
  <si>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</si>
  <si>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</si>
  <si>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</si>
  <si>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</si>
  <si>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</si>
  <si>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</si>
  <si>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</si>
  <si>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</si>
  <si>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</si>
  <si>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</si>
  <si>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</si>
  <si>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</si>
  <si>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</si>
  <si>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</si>
  <si>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</si>
  <si>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</si>
  <si>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</si>
  <si>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</si>
  <si>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</si>
  <si>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</si>
  <si>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</si>
  <si>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</si>
  <si>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</si>
  <si>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</si>
  <si>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</si>
  <si>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</si>
  <si>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</si>
  <si>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</si>
  <si>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</si>
  <si>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</si>
  <si>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</si>
  <si>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</si>
  <si>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</si>
  <si>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</si>
  <si>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</si>
  <si>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</si>
  <si>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</si>
  <si>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</si>
  <si>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</si>
  <si>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</si>
  <si>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</si>
  <si>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</si>
  <si>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</si>
  <si>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</si>
  <si>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</si>
  <si>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</si>
  <si>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</si>
  <si>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</si>
  <si>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</si>
  <si>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</si>
  <si>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</si>
  <si>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</si>
  <si>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</si>
  <si>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</si>
  <si>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</si>
  <si>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</si>
  <si>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</si>
  <si>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</si>
  <si>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</si>
  <si>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</si>
  <si>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</si>
  <si>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</si>
  <si>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</si>
  <si>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</si>
  <si>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</si>
  <si>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</si>
  <si>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</si>
  <si>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</si>
  <si>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</si>
  <si>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</si>
  <si>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</si>
  <si>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</si>
  <si>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</si>
  <si>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</si>
  <si>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</si>
  <si>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</si>
  <si>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</si>
  <si>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</si>
  <si>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</si>
  <si>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</si>
  <si>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</si>
  <si>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</si>
  <si>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</si>
  <si>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</si>
  <si>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</si>
  <si>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</si>
  <si>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</si>
  <si>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</si>
  <si>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</si>
  <si>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</si>
  <si>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</si>
  <si>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</si>
  <si>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</si>
  <si>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</si>
  <si>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</si>
  <si>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</si>
  <si>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</si>
  <si>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</si>
  <si>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</si>
  <si>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</si>
  <si>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</si>
  <si>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</si>
  <si>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</si>
  <si>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</si>
  <si>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</si>
  <si>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</si>
  <si>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</si>
  <si>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</si>
  <si>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</si>
  <si>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</si>
  <si>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</si>
  <si>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</si>
  <si>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</si>
  <si>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</si>
  <si>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</si>
  <si>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</si>
  <si>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</si>
  <si>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</si>
  <si>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</si>
  <si>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</si>
  <si>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</si>
  <si>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</si>
  <si>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</si>
  <si>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</si>
  <si>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</si>
  <si>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</si>
  <si>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</si>
  <si>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</si>
  <si>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</si>
  <si>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</si>
  <si>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</si>
  <si>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</si>
  <si>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</si>
  <si>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</si>
  <si>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</si>
  <si>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</si>
  <si>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</si>
  <si>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</si>
  <si>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</si>
  <si>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</si>
  <si>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</si>
  <si>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</si>
  <si>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</si>
  <si>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</si>
  <si>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</si>
  <si>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</si>
  <si>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</si>
  <si>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</si>
  <si>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</si>
  <si>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</si>
  <si>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</si>
  <si>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</si>
  <si>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</si>
  <si>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</si>
  <si>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</si>
  <si>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</si>
  <si>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</si>
  <si>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</si>
  <si>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</si>
  <si>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</si>
  <si>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</si>
  <si>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</si>
  <si>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</si>
  <si>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</si>
  <si>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</si>
  <si>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</si>
  <si>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</si>
  <si>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</si>
  <si>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</si>
  <si>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</si>
  <si>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</si>
  <si>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</si>
  <si>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</si>
  <si>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</si>
  <si>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</si>
  <si>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</si>
  <si>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</si>
  <si>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</si>
  <si>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</si>
  <si>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</si>
  <si>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</si>
  <si>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</si>
  <si>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</si>
  <si>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</si>
  <si>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</si>
  <si>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</si>
  <si>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</si>
  <si>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</si>
  <si>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</si>
  <si>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</si>
  <si>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</si>
  <si>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</si>
  <si>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</si>
  <si>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</si>
  <si>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</si>
  <si>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</si>
  <si>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</si>
  <si>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</si>
  <si>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</si>
  <si>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</si>
  <si>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</si>
  <si>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</si>
  <si>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</si>
  <si>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</si>
  <si>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</si>
  <si>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</si>
  <si>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</si>
  <si>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</si>
  <si>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</si>
  <si>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</si>
  <si>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</si>
  <si>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</si>
  <si>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</si>
  <si>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</si>
  <si>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</si>
  <si>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</si>
  <si>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</si>
  <si>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</si>
  <si>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</si>
  <si>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</si>
  <si>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</si>
  <si>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</si>
  <si>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</si>
  <si>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</si>
  <si>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</si>
  <si>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</si>
  <si>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</si>
  <si>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</si>
  <si>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</si>
  <si>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</si>
  <si>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</si>
  <si>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</si>
  <si>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</si>
  <si>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</si>
  <si>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</si>
  <si>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</si>
  <si>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</si>
  <si>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</si>
  <si>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</si>
  <si>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</si>
  <si>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</si>
  <si>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</si>
  <si>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</si>
  <si>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</si>
  <si>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</si>
  <si>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</si>
  <si>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</si>
  <si>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</si>
  <si>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</si>
  <si>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</si>
  <si>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</si>
  <si>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</si>
  <si>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</si>
  <si>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</si>
  <si>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</si>
  <si>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</si>
  <si>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</si>
  <si>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</si>
  <si>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</si>
  <si>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</si>
  <si>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</si>
  <si>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</si>
  <si>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</si>
  <si>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</si>
  <si>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</si>
  <si>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</si>
  <si>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</si>
  <si>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</si>
  <si>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</si>
  <si>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</si>
  <si>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</si>
  <si>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</si>
  <si>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</si>
  <si>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</si>
  <si>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</si>
  <si>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</si>
  <si>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</si>
  <si>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</si>
  <si>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</si>
  <si>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</si>
  <si>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</si>
  <si>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</si>
  <si>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</si>
  <si>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</si>
  <si>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</si>
  <si>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</si>
  <si>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</si>
  <si>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</si>
  <si>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</si>
  <si>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</si>
  <si>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</si>
  <si>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</si>
  <si>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</si>
  <si>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</si>
  <si>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</si>
  <si>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</si>
  <si>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</si>
  <si>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</si>
  <si>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</si>
  <si>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</si>
  <si>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</si>
  <si>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</si>
  <si>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</si>
  <si>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</si>
  <si>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</si>
  <si>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</si>
  <si>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</si>
  <si>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</si>
  <si>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</si>
  <si>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</si>
  <si>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</si>
  <si>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</si>
  <si>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</si>
  <si>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</si>
  <si>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</si>
  <si>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</si>
  <si>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</si>
  <si>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</si>
  <si>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</si>
  <si>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</si>
  <si>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</si>
  <si>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</si>
  <si>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</si>
  <si>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</si>
  <si>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</si>
  <si>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</si>
  <si>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</si>
  <si>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</si>
  <si>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</si>
  <si>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</si>
  <si>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</si>
  <si>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</si>
  <si>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</si>
  <si>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</si>
  <si>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</si>
  <si>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</si>
  <si>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</si>
  <si>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</si>
  <si>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</si>
  <si>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</si>
  <si>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</si>
  <si>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</si>
  <si>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</si>
  <si>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</si>
  <si>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</si>
  <si>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</si>
  <si>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</si>
  <si>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</si>
  <si>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</si>
  <si>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</si>
  <si>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</si>
  <si>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</si>
  <si>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</si>
  <si>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</si>
  <si>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</si>
  <si>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</si>
  <si>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</si>
  <si>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</si>
  <si>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</si>
  <si>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</si>
  <si>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</si>
  <si>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</si>
  <si>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</si>
  <si>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</si>
  <si>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</si>
  <si>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</si>
  <si>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</si>
  <si>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</si>
  <si>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</si>
  <si>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</si>
  <si>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</si>
  <si>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</si>
  <si>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</si>
  <si>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</si>
  <si>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</si>
  <si>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</si>
  <si>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</si>
  <si>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</si>
  <si>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</si>
  <si>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</si>
  <si>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</si>
  <si>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</si>
  <si>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</si>
  <si>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</si>
  <si>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</si>
  <si>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</si>
  <si>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</si>
  <si>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</si>
  <si>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</si>
  <si>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</si>
  <si>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</si>
  <si>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</si>
  <si>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</si>
  <si>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</si>
  <si>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</si>
  <si>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</si>
  <si>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</si>
  <si>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</si>
  <si>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</si>
  <si>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</si>
  <si>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</si>
  <si>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</si>
  <si>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</si>
  <si>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</si>
  <si>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</si>
  <si>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</si>
  <si>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</si>
  <si>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</si>
  <si>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</si>
  <si>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</si>
  <si>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</si>
  <si>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</si>
  <si>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</si>
  <si>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</si>
  <si>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</si>
  <si>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</si>
  <si>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</si>
  <si>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</si>
  <si>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</si>
  <si>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</si>
  <si>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</si>
  <si>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</si>
  <si>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</si>
  <si>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</si>
  <si>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</si>
  <si>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</si>
  <si>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</si>
  <si>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</si>
  <si>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</si>
  <si>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</si>
  <si>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</si>
  <si>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</si>
  <si>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</si>
  <si>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</si>
  <si>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</si>
  <si>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</si>
  <si>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</si>
  <si>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</si>
  <si>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</si>
  <si>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</si>
  <si>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</si>
  <si>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</si>
  <si>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</si>
  <si>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</si>
  <si>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</si>
  <si>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</si>
  <si>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</si>
  <si>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</si>
  <si>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</si>
  <si>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</si>
  <si>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</si>
  <si>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</si>
  <si>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</si>
  <si>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</si>
  <si>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</si>
  <si>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</si>
  <si>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</si>
  <si>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</si>
  <si>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</si>
  <si>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</si>
  <si>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</si>
  <si>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</si>
  <si>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</si>
  <si>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</si>
  <si>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</si>
  <si>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</si>
  <si>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</si>
  <si>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</si>
  <si>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</si>
  <si>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</si>
  <si>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</si>
  <si>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</si>
  <si>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</si>
  <si>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</si>
  <si>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</si>
  <si>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</si>
  <si>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</si>
  <si>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</si>
  <si>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</si>
  <si>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</si>
  <si>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</si>
  <si>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</si>
  <si>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</si>
  <si>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</si>
  <si>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</si>
  <si>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</si>
  <si>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</si>
  <si>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</si>
  <si>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</si>
  <si>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</si>
  <si>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</si>
  <si>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</si>
  <si>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</si>
  <si>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</si>
  <si>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</si>
  <si>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</si>
  <si>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</si>
  <si>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</si>
  <si>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</si>
  <si>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</si>
  <si>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</si>
  <si>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</si>
  <si>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</si>
  <si>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</si>
  <si>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</si>
  <si>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</si>
  <si>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</si>
  <si>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</si>
  <si>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</si>
  <si>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</si>
  <si>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</si>
  <si>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</si>
  <si>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</si>
  <si>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</si>
  <si>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</si>
  <si>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</si>
  <si>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</si>
  <si>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</si>
  <si>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</si>
  <si>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</si>
  <si>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</si>
  <si>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</si>
  <si>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</si>
  <si>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</si>
  <si>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</si>
  <si>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</si>
  <si>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</si>
  <si>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</si>
  <si>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</si>
  <si>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</si>
  <si>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</si>
  <si>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</si>
  <si>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</si>
  <si>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</si>
  <si>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</si>
  <si>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</si>
  <si>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</si>
  <si>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</si>
  <si>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</si>
  <si>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</si>
  <si>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</si>
  <si>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</si>
  <si>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</si>
  <si>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</si>
  <si>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</si>
  <si>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</si>
  <si>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</si>
  <si>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</si>
  <si>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</si>
  <si>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</si>
  <si>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</si>
  <si>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</si>
  <si>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</si>
  <si>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</si>
  <si>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</si>
  <si>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</si>
  <si>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</si>
  <si>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</si>
  <si>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</si>
  <si>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</si>
  <si>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</si>
  <si>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</si>
  <si>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</si>
  <si>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</si>
  <si>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</si>
  <si>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</si>
  <si>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</si>
  <si>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</si>
  <si>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</si>
  <si>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</si>
  <si>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</si>
  <si>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</si>
  <si>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</si>
  <si>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</si>
  <si>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</si>
  <si>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</si>
  <si>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</si>
  <si>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</si>
  <si>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</si>
  <si>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</si>
  <si>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</si>
  <si>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</si>
  <si>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</si>
  <si>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</si>
  <si>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</si>
  <si>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</si>
  <si>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</si>
  <si>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</si>
  <si>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</si>
  <si>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</si>
  <si>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</si>
  <si>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</si>
  <si>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</si>
  <si>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</si>
  <si>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</si>
  <si>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</si>
  <si>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</si>
  <si>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</si>
  <si>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</si>
  <si>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</si>
  <si>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</si>
  <si>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</si>
  <si>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</si>
  <si>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</si>
  <si>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</si>
  <si>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</si>
  <si>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</si>
  <si>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</si>
  <si>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</si>
  <si>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</si>
  <si>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</si>
  <si>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</si>
  <si>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</si>
  <si>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</si>
  <si>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</si>
  <si>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</si>
  <si>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</si>
  <si>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</si>
  <si>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</si>
  <si>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</si>
  <si>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</si>
  <si>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</si>
  <si>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</si>
  <si>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</si>
  <si>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</si>
  <si>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</si>
  <si>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</si>
  <si>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</si>
  <si>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</si>
  <si>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</si>
  <si>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</si>
  <si>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</si>
  <si>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</si>
  <si>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</si>
  <si>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</si>
  <si>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</si>
  <si>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</si>
  <si>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</si>
  <si>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</si>
  <si>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</si>
  <si>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</si>
  <si>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</si>
  <si>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</si>
  <si>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</si>
  <si>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</si>
  <si>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</si>
  <si>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</si>
  <si>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</si>
  <si>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</si>
  <si>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</si>
  <si>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</si>
  <si>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</si>
  <si>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</si>
  <si>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</si>
  <si>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</si>
  <si>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</si>
  <si>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</si>
  <si>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</si>
  <si>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</si>
  <si>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</si>
  <si>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</si>
  <si>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</si>
  <si>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</si>
  <si>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</si>
  <si>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</si>
  <si>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</si>
  <si>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</si>
  <si>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</si>
  <si>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</si>
  <si>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</si>
  <si>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</si>
  <si>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</si>
  <si>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</si>
  <si>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</si>
  <si>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</si>
  <si>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</si>
  <si>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</si>
  <si>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</si>
  <si>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</si>
  <si>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</si>
  <si>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</si>
  <si>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</si>
  <si>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</si>
  <si>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</si>
  <si>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</si>
  <si>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</si>
  <si>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</si>
  <si>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</si>
  <si>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</si>
  <si>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</si>
  <si>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</si>
  <si>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</si>
  <si>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</si>
  <si>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</si>
  <si>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</si>
  <si>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</si>
  <si>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</si>
  <si>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</si>
  <si>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</si>
  <si>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</si>
  <si>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</si>
  <si>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</si>
  <si>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</si>
  <si>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</si>
  <si>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</si>
  <si>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</si>
  <si>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</si>
  <si>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</si>
  <si>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</si>
  <si>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</si>
  <si>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</si>
  <si>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</si>
  <si>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</si>
  <si>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</si>
  <si>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</si>
  <si>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</si>
  <si>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</si>
  <si>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</si>
  <si>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</si>
  <si>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</si>
  <si>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</si>
  <si>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</si>
  <si>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</si>
  <si>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</si>
  <si>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</si>
  <si>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</si>
  <si>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</si>
  <si>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</si>
  <si>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</si>
  <si>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</si>
  <si>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</si>
  <si>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</si>
  <si>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</si>
  <si>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</si>
  <si>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</si>
  <si>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</si>
  <si>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</si>
  <si>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</si>
  <si>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</si>
  <si>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</si>
  <si>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</si>
  <si>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</si>
  <si>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</si>
  <si>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</si>
  <si>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</si>
  <si>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</si>
  <si>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</si>
  <si>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</si>
  <si>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</si>
  <si>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</si>
  <si>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</si>
  <si>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</si>
  <si>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</si>
  <si>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</si>
  <si>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</si>
  <si>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</si>
  <si>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</si>
  <si>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</si>
  <si>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</si>
  <si>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</si>
  <si>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</si>
  <si>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</si>
  <si>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</si>
  <si>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</si>
  <si>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</si>
  <si>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</si>
  <si>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</si>
  <si>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</si>
  <si>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</si>
  <si>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</si>
  <si>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</si>
  <si>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</si>
  <si>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</si>
  <si>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</si>
  <si>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</si>
  <si>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</si>
  <si>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</si>
  <si>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</si>
  <si>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</si>
  <si>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</si>
  <si>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</si>
  <si>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</si>
  <si>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</si>
  <si>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</si>
  <si>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</si>
  <si>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</si>
  <si>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</si>
  <si>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</si>
  <si>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</si>
  <si>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</si>
  <si>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</si>
  <si>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</si>
  <si>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</si>
  <si>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</si>
  <si>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</si>
  <si>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</si>
  <si>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</si>
  <si>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</si>
  <si>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</si>
  <si>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</si>
  <si>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</si>
  <si>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</si>
  <si>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</si>
  <si>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</si>
  <si>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</si>
  <si>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</si>
  <si>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</si>
  <si>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</si>
  <si>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</si>
  <si>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</si>
  <si>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</si>
  <si>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</si>
  <si>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</si>
  <si>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</si>
  <si>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</si>
  <si>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</si>
  <si>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</si>
  <si>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</si>
  <si>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</si>
  <si>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</si>
  <si>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</si>
  <si>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</si>
  <si>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</si>
  <si>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</si>
  <si>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</si>
  <si>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</si>
  <si>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</si>
  <si>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</si>
  <si>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</si>
  <si>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</si>
  <si>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</si>
  <si>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</si>
  <si>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</si>
  <si>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</si>
  <si>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</si>
  <si>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</si>
  <si>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</si>
  <si>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</si>
  <si>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</si>
  <si>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</si>
  <si>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</si>
  <si>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</si>
  <si>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</si>
  <si>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</si>
  <si>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</si>
  <si>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</si>
  <si>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</si>
  <si>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</si>
  <si>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</si>
  <si>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</si>
  <si>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</si>
  <si>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</si>
  <si>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</si>
  <si>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</si>
  <si>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</si>
  <si>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</si>
  <si>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</si>
  <si>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</si>
  <si>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</si>
  <si>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</si>
  <si>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</si>
  <si>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</si>
  <si>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</si>
  <si>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</si>
  <si>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</si>
  <si>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</si>
  <si>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</si>
  <si>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</si>
  <si>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</si>
  <si>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</si>
  <si>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</si>
  <si>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</si>
  <si>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</si>
  <si>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</si>
  <si>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</si>
  <si>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</si>
  <si>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</si>
  <si>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</si>
  <si>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</si>
  <si>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</si>
  <si>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</si>
  <si>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</si>
  <si>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</si>
  <si>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</si>
  <si>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</si>
  <si>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</si>
  <si>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</si>
  <si>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</si>
  <si>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</si>
  <si>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</si>
  <si>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</si>
  <si>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</si>
  <si>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</si>
  <si>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</si>
  <si>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</si>
  <si>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</si>
  <si>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</si>
  <si>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</si>
  <si>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</si>
  <si>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</si>
  <si>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</si>
  <si>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</si>
  <si>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</si>
  <si>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</si>
  <si>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</si>
  <si>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</si>
  <si>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</si>
  <si>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</si>
  <si>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</si>
  <si>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</si>
  <si>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</si>
  <si>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</si>
  <si>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</si>
  <si>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</si>
  <si>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</si>
  <si>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</si>
  <si>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</si>
  <si>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</si>
  <si>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</si>
  <si>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</si>
  <si>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</si>
  <si>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</si>
  <si>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</si>
  <si>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</si>
  <si>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</si>
  <si>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</si>
  <si>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</si>
  <si>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</si>
  <si>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</si>
  <si>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</si>
  <si>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</si>
  <si>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</si>
  <si>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</si>
  <si>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</si>
  <si>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</si>
  <si>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</si>
  <si>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</si>
  <si>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</si>
  <si>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</si>
  <si>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</si>
  <si>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</si>
  <si>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</si>
  <si>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</si>
  <si>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</si>
  <si>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</si>
  <si>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</si>
  <si>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</si>
  <si>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</si>
  <si>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</si>
  <si>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</si>
  <si>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</si>
  <si>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</si>
  <si>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</si>
  <si>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</si>
  <si>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</si>
  <si>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</si>
  <si>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</si>
  <si>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</si>
  <si>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</si>
  <si>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</si>
  <si>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</si>
  <si>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</si>
  <si>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</si>
  <si>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</si>
  <si>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</si>
  <si>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</si>
  <si>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</si>
  <si>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</si>
  <si>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</si>
  <si>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</si>
  <si>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</si>
  <si>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</si>
  <si>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</si>
  <si>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</si>
  <si>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</si>
  <si>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</si>
  <si>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</si>
  <si>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</si>
  <si>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</si>
  <si>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</si>
  <si>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</si>
  <si>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</si>
  <si>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</si>
  <si>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</si>
  <si>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</si>
  <si>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</si>
  <si>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</si>
  <si>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</si>
  <si>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</si>
  <si>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</si>
  <si>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</si>
  <si>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</si>
  <si>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</si>
  <si>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</si>
  <si>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</si>
  <si>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</si>
  <si>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</si>
  <si>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</si>
  <si>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</si>
  <si>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</si>
  <si>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</si>
  <si>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</si>
  <si>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</si>
  <si>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</si>
  <si>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</si>
  <si>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</si>
  <si>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</si>
  <si>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</si>
  <si>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</si>
  <si>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</si>
  <si>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</si>
  <si>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</si>
  <si>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</si>
  <si>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</si>
  <si>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</si>
  <si>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</si>
  <si>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</si>
  <si>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</si>
  <si>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</si>
  <si>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</si>
  <si>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</si>
  <si>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</si>
  <si>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</si>
  <si>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</si>
  <si>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</si>
  <si>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</si>
  <si>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</si>
  <si>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</si>
  <si>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</si>
  <si>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</si>
  <si>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</si>
  <si>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</si>
  <si>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</si>
  <si>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</si>
  <si>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</si>
  <si>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</si>
  <si>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</si>
  <si>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</si>
  <si>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</si>
  <si>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</si>
  <si>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</si>
  <si>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</si>
  <si>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</si>
  <si>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</si>
  <si>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</si>
  <si>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</si>
  <si>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</si>
  <si>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</si>
  <si>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</si>
  <si>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</si>
  <si>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</si>
  <si>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</si>
  <si>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</si>
  <si>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</si>
  <si>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</si>
  <si>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</si>
  <si>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</si>
  <si>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</si>
  <si>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</si>
  <si>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</si>
  <si>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</si>
  <si>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</si>
  <si>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</si>
  <si>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</si>
  <si>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</si>
  <si>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</si>
  <si>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</si>
  <si>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</si>
  <si>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</si>
  <si>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</si>
  <si>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</si>
  <si>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</si>
  <si>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</si>
  <si>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</si>
  <si>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</si>
  <si>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</si>
  <si>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</si>
  <si>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</si>
  <si>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</si>
  <si>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</si>
  <si>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</si>
  <si>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</si>
  <si>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</si>
  <si>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</si>
  <si>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</si>
  <si>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</si>
  <si>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</si>
  <si>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</si>
  <si>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</si>
  <si>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</si>
  <si>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</si>
  <si>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</si>
  <si>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</si>
  <si>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</si>
  <si>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</si>
  <si>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</si>
  <si>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</si>
  <si>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</si>
  <si>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</si>
  <si>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</si>
  <si>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</si>
  <si>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</si>
  <si>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</si>
  <si>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</si>
  <si>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</si>
  <si>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</si>
  <si>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</si>
  <si>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</si>
  <si>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</si>
  <si>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</si>
  <si>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</si>
  <si>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</si>
  <si>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</si>
  <si>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</si>
  <si>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</si>
  <si>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</si>
  <si>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</si>
  <si>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</si>
  <si>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</si>
  <si>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</si>
  <si>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</si>
  <si>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</si>
  <si>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</si>
  <si>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</si>
  <si>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</si>
  <si>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</si>
  <si>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</si>
  <si>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</si>
  <si>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</si>
  <si>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</si>
  <si>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</si>
  <si>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</si>
  <si>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</si>
  <si>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</si>
  <si>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</si>
  <si>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</si>
  <si>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</si>
  <si>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</si>
  <si>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</si>
  <si>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</si>
  <si>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</si>
  <si>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</si>
  <si>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</si>
  <si>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</si>
  <si>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</si>
  <si>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</si>
  <si>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</si>
  <si>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</si>
  <si>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</si>
  <si>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</si>
  <si>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</si>
  <si>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</si>
  <si>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</si>
  <si>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</si>
  <si>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</si>
  <si>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</si>
  <si>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</si>
  <si>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</si>
  <si>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</si>
  <si>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</si>
  <si>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</si>
  <si>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</si>
  <si>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</si>
  <si>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</si>
  <si>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</si>
  <si>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</si>
  <si>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</si>
  <si>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</si>
  <si>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</si>
  <si>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</si>
  <si>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</si>
  <si>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</si>
  <si>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</si>
  <si>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</si>
  <si>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</si>
  <si>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</si>
  <si>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</si>
  <si>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</si>
  <si>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</si>
  <si>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</si>
  <si>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</si>
  <si>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</si>
  <si>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</si>
  <si>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</si>
  <si>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</si>
  <si>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</si>
  <si>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</si>
  <si>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</si>
  <si>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</si>
  <si>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</si>
  <si>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</si>
  <si>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</si>
  <si>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</si>
  <si>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</si>
  <si>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</si>
  <si>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</si>
  <si>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</si>
  <si>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</si>
  <si>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</si>
  <si>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</si>
  <si>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</si>
  <si>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</si>
  <si>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</si>
  <si>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</si>
  <si>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</si>
  <si>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</si>
  <si>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</si>
  <si>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</si>
  <si>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</si>
  <si>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</si>
  <si>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</si>
  <si>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</si>
  <si>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</si>
  <si>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</si>
  <si>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</si>
  <si>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</si>
  <si>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</si>
  <si>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</si>
  <si>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</si>
  <si>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</si>
  <si>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</si>
  <si>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</si>
  <si>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</si>
  <si>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</si>
  <si>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</si>
  <si>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</si>
  <si>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</si>
  <si>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</si>
  <si>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</si>
  <si>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</si>
  <si>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</si>
  <si>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</si>
  <si>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</si>
  <si>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</si>
  <si>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</si>
  <si>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</si>
  <si>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</si>
  <si>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</si>
  <si>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</si>
  <si>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</si>
  <si>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</si>
  <si>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</si>
  <si>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</si>
  <si>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</si>
  <si>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</si>
  <si>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</si>
  <si>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</si>
  <si>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</si>
  <si>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</si>
  <si>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</si>
  <si>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</si>
  <si>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</si>
  <si>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</si>
  <si>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</si>
  <si>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</si>
  <si>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</si>
  <si>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</si>
  <si>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</si>
  <si>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</si>
  <si>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</si>
  <si>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</si>
  <si>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</si>
  <si>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</si>
  <si>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</si>
  <si>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</si>
  <si>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</si>
  <si>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</si>
  <si>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</si>
  <si>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</si>
  <si>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</si>
  <si>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</si>
  <si>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</si>
  <si>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</si>
  <si>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</si>
  <si>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</si>
  <si>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</si>
  <si>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</si>
  <si>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</si>
  <si>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</si>
  <si>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</si>
  <si>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</si>
  <si>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</si>
  <si>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</si>
  <si>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</si>
  <si>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</si>
  <si>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</si>
  <si>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</si>
  <si>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</si>
  <si>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</si>
  <si>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</si>
  <si>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</si>
  <si>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</si>
  <si>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</si>
  <si>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</si>
  <si>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</si>
  <si>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</si>
  <si>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</si>
  <si>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</si>
  <si>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</si>
  <si>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</si>
  <si>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</si>
  <si>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</si>
  <si>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</si>
  <si>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</si>
  <si>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</si>
  <si>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</si>
  <si>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</si>
  <si>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</si>
  <si>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</si>
  <si>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</si>
  <si>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</si>
  <si>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</si>
  <si>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</si>
  <si>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</si>
  <si>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</si>
  <si>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</si>
  <si>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</si>
  <si>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</si>
  <si>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</si>
  <si>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</si>
  <si>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</si>
  <si>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</si>
  <si>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</si>
  <si>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</si>
  <si>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</si>
  <si>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</si>
  <si>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</si>
  <si>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</si>
  <si>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</si>
  <si>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</si>
  <si>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</si>
  <si>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</si>
  <si>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</si>
  <si>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</si>
  <si>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</si>
  <si>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</si>
  <si>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</si>
  <si>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</si>
  <si>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</si>
  <si>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</si>
  <si>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</si>
  <si>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</si>
  <si>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</si>
  <si>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</si>
  <si>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</si>
  <si>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</si>
  <si>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</si>
  <si>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</si>
  <si>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</si>
  <si>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</si>
  <si>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</si>
  <si>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</si>
  <si>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</si>
  <si>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</si>
  <si>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</si>
  <si>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</si>
  <si>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</si>
  <si>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</si>
  <si>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</si>
  <si>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</si>
  <si>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</si>
  <si>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</si>
  <si>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</si>
  <si>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</si>
  <si>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</si>
  <si>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</si>
  <si>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</si>
  <si>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</si>
  <si>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</si>
  <si>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</si>
  <si>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</si>
  <si>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</si>
  <si>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</si>
  <si>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</si>
  <si>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</si>
  <si>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</si>
  <si>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</si>
  <si>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</si>
  <si>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</si>
  <si>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</si>
  <si>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</si>
  <si>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</si>
  <si>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</si>
  <si>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</si>
  <si>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</si>
  <si>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</si>
  <si>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</si>
  <si>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</si>
  <si>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</si>
  <si>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</si>
  <si>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</si>
  <si>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</si>
  <si>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</si>
  <si>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</si>
  <si>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</si>
  <si>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</si>
  <si>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</si>
  <si>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</si>
  <si>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</si>
  <si>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</si>
  <si>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</si>
  <si>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</si>
  <si>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</si>
  <si>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</si>
  <si>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</si>
  <si>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</si>
  <si>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</si>
  <si>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</si>
  <si>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</si>
  <si>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</si>
  <si>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</si>
  <si>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</si>
  <si>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</si>
  <si>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</si>
  <si>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</si>
  <si>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</si>
  <si>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</si>
  <si>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</si>
  <si>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</si>
  <si>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</si>
  <si>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</si>
  <si>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</si>
  <si>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</si>
  <si>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</si>
  <si>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</si>
  <si>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</si>
  <si>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</si>
  <si>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</si>
  <si>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</si>
  <si>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</si>
  <si>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</si>
  <si>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</si>
  <si>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</si>
  <si>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</si>
  <si>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</si>
  <si>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</si>
  <si>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</si>
  <si>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</si>
  <si>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</si>
  <si>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</si>
  <si>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</si>
  <si>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</si>
  <si>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</si>
  <si>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</si>
  <si>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</si>
  <si>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</si>
  <si>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</si>
  <si>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</si>
  <si>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</si>
  <si>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</si>
  <si>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</si>
  <si>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</si>
  <si>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</si>
  <si>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</si>
  <si>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</si>
  <si>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</si>
  <si>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</si>
  <si>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</si>
  <si>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</si>
  <si>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</si>
  <si>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</si>
  <si>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</si>
  <si>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</si>
  <si>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</si>
  <si>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</si>
  <si>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</si>
  <si>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</si>
  <si>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</si>
  <si>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</si>
  <si>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</si>
  <si>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</si>
  <si>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</si>
  <si>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</si>
  <si>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</si>
  <si>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</si>
  <si>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</si>
  <si>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</si>
  <si>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</si>
  <si>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</si>
  <si>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</si>
  <si>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</si>
  <si>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</si>
  <si>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</si>
  <si>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</si>
  <si>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</si>
  <si>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</si>
  <si>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</si>
  <si>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</si>
  <si>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</si>
  <si>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</si>
  <si>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</si>
  <si>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</si>
  <si>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</si>
  <si>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</si>
  <si>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</si>
  <si>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</si>
  <si>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</si>
  <si>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</si>
  <si>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</si>
  <si>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</si>
  <si>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</si>
  <si>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</si>
  <si>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</si>
  <si>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</si>
  <si>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</si>
  <si>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</si>
  <si>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</si>
  <si>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</si>
  <si>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</si>
  <si>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</si>
  <si>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</si>
  <si>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</si>
  <si>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</si>
  <si>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</si>
  <si>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</si>
  <si>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</si>
  <si>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</si>
  <si>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</si>
  <si>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</si>
  <si>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</si>
  <si>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</si>
  <si>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</si>
  <si>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</si>
  <si>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</si>
  <si>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</si>
  <si>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</si>
  <si>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</si>
  <si>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</si>
  <si>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</si>
  <si>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</si>
  <si>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</si>
  <si>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</si>
  <si>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</si>
  <si>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</si>
  <si>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</si>
  <si>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</si>
  <si>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</si>
  <si>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</si>
  <si>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</si>
  <si>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</si>
  <si>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</si>
  <si>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</si>
  <si>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</si>
  <si>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</si>
  <si>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</si>
  <si>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</si>
  <si>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</si>
  <si>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</si>
  <si>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</si>
  <si>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</si>
  <si>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</si>
  <si>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</si>
  <si>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</si>
  <si>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</si>
  <si>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</si>
  <si>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</si>
  <si>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</si>
  <si>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</si>
  <si>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</si>
  <si>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</si>
  <si>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</si>
  <si>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</si>
  <si>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</si>
  <si>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</si>
  <si>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</si>
  <si>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</si>
  <si>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</si>
  <si>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</si>
  <si>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</si>
  <si>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Saline</t>
  </si>
  <si>
    <t>Kemper CPA Group LLP</t>
  </si>
  <si>
    <t>Michelle Smith, CPA</t>
  </si>
  <si>
    <t>713 South Commercial</t>
  </si>
  <si>
    <t>Route 45</t>
  </si>
  <si>
    <t>Harrisburg</t>
  </si>
  <si>
    <t>IL</t>
  </si>
  <si>
    <t xml:space="preserve">Carrier Mills </t>
  </si>
  <si>
    <t>(618) 252-7456</t>
  </si>
  <si>
    <t>(618) 253-7223</t>
  </si>
  <si>
    <t>mdsmith@kempercpa.com</t>
  </si>
  <si>
    <t>Bryce Jerrell</t>
  </si>
  <si>
    <t>bkjerrell@cmsfcats.org</t>
  </si>
  <si>
    <t>(618) 994-2392</t>
  </si>
  <si>
    <t>(618) 994-2929</t>
  </si>
  <si>
    <t>General Obligation Bonds, Series 2011</t>
  </si>
  <si>
    <t>General Obligation Bonds, Series 2018</t>
  </si>
  <si>
    <t>Southeastern Illinois College: Dual Credit</t>
  </si>
  <si>
    <t>Illinois Energy Consortium - See attachment</t>
  </si>
  <si>
    <t>See below</t>
  </si>
  <si>
    <t>WOVSED - See attachment</t>
  </si>
  <si>
    <t>OWVRVS - See attachment</t>
  </si>
  <si>
    <t>Professional Development: Gallatin County CUSD #7, Norris City-Omaha-Enfield CUSD #1, Galatia CUSD #1, Pope County CUSD #1, Hardin County CUSD #1</t>
  </si>
  <si>
    <t>Education Fund</t>
  </si>
  <si>
    <t>Acct #1993</t>
  </si>
  <si>
    <t>PE Uniforms: $1,222</t>
  </si>
  <si>
    <t>SIC Dual Credit Courses: $120</t>
  </si>
  <si>
    <t>Miscellaneous Other Local Fees: $2,841</t>
  </si>
  <si>
    <t>Acct #4499</t>
  </si>
  <si>
    <t>Forest Reserve: $112</t>
  </si>
  <si>
    <t>Acct #4999</t>
  </si>
  <si>
    <t>REAP Funds: $7,411</t>
  </si>
  <si>
    <t>Parking Fees: $650</t>
  </si>
  <si>
    <t>Acct #1999</t>
  </si>
  <si>
    <t>School Facility Occupation Tax: $223,931</t>
  </si>
  <si>
    <t>E-Rate Rebates: $13,342</t>
  </si>
  <si>
    <t>Page 26, Line 10, Other Receipts</t>
  </si>
  <si>
    <t>Page 26, Line 22, Other Disbursements</t>
  </si>
  <si>
    <t>Page 29, Line 103, Other Local Fees</t>
  </si>
  <si>
    <t>Operations - Contractual Services Paid from School Occupation Tax: $26,145</t>
  </si>
  <si>
    <t>Transfer to Debt Service Fund to Pay Principal on Building Related Debt: $100,700</t>
  </si>
  <si>
    <t xml:space="preserve">23. The District prepared these financial statements using account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the accounting principles generally accepted in the United States of America. </t>
  </si>
  <si>
    <t>ED-Fiscal Services Purchased Services</t>
  </si>
  <si>
    <t>10-2520-300</t>
  </si>
  <si>
    <t>RDA Systems, Inc</t>
  </si>
  <si>
    <t>U.S. Postal Service</t>
  </si>
  <si>
    <t>O&amp;M - Purchased Services</t>
  </si>
  <si>
    <t>20-2540-300</t>
  </si>
  <si>
    <t xml:space="preserve">Harrisburg Pest </t>
  </si>
  <si>
    <t>Dexter B. Parks</t>
  </si>
  <si>
    <t>HSG Services</t>
  </si>
  <si>
    <t>Maxitrol Security</t>
  </si>
  <si>
    <t>Sonitrol Security</t>
  </si>
  <si>
    <t>Thyssenkrupp Elevator Corp.</t>
  </si>
  <si>
    <t>Beam's Alarm</t>
  </si>
  <si>
    <t>Cintas</t>
  </si>
  <si>
    <t>Mace Hankins</t>
  </si>
  <si>
    <t>National Elevator Inspection Services</t>
  </si>
  <si>
    <t>Office of the Illinois State Fire Marshall</t>
  </si>
  <si>
    <t>Griffin Plumbing</t>
  </si>
  <si>
    <t>Custom Home Elevator</t>
  </si>
  <si>
    <t>Steve Riley</t>
  </si>
  <si>
    <t>Republic Services</t>
  </si>
  <si>
    <t>Perfect Solution Disposal</t>
  </si>
  <si>
    <t>Meyers Floor Service</t>
  </si>
  <si>
    <t>Straight Line Striping LLC</t>
  </si>
  <si>
    <t>Courtice/Grayson</t>
  </si>
  <si>
    <t>City of Carbondale</t>
  </si>
  <si>
    <t>Hytek Services</t>
  </si>
  <si>
    <t>Vaughn's Roofin</t>
  </si>
  <si>
    <t>Verizon Wireless</t>
  </si>
  <si>
    <t>Clearwave Communications</t>
  </si>
  <si>
    <t>Frontier</t>
  </si>
  <si>
    <t>Municipal Water</t>
  </si>
  <si>
    <t>2017-001</t>
  </si>
  <si>
    <t>Repeated in current year.</t>
  </si>
  <si>
    <t>Personnel of the District do not currently possess the skills necessary to draft financial statements and footnote disclosures in accordance with the regulatory provisions prescribed by the Illinois State Board of Education. In addition, the District does not have an adequate system of internal control over financial reporting to allow management or employees in the normal course of performing their assigned functions to prevent or detect financial statement misstatements in a timely manner.</t>
  </si>
  <si>
    <t>Management agrees with this finding.</t>
  </si>
  <si>
    <t>As part of internal control over the preparation of financial statements, the District should implement comprehensive preparation procedures to ensure that the financial statements and footnote disclosures are complete and accurate. These precedures should be performed by a properly trained individual. This could include providing additional training to the District's current bookkeeper.</t>
  </si>
  <si>
    <t>Inability to draft footnote disclosures to accompany the financial statements.</t>
  </si>
  <si>
    <t>The District does not have staff that have the necessary skills to draft footnote disclosures in accordance with the regulatory provisions prescribed by the Illinois State Board of Education.</t>
  </si>
  <si>
    <t>The District's management or employees, in the normal course of performing their assigned functions, may not detect disclosure omissions in a timely manner.</t>
  </si>
  <si>
    <t xml:space="preserve">Lack of technical training. While the District's bookkeeper has adequate skills to detect material misstatements and draft financial statements, she has not drafted footnote disclosures. </t>
  </si>
  <si>
    <t>N/A</t>
  </si>
  <si>
    <t>Carrier Mills-Stonefort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</si>
</sst>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64" fontId="62" fillId="0" borderId="0" xfId="0"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55" fillId="0" borderId="0" xfId="3" applyFont="1" applyBorder="1" applyAlignment="1" applyProtection="1">
      <alignment horizontal="center"/>
      <protection locked="0"/>
    </xf>
    <xf numFmtId="179" fontId="55" fillId="0" borderId="0"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3" fillId="0" borderId="0" xfId="3" applyFont="1" applyBorder="1" applyAlignment="1" applyProtection="1">
      <alignment horizontal="justify" vertical="top" wrapText="1"/>
      <protection locked="0"/>
    </xf>
    <xf numFmtId="0" fontId="53" fillId="0" borderId="0" xfId="3" applyFont="1" applyAlignment="1" applyProtection="1">
      <alignment horizontal="justify"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3" fillId="0" borderId="0" xfId="3" applyNumberFormat="1" applyFont="1" applyAlignment="1" applyProtection="1">
      <alignment horizontal="justify"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horizontal="justify"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6</xdr:row>
          <xdr:rowOff>152400</xdr:rowOff>
        </xdr:from>
        <xdr:to>
          <xdr:col>1</xdr:col>
          <xdr:colOff>914400</xdr:colOff>
          <xdr:row>11</xdr:row>
          <xdr:rowOff>47625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7</xdr:row>
          <xdr:rowOff>0</xdr:rowOff>
        </xdr:from>
        <xdr:to>
          <xdr:col>1</xdr:col>
          <xdr:colOff>1914525</xdr:colOff>
          <xdr:row>11</xdr:row>
          <xdr:rowOff>57150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7</xdr:row>
          <xdr:rowOff>0</xdr:rowOff>
        </xdr:from>
        <xdr:to>
          <xdr:col>1</xdr:col>
          <xdr:colOff>2886075</xdr:colOff>
          <xdr:row>11</xdr:row>
          <xdr:rowOff>57150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3000375</xdr:colOff>
          <xdr:row>7</xdr:row>
          <xdr:rowOff>0</xdr:rowOff>
        </xdr:from>
        <xdr:to>
          <xdr:col>1</xdr:col>
          <xdr:colOff>3962400</xdr:colOff>
          <xdr:row>11</xdr:row>
          <xdr:rowOff>76200</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20083002026</v>
      </c>
      <c r="B13" s="2007"/>
      <c r="C13" s="2007"/>
      <c r="D13" s="2007"/>
      <c r="E13" s="2007"/>
      <c r="F13" s="2007"/>
      <c r="G13" s="2007"/>
      <c r="H13" s="2008"/>
      <c r="I13" s="31"/>
      <c r="J13" s="30"/>
      <c r="K13" s="28"/>
      <c r="L13" s="30"/>
      <c r="M13" s="30"/>
      <c r="N13" s="30"/>
      <c r="O13" s="30"/>
      <c r="P13" s="30"/>
      <c r="Q13" s="30"/>
      <c r="R13" s="30"/>
      <c r="S13" s="30"/>
      <c r="T13" s="2011" t="s">
        <v>2079</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2078</v>
      </c>
      <c r="B15" s="2009"/>
      <c r="C15" s="2009"/>
      <c r="D15" s="2009"/>
      <c r="E15" s="2009"/>
      <c r="F15" s="2009"/>
      <c r="G15" s="2009"/>
      <c r="H15" s="2010"/>
      <c r="T15" s="1972" t="s">
        <v>2080</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2162</v>
      </c>
      <c r="B17" s="2034"/>
      <c r="C17" s="2034"/>
      <c r="D17" s="2034"/>
      <c r="E17" s="2034"/>
      <c r="F17" s="2034"/>
      <c r="G17" s="2034"/>
      <c r="H17" s="2035"/>
      <c r="T17" s="2021" t="s">
        <v>2081</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2082</v>
      </c>
      <c r="B19" s="2005"/>
      <c r="C19" s="2005"/>
      <c r="D19" s="2005"/>
      <c r="E19" s="2005"/>
      <c r="F19" s="2005"/>
      <c r="G19" s="2005"/>
      <c r="H19" s="2003"/>
      <c r="I19" s="30"/>
      <c r="J19" s="99"/>
      <c r="K19" s="40"/>
      <c r="L19" s="38"/>
      <c r="M19" s="112" t="s">
        <v>333</v>
      </c>
      <c r="P19" s="27"/>
      <c r="Q19" s="27"/>
      <c r="R19" s="27"/>
      <c r="S19" s="31"/>
      <c r="T19" s="2004" t="s">
        <v>2083</v>
      </c>
      <c r="U19" s="2002"/>
      <c r="V19" s="2002"/>
      <c r="W19" s="2003"/>
      <c r="X19" s="2019" t="s">
        <v>2084</v>
      </c>
      <c r="Y19" s="2020"/>
      <c r="Z19" s="2017">
        <v>62946</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2085</v>
      </c>
      <c r="B21" s="2002"/>
      <c r="C21" s="2002"/>
      <c r="D21" s="2002"/>
      <c r="E21" s="2002"/>
      <c r="F21" s="2002"/>
      <c r="G21" s="2002"/>
      <c r="H21" s="2003"/>
      <c r="I21" s="2027" t="s">
        <v>699</v>
      </c>
      <c r="J21" s="1990"/>
      <c r="K21" s="1990"/>
      <c r="L21" s="1990"/>
      <c r="M21" s="1990"/>
      <c r="N21" s="1990"/>
      <c r="O21" s="1990"/>
      <c r="P21" s="1990"/>
      <c r="Q21" s="1990"/>
      <c r="R21" s="1990"/>
      <c r="S21" s="1991"/>
      <c r="T21" s="1969" t="s">
        <v>2086</v>
      </c>
      <c r="U21" s="1970"/>
      <c r="V21" s="1970"/>
      <c r="W21" s="1970"/>
      <c r="X21" s="1983" t="s">
        <v>2087</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c r="B23" s="2025"/>
      <c r="C23" s="2025"/>
      <c r="D23" s="2025"/>
      <c r="E23" s="2025"/>
      <c r="F23" s="2025"/>
      <c r="G23" s="2025"/>
      <c r="H23" s="2026"/>
      <c r="T23" s="1964">
        <v>65.027214000000001</v>
      </c>
      <c r="U23" s="1965"/>
      <c r="V23" s="1965"/>
      <c r="W23" s="1965"/>
      <c r="X23" s="1980">
        <v>43738</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62917</v>
      </c>
      <c r="B25" s="2002"/>
      <c r="C25" s="2002"/>
      <c r="D25" s="2002"/>
      <c r="E25" s="2002"/>
      <c r="F25" s="2002"/>
      <c r="G25" s="2002"/>
      <c r="H25" s="2003"/>
      <c r="I25" s="113"/>
      <c r="J25" s="2068"/>
      <c r="K25" s="2068"/>
      <c r="L25" s="2068"/>
      <c r="M25" s="2068"/>
      <c r="N25" s="2068"/>
      <c r="O25" s="2068"/>
      <c r="P25" s="2068"/>
      <c r="Q25" s="2068"/>
      <c r="R25" s="2068"/>
      <c r="S25" s="2069"/>
      <c r="T25" s="1961" t="s">
        <v>2088</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2089</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2090</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2091</v>
      </c>
      <c r="B42" s="2051"/>
      <c r="C42" s="2052"/>
      <c r="D42" s="2065" t="s">
        <v>2092</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30" sqref="E3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457716</v>
      </c>
      <c r="C4" s="1546"/>
      <c r="D4" s="1774">
        <f>B4-C4</f>
        <v>457716</v>
      </c>
      <c r="E4" s="1546">
        <v>471824</v>
      </c>
      <c r="F4" s="1774">
        <f>E4-C4</f>
        <v>471824</v>
      </c>
    </row>
    <row r="5" spans="1:6" ht="13.7" customHeight="1" x14ac:dyDescent="0.2">
      <c r="A5" s="716" t="s">
        <v>925</v>
      </c>
      <c r="B5" s="1772">
        <f>'Revenues 9-14'!D5</f>
        <v>84917</v>
      </c>
      <c r="C5" s="585"/>
      <c r="D5" s="1775">
        <f t="shared" ref="D5:D18" si="0">B5-C5</f>
        <v>84917</v>
      </c>
      <c r="E5" s="585">
        <v>87538</v>
      </c>
      <c r="F5" s="1775">
        <f>E5-C5</f>
        <v>87538</v>
      </c>
    </row>
    <row r="6" spans="1:6" ht="13.7" customHeight="1" x14ac:dyDescent="0.2">
      <c r="A6" s="716" t="s">
        <v>431</v>
      </c>
      <c r="B6" s="1772">
        <f>'Revenues 9-14'!E5</f>
        <v>0</v>
      </c>
      <c r="C6" s="585"/>
      <c r="D6" s="1775">
        <f t="shared" si="0"/>
        <v>0</v>
      </c>
      <c r="E6" s="585">
        <v>102082</v>
      </c>
      <c r="F6" s="1775">
        <f t="shared" ref="F6:F18" si="1">E6-C6</f>
        <v>102082</v>
      </c>
    </row>
    <row r="7" spans="1:6" ht="13.7" customHeight="1" x14ac:dyDescent="0.2">
      <c r="A7" s="716" t="s">
        <v>157</v>
      </c>
      <c r="B7" s="1772">
        <f>'Revenues 9-14'!F5</f>
        <v>36392</v>
      </c>
      <c r="C7" s="585"/>
      <c r="D7" s="1775">
        <f t="shared" si="0"/>
        <v>36392</v>
      </c>
      <c r="E7" s="585">
        <v>37663</v>
      </c>
      <c r="F7" s="1775">
        <f t="shared" si="1"/>
        <v>37663</v>
      </c>
    </row>
    <row r="8" spans="1:6" ht="13.7" customHeight="1" x14ac:dyDescent="0.2">
      <c r="A8" s="716" t="s">
        <v>1241</v>
      </c>
      <c r="B8" s="1772">
        <f>'Revenues 9-14'!G5</f>
        <v>56794</v>
      </c>
      <c r="C8" s="585"/>
      <c r="D8" s="1775">
        <f t="shared" si="0"/>
        <v>56794</v>
      </c>
      <c r="E8" s="585">
        <v>65145</v>
      </c>
      <c r="F8" s="1775">
        <f t="shared" si="1"/>
        <v>65145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9098</v>
      </c>
      <c r="C10" s="585"/>
      <c r="D10" s="1775">
        <f t="shared" si="0"/>
        <v>9098</v>
      </c>
      <c r="E10" s="585">
        <v>9163</v>
      </c>
      <c r="F10" s="1775">
        <f t="shared" si="1"/>
        <v>9163</v>
      </c>
    </row>
    <row r="11" spans="1:6" x14ac:dyDescent="0.2">
      <c r="A11" s="716" t="s">
        <v>429</v>
      </c>
      <c r="B11" s="1772">
        <f>'Revenues 9-14'!J5</f>
        <v>151635</v>
      </c>
      <c r="C11" s="585"/>
      <c r="D11" s="1775">
        <f t="shared" si="0"/>
        <v>151635</v>
      </c>
      <c r="E11" s="585">
        <v>161844</v>
      </c>
      <c r="F11" s="1775">
        <f t="shared" si="1"/>
        <v>161844</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7279</v>
      </c>
      <c r="C14" s="585"/>
      <c r="D14" s="1775">
        <f t="shared" si="0"/>
        <v>7279</v>
      </c>
      <c r="E14" s="585">
        <v>7432</v>
      </c>
      <c r="F14" s="1775">
        <f t="shared" si="1"/>
        <v>7432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52386</v>
      </c>
      <c r="C16" s="585"/>
      <c r="D16" s="1775">
        <f t="shared" si="0"/>
        <v>52386</v>
      </c>
      <c r="E16" s="585">
        <v>65145</v>
      </c>
      <c r="F16" s="1775">
        <f t="shared" si="1"/>
        <v>65145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856217</v>
      </c>
      <c r="C19" s="1773">
        <f>SUM(C4:C18)</f>
        <v>0</v>
      </c>
      <c r="D19" s="1773">
        <f>SUM(D4:D18)</f>
        <v>856217</v>
      </c>
      <c r="E19" s="1773">
        <f>SUM(E4:E18)</f>
        <v>1007836</v>
      </c>
      <c r="F19" s="1773">
        <f>SUM(F4:F18)</f>
        <v>1007836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1.3" right="0.2" top="1.3" bottom="0.52" header="0.19" footer="0.17"/>
  <pageSetup scale="80"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90" zoomScaleNormal="90" workbookViewId="0">
      <selection activeCell="E30" sqref="E3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7" t="s">
        <v>2038</v>
      </c>
      <c r="D2" s="724" t="s">
        <v>2045</v>
      </c>
      <c r="E2" s="724" t="s">
        <v>2046</v>
      </c>
      <c r="F2" s="1907" t="s">
        <v>2039</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7">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406</v>
      </c>
      <c r="B19" s="2231"/>
      <c r="C19" s="727"/>
      <c r="D19" s="585"/>
      <c r="E19" s="727"/>
      <c r="F19" s="1777">
        <f>SUM(C19+D19)-E19</f>
        <v>0</v>
      </c>
    </row>
    <row r="20" spans="1:11" ht="12.75" customHeight="1" thickTop="1" thickBot="1" x14ac:dyDescent="0.25">
      <c r="A20" s="2230" t="s">
        <v>468</v>
      </c>
      <c r="B20" s="2231"/>
      <c r="C20" s="727"/>
      <c r="D20" s="585"/>
      <c r="E20" s="727"/>
      <c r="F20" s="1777">
        <f>SUM(C20+D20)-E20</f>
        <v>0</v>
      </c>
    </row>
    <row r="21" spans="1:11" ht="14.25" thickTop="1" thickBot="1" x14ac:dyDescent="0.25">
      <c r="A21" s="2207" t="s">
        <v>653</v>
      </c>
      <c r="B21" s="2208"/>
      <c r="C21" s="1777">
        <f>SUM(C17:C20)</f>
        <v>0</v>
      </c>
      <c r="D21" s="1777">
        <f>SUM(D17:D20)</f>
        <v>0</v>
      </c>
      <c r="E21" s="1777">
        <f>SUM(E17:E20)</f>
        <v>0</v>
      </c>
      <c r="F21" s="1777">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7">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7">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2093</v>
      </c>
      <c r="B31" s="734">
        <v>40688</v>
      </c>
      <c r="C31" s="735">
        <v>660900</v>
      </c>
      <c r="D31" s="736">
        <v>4</v>
      </c>
      <c r="E31" s="735">
        <v>100700</v>
      </c>
      <c r="F31" s="735"/>
      <c r="G31" s="735"/>
      <c r="H31" s="735">
        <v>100700</v>
      </c>
      <c r="I31" s="1778">
        <f>((E31+F31)-H31)+G31</f>
        <v>0</v>
      </c>
      <c r="J31" s="735"/>
      <c r="K31" s="737"/>
    </row>
    <row r="32" spans="1:11" ht="12" customHeight="1" x14ac:dyDescent="0.2">
      <c r="A32" s="733" t="s">
        <v>2094</v>
      </c>
      <c r="B32" s="734">
        <v>43139</v>
      </c>
      <c r="C32" s="735">
        <v>453300</v>
      </c>
      <c r="D32" s="736">
        <v>1</v>
      </c>
      <c r="E32" s="735"/>
      <c r="F32" s="735">
        <v>453300</v>
      </c>
      <c r="G32" s="735"/>
      <c r="H32" s="735"/>
      <c r="I32" s="1778">
        <f>((E32+F32)-H32)+G32</f>
        <v>453300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1114200</v>
      </c>
      <c r="D49" s="746"/>
      <c r="E49" s="1778">
        <f t="shared" ref="E49:J49" si="2">SUM(E31:E48)</f>
        <v>100700</v>
      </c>
      <c r="F49" s="1778">
        <f t="shared" si="2"/>
        <v>453300</v>
      </c>
      <c r="G49" s="1778">
        <f t="shared" si="2"/>
        <v>0</v>
      </c>
      <c r="H49" s="1778">
        <f t="shared" si="2"/>
        <v>100700</v>
      </c>
      <c r="I49" s="1778">
        <f t="shared" si="2"/>
        <v>453300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65" right="0.2" top="0.55000000000000004" bottom="0.52" header="0.19" footer="0.17"/>
  <pageSetup scale="71"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19" colorId="8" zoomScale="110" zoomScaleNormal="110" zoomScalePageLayoutView="110" workbookViewId="0">
      <selection activeCell="E30" sqref="E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c r="I3" s="765"/>
      <c r="J3" s="766">
        <v>260509</v>
      </c>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7279</v>
      </c>
      <c r="I5" s="773"/>
      <c r="J5" s="774"/>
      <c r="K5" s="774"/>
    </row>
    <row r="6" spans="1:11" x14ac:dyDescent="0.2">
      <c r="A6" s="775" t="s">
        <v>744</v>
      </c>
      <c r="B6" s="776"/>
      <c r="C6" s="776"/>
      <c r="D6" s="776"/>
      <c r="E6" s="777"/>
      <c r="F6" s="778" t="s">
        <v>904</v>
      </c>
      <c r="G6" s="765"/>
      <c r="H6" s="765"/>
      <c r="I6" s="765"/>
      <c r="J6" s="766">
        <v>247</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6846</v>
      </c>
    </row>
    <row r="10" spans="1:11" x14ac:dyDescent="0.2">
      <c r="A10" s="2261" t="s">
        <v>1920</v>
      </c>
      <c r="B10" s="2234"/>
      <c r="C10" s="2234"/>
      <c r="D10" s="2234"/>
      <c r="E10" s="2263"/>
      <c r="F10" s="784" t="s">
        <v>917</v>
      </c>
      <c r="G10" s="783"/>
      <c r="H10" s="785"/>
      <c r="I10" s="765"/>
      <c r="J10" s="766">
        <v>223931</v>
      </c>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9"/>
      <c r="G12" s="1780">
        <f>SUM(G5:G11)</f>
        <v>0</v>
      </c>
      <c r="H12" s="1780">
        <f>SUM(H5:H11)</f>
        <v>7279</v>
      </c>
      <c r="I12" s="1780">
        <f>SUM(I5:I11)</f>
        <v>0</v>
      </c>
      <c r="J12" s="1780">
        <f>SUM(J5:J11)</f>
        <v>224178</v>
      </c>
      <c r="K12" s="1780">
        <f>SUM(K5:K11)</f>
        <v>6846</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7279</v>
      </c>
      <c r="I14" s="772"/>
      <c r="J14" s="774"/>
      <c r="K14" s="766">
        <v>6846</v>
      </c>
    </row>
    <row r="15" spans="1:11" x14ac:dyDescent="0.2">
      <c r="A15" s="2234" t="s">
        <v>4</v>
      </c>
      <c r="B15" s="2234"/>
      <c r="C15" s="2234"/>
      <c r="D15" s="2234"/>
      <c r="E15" s="2262"/>
      <c r="F15" s="790" t="s">
        <v>910</v>
      </c>
      <c r="G15" s="772"/>
      <c r="H15" s="765"/>
      <c r="I15" s="765"/>
      <c r="J15" s="766">
        <v>124607</v>
      </c>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1"/>
      <c r="G21" s="793"/>
      <c r="H21" s="797"/>
      <c r="I21" s="797"/>
      <c r="J21" s="1782">
        <f>SUM(J18:J20)</f>
        <v>0</v>
      </c>
      <c r="K21" s="794"/>
    </row>
    <row r="22" spans="1:11" ht="13.5" thickTop="1" x14ac:dyDescent="0.2">
      <c r="A22" s="2234" t="s">
        <v>1922</v>
      </c>
      <c r="B22" s="2234"/>
      <c r="C22" s="2234"/>
      <c r="D22" s="2234"/>
      <c r="E22" s="2262"/>
      <c r="F22" s="790" t="s">
        <v>917</v>
      </c>
      <c r="G22" s="783"/>
      <c r="H22" s="765"/>
      <c r="I22" s="765"/>
      <c r="J22" s="798">
        <v>126845</v>
      </c>
      <c r="K22" s="766"/>
    </row>
    <row r="23" spans="1:11" ht="13.5" thickBot="1" x14ac:dyDescent="0.25">
      <c r="A23" s="2255" t="s">
        <v>962</v>
      </c>
      <c r="B23" s="2254"/>
      <c r="C23" s="2254"/>
      <c r="D23" s="2254"/>
      <c r="E23" s="2254"/>
      <c r="F23" s="1783"/>
      <c r="G23" s="1780">
        <f>SUM(G14:G16,G21,G22)</f>
        <v>0</v>
      </c>
      <c r="H23" s="1780">
        <f>SUM(H14:H16,H21,H22)</f>
        <v>7279</v>
      </c>
      <c r="I23" s="1780">
        <f>SUM(I14:I16,I21,I22)</f>
        <v>0</v>
      </c>
      <c r="J23" s="1780">
        <f>SUM(J14:J16,J21,J22)</f>
        <v>251452</v>
      </c>
      <c r="K23" s="1780">
        <f>SUM(K14:K16,K21,K22)</f>
        <v>6846</v>
      </c>
    </row>
    <row r="24" spans="1:11" ht="14.25" thickTop="1" thickBot="1" x14ac:dyDescent="0.25">
      <c r="A24" s="2255" t="s">
        <v>2026</v>
      </c>
      <c r="B24" s="2254"/>
      <c r="C24" s="2254"/>
      <c r="D24" s="2254"/>
      <c r="E24" s="2254"/>
      <c r="F24" s="1784"/>
      <c r="G24" s="1785">
        <f>SUM(G3,G12)-G23</f>
        <v>0</v>
      </c>
      <c r="H24" s="1785">
        <f>SUM(H3,H12)-H23</f>
        <v>0</v>
      </c>
      <c r="I24" s="1785">
        <f>SUM(I3,I12)-I23</f>
        <v>0</v>
      </c>
      <c r="J24" s="1785">
        <f>SUM(J3,J12)-J23</f>
        <v>233235</v>
      </c>
      <c r="K24" s="1785">
        <f>SUM(K3,K12)-K23</f>
        <v>0</v>
      </c>
    </row>
    <row r="25" spans="1:11" ht="13.5" thickTop="1" x14ac:dyDescent="0.2">
      <c r="A25" s="799" t="s">
        <v>440</v>
      </c>
      <c r="B25" s="800"/>
      <c r="C25" s="800"/>
      <c r="D25" s="800"/>
      <c r="E25" s="801"/>
      <c r="F25" s="802">
        <v>714</v>
      </c>
      <c r="G25" s="803"/>
      <c r="H25" s="803"/>
      <c r="I25" s="803"/>
      <c r="J25" s="798">
        <v>233235</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51" right="0.2" top="1.3" bottom="0.52" header="0.19" footer="0.17"/>
  <pageSetup scale="75" firstPageNumber="25" orientation="landscape" useFirstPageNumber="1" r:id="rId1"/>
  <headerFooter alignWithMargins="0">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E30" sqref="E3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76838</v>
      </c>
      <c r="D5" s="842">
        <v>29500</v>
      </c>
      <c r="E5" s="842"/>
      <c r="F5" s="1782">
        <f>(C5+D5)-E5</f>
        <v>106338</v>
      </c>
      <c r="G5" s="838"/>
      <c r="H5" s="843"/>
      <c r="I5" s="843"/>
      <c r="J5" s="843"/>
      <c r="K5" s="794"/>
      <c r="L5" s="1791">
        <f>F5-K5</f>
        <v>106338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7042038</v>
      </c>
      <c r="D8" s="845">
        <v>95107</v>
      </c>
      <c r="E8" s="845"/>
      <c r="F8" s="1782">
        <f>(C8+D8)-E8</f>
        <v>7137145</v>
      </c>
      <c r="G8" s="844">
        <v>50</v>
      </c>
      <c r="H8" s="766">
        <v>3084406</v>
      </c>
      <c r="I8" s="766">
        <v>127523</v>
      </c>
      <c r="J8" s="766"/>
      <c r="K8" s="1791">
        <f>(H8+I8)-J8</f>
        <v>3211929</v>
      </c>
      <c r="L8" s="1791">
        <f>F8-K8</f>
        <v>3925216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100958</v>
      </c>
      <c r="D10" s="847"/>
      <c r="E10" s="847"/>
      <c r="F10" s="1786">
        <f>(C10+D10)-E10</f>
        <v>100958</v>
      </c>
      <c r="G10" s="844">
        <v>20</v>
      </c>
      <c r="H10" s="848">
        <v>80921</v>
      </c>
      <c r="I10" s="848">
        <v>2132</v>
      </c>
      <c r="J10" s="848"/>
      <c r="K10" s="1791">
        <f>(H10+I10)-J10</f>
        <v>83053</v>
      </c>
      <c r="L10" s="1791">
        <f>F10-K10</f>
        <v>17905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327731</v>
      </c>
      <c r="D12" s="845">
        <v>38169</v>
      </c>
      <c r="E12" s="845">
        <v>15574</v>
      </c>
      <c r="F12" s="1782">
        <f>(C12+D12)-E12</f>
        <v>350326</v>
      </c>
      <c r="G12" s="844">
        <v>10</v>
      </c>
      <c r="H12" s="766">
        <v>224633</v>
      </c>
      <c r="I12" s="766">
        <v>33675</v>
      </c>
      <c r="J12" s="766">
        <v>15574</v>
      </c>
      <c r="K12" s="1791">
        <f>(H12+I12)-J12</f>
        <v>242734</v>
      </c>
      <c r="L12" s="1791">
        <f>F12-K12</f>
        <v>107592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7547565</v>
      </c>
      <c r="D16" s="1782">
        <f>SUM(D3,D5:D6,D8:D10,D12:D15)</f>
        <v>162776</v>
      </c>
      <c r="E16" s="1782">
        <f>SUM(E3,E5:E6,E8:E10,E12:E15)</f>
        <v>15574</v>
      </c>
      <c r="F16" s="1782">
        <f>SUM(F3,F5:F6,F8:F10,F12:F15)</f>
        <v>7694767</v>
      </c>
      <c r="G16" s="844"/>
      <c r="H16" s="1782">
        <f>SUM(H3,H6,H8:H10,H12:H14,)</f>
        <v>3389960</v>
      </c>
      <c r="I16" s="1782">
        <f>SUM(I3,I6,I8:I10,I12:I14,)</f>
        <v>163330</v>
      </c>
      <c r="J16" s="1782">
        <f>SUM(J3,J6,J8:J10,J12:J14,)</f>
        <v>15574</v>
      </c>
      <c r="K16" s="1782">
        <f>(H16+I16)-J16</f>
        <v>3537716</v>
      </c>
      <c r="L16" s="1782">
        <f>F16-K16</f>
        <v>4157051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163330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pageMargins left="0.56000000000000005" right="0.2" top="1.3" bottom="0.52" header="0.5" footer="0.17"/>
  <pageSetup scale="75"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E30" sqref="E30"/>
      <selection pane="bottomLeft" activeCell="E30" sqref="E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3364306</v>
      </c>
      <c r="G8" s="866"/>
    </row>
    <row r="9" spans="1:7" x14ac:dyDescent="0.2">
      <c r="A9" s="870" t="s">
        <v>480</v>
      </c>
      <c r="B9" s="871" t="s">
        <v>1989</v>
      </c>
      <c r="C9" s="872"/>
      <c r="D9" s="870" t="s">
        <v>522</v>
      </c>
      <c r="E9" s="869"/>
      <c r="F9" s="1933">
        <f>'Expenditures 15-22'!K151</f>
        <v>328005</v>
      </c>
      <c r="G9" s="873"/>
    </row>
    <row r="10" spans="1:7" x14ac:dyDescent="0.2">
      <c r="A10" s="870" t="s">
        <v>520</v>
      </c>
      <c r="B10" s="871" t="s">
        <v>1990</v>
      </c>
      <c r="C10" s="872"/>
      <c r="D10" s="870" t="s">
        <v>522</v>
      </c>
      <c r="E10" s="869"/>
      <c r="F10" s="1933">
        <f>'Expenditures 15-22'!K174</f>
        <v>102487</v>
      </c>
      <c r="G10" s="873"/>
    </row>
    <row r="11" spans="1:7" x14ac:dyDescent="0.2">
      <c r="A11" s="870" t="s">
        <v>481</v>
      </c>
      <c r="B11" s="871" t="s">
        <v>1991</v>
      </c>
      <c r="C11" s="872"/>
      <c r="D11" s="870" t="s">
        <v>522</v>
      </c>
      <c r="E11" s="869"/>
      <c r="F11" s="1933">
        <f>'Expenditures 15-22'!K210</f>
        <v>200515</v>
      </c>
      <c r="G11" s="873"/>
    </row>
    <row r="12" spans="1:7" x14ac:dyDescent="0.2">
      <c r="A12" s="870" t="s">
        <v>482</v>
      </c>
      <c r="B12" s="871" t="s">
        <v>1992</v>
      </c>
      <c r="C12" s="872"/>
      <c r="D12" s="870" t="s">
        <v>522</v>
      </c>
      <c r="E12" s="869"/>
      <c r="F12" s="1933">
        <f>'Expenditures 15-22'!K295</f>
        <v>122275</v>
      </c>
      <c r="G12" s="873"/>
    </row>
    <row r="13" spans="1:7" x14ac:dyDescent="0.2">
      <c r="A13" s="870" t="s">
        <v>108</v>
      </c>
      <c r="B13" s="871" t="s">
        <v>1993</v>
      </c>
      <c r="C13" s="872"/>
      <c r="D13" s="870" t="s">
        <v>522</v>
      </c>
      <c r="E13" s="869"/>
      <c r="F13" s="1933">
        <f>'Expenditures 15-22'!K342</f>
        <v>95183</v>
      </c>
      <c r="G13" s="874"/>
    </row>
    <row r="14" spans="1:7" ht="12" customHeight="1" thickBot="1" x14ac:dyDescent="0.25">
      <c r="A14" s="1792"/>
      <c r="B14" s="1793"/>
      <c r="C14" s="1794"/>
      <c r="D14" s="1795" t="s">
        <v>522</v>
      </c>
      <c r="E14" s="1796" t="s">
        <v>1015</v>
      </c>
      <c r="F14" s="1797">
        <f>SUM(F8:F13)</f>
        <v>4212771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101925</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2027</v>
      </c>
      <c r="G52" s="866"/>
    </row>
    <row r="53" spans="1:7" x14ac:dyDescent="0.2">
      <c r="A53" s="870" t="s">
        <v>479</v>
      </c>
      <c r="B53" s="870" t="s">
        <v>1551</v>
      </c>
      <c r="C53" s="890">
        <f>'Expenditures 15-22'!B102</f>
        <v>4000</v>
      </c>
      <c r="D53" s="889" t="str">
        <f>'Expenditures 15-22'!A102</f>
        <v>Total Payments to Other Govt Units</v>
      </c>
      <c r="E53" s="869"/>
      <c r="F53" s="1937">
        <f>'Expenditures 15-22'!K102</f>
        <v>81773</v>
      </c>
      <c r="G53" s="866"/>
    </row>
    <row r="54" spans="1:7" x14ac:dyDescent="0.2">
      <c r="A54" s="870" t="s">
        <v>479</v>
      </c>
      <c r="B54" s="870" t="s">
        <v>1552</v>
      </c>
      <c r="C54" s="890" t="s">
        <v>1039</v>
      </c>
      <c r="D54" s="886" t="s">
        <v>1157</v>
      </c>
      <c r="E54" s="869"/>
      <c r="F54" s="1937">
        <f>'Expenditures 15-22'!G114</f>
        <v>24623</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138153</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100700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4376</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453577</v>
      </c>
      <c r="G76" s="866"/>
    </row>
    <row r="77" spans="1:8" s="894" customFormat="1" ht="12" customHeight="1" thickTop="1" thickBot="1" x14ac:dyDescent="0.25">
      <c r="A77" s="1801"/>
      <c r="B77" s="1798"/>
      <c r="C77" s="1794"/>
      <c r="D77" s="1799" t="s">
        <v>2012</v>
      </c>
      <c r="E77" s="1796"/>
      <c r="F77" s="1802">
        <f>(F14-F76)</f>
        <v>3759194</v>
      </c>
      <c r="G77" s="870"/>
    </row>
    <row r="78" spans="1:8" s="894" customFormat="1" ht="12" customHeight="1" thickTop="1" x14ac:dyDescent="0.2">
      <c r="A78" s="1803"/>
      <c r="B78" s="1798"/>
      <c r="C78" s="1794"/>
      <c r="D78" s="1799" t="s">
        <v>2059</v>
      </c>
      <c r="E78" s="1796"/>
      <c r="F78" s="899">
        <v>396.58</v>
      </c>
      <c r="G78" s="900"/>
      <c r="H78" s="870"/>
    </row>
    <row r="79" spans="1:8" s="894" customFormat="1" ht="12" customHeight="1" thickBot="1" x14ac:dyDescent="0.25">
      <c r="A79" s="1804"/>
      <c r="B79" s="1798"/>
      <c r="C79" s="1794"/>
      <c r="D79" s="1799" t="s">
        <v>2013</v>
      </c>
      <c r="E79" s="1796" t="s">
        <v>1015</v>
      </c>
      <c r="F79" s="1805">
        <f>IF(F78&gt;0,F77/F78," Complete Line 78")</f>
        <v>9479.0307125926684</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7155</v>
      </c>
      <c r="G94" s="913"/>
    </row>
    <row r="95" spans="1:7" x14ac:dyDescent="0.2">
      <c r="A95" s="909" t="s">
        <v>142</v>
      </c>
      <c r="B95" s="909" t="s">
        <v>177</v>
      </c>
      <c r="C95" s="911">
        <v>1700</v>
      </c>
      <c r="D95" s="919" t="str">
        <f>'Revenues 9-14'!A82</f>
        <v>Total District/School Activity Income</v>
      </c>
      <c r="E95" s="907"/>
      <c r="F95" s="1811">
        <f>SUM('Revenues 9-14'!C82,'Revenues 9-14'!D82)</f>
        <v>26958</v>
      </c>
      <c r="G95" s="913"/>
    </row>
    <row r="96" spans="1:7" x14ac:dyDescent="0.2">
      <c r="A96" s="909" t="s">
        <v>479</v>
      </c>
      <c r="B96" s="909" t="s">
        <v>178</v>
      </c>
      <c r="C96" s="911">
        <f>'Revenues 9-14'!B84</f>
        <v>1811</v>
      </c>
      <c r="D96" s="912" t="str">
        <f>'Revenues 9-14'!A84</f>
        <v>Rentals - Regular Textbooks</v>
      </c>
      <c r="E96" s="907"/>
      <c r="F96" s="1811">
        <f>'Revenues 9-14'!C84</f>
        <v>8426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4183</v>
      </c>
      <c r="G104" s="913"/>
    </row>
    <row r="105" spans="1:7" x14ac:dyDescent="0.2">
      <c r="A105" s="909" t="s">
        <v>524</v>
      </c>
      <c r="B105" s="909" t="s">
        <v>842</v>
      </c>
      <c r="C105" s="914">
        <v>3100</v>
      </c>
      <c r="D105" s="920" t="str">
        <f>'Revenues 9-14'!A131</f>
        <v>Total Special Education</v>
      </c>
      <c r="E105" s="907"/>
      <c r="F105" s="1811">
        <f>SUM('Revenues 9-14'!C131:D131,'Revenues 9-14'!F131)</f>
        <v>79950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4150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2968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6846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120980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173136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145111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113</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3638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37683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5813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33395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7411</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667916</v>
      </c>
    </row>
    <row r="179" spans="1:7" ht="12" customHeight="1" x14ac:dyDescent="0.2">
      <c r="A179" s="1792"/>
      <c r="B179" s="1806"/>
      <c r="C179" s="1807"/>
      <c r="D179" s="1808" t="s">
        <v>2015</v>
      </c>
      <c r="E179" s="1809"/>
      <c r="F179" s="1811">
        <f>'PCTC-OEPP 27-28'!F77-F178</f>
        <v>3091278</v>
      </c>
    </row>
    <row r="180" spans="1:7" ht="12" customHeight="1" x14ac:dyDescent="0.2">
      <c r="A180" s="1792"/>
      <c r="B180" s="1806"/>
      <c r="C180" s="1807"/>
      <c r="D180" s="1808" t="s">
        <v>1924</v>
      </c>
      <c r="E180" s="1809"/>
      <c r="F180" s="1811">
        <f>'Cap Outlay Deprec 26'!I18</f>
        <v>163330</v>
      </c>
    </row>
    <row r="181" spans="1:7" ht="12" customHeight="1" x14ac:dyDescent="0.2">
      <c r="A181" s="1792"/>
      <c r="B181" s="1806"/>
      <c r="C181" s="1807"/>
      <c r="D181" s="1808" t="s">
        <v>2016</v>
      </c>
      <c r="E181" s="1809"/>
      <c r="F181" s="1811">
        <f>F179+F180</f>
        <v>3254608</v>
      </c>
    </row>
    <row r="182" spans="1:7" ht="12" customHeight="1" x14ac:dyDescent="0.2">
      <c r="A182" s="1792"/>
      <c r="B182" s="1812"/>
      <c r="C182" s="1807"/>
      <c r="D182" s="1808" t="str">
        <f>D78</f>
        <v>9 Month ADA from District Average Daily Attendance/Prior General State Aid Inquiry 2017-2018</v>
      </c>
      <c r="E182" s="1809"/>
      <c r="F182" s="1813">
        <f>'PCTC-OEPP 27-28'!F78</f>
        <v>396.58</v>
      </c>
      <c r="G182" s="931"/>
    </row>
    <row r="183" spans="1:7" ht="12" customHeight="1" thickBot="1" x14ac:dyDescent="0.25">
      <c r="A183" s="1792"/>
      <c r="B183" s="1812"/>
      <c r="C183" s="1807"/>
      <c r="D183" s="1808" t="s">
        <v>2017</v>
      </c>
      <c r="E183" s="1809" t="s">
        <v>1626</v>
      </c>
      <c r="F183" s="1814">
        <f>F181/F182</f>
        <v>8206.687175349236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54" bottom="0.52"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workbookViewId="0">
      <pane ySplit="16" topLeftCell="A17" activePane="bottomLeft" state="frozen"/>
      <selection activeCell="E30" sqref="E30"/>
      <selection pane="bottomLeft" activeCell="A17" sqref="A17"/>
    </sheetView>
  </sheetViews>
  <sheetFormatPr defaultRowHeight="15" x14ac:dyDescent="0.25"/>
  <cols>
    <col min="1" max="1" width="52" style="1564" customWidth="1"/>
    <col min="2" max="2" width="16.42578125" style="1565" bestFit="1" customWidth="1"/>
    <col min="3" max="3" width="36.28515625" style="1565" bestFit="1"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2120</v>
      </c>
      <c r="B17" s="1956" t="s">
        <v>2121</v>
      </c>
      <c r="C17" s="1957" t="s">
        <v>2122</v>
      </c>
      <c r="D17" s="1867">
        <v>5929</v>
      </c>
      <c r="E17" s="1562">
        <f t="shared" ref="E17:E141" si="1">IF(D17&lt;=25000,D17,IF(D17&gt;25000,25000,0))</f>
        <v>5929</v>
      </c>
      <c r="F17" s="1815">
        <f t="shared" si="0"/>
        <v>5929</v>
      </c>
      <c r="G17" s="1816">
        <f>IF(F17=0,0,D17-F17)</f>
        <v>0</v>
      </c>
      <c r="H17" s="1669"/>
    </row>
    <row r="18" spans="1:8" x14ac:dyDescent="0.25">
      <c r="A18" s="1955" t="s">
        <v>2120</v>
      </c>
      <c r="B18" s="1956" t="s">
        <v>2121</v>
      </c>
      <c r="C18" s="1957" t="s">
        <v>2123</v>
      </c>
      <c r="D18" s="1867">
        <v>31</v>
      </c>
      <c r="E18" s="1562">
        <f t="shared" ref="E18:E140" si="2">IF(D18&lt;=25000,D18,IF(D18&gt;25000,25000,0))</f>
        <v>31</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31</v>
      </c>
      <c r="G18" s="1816">
        <f t="shared" ref="G18:G140" si="4">IF(F18=0,0,D18-F18)</f>
        <v>0</v>
      </c>
    </row>
    <row r="19" spans="1:8" x14ac:dyDescent="0.25">
      <c r="A19" s="1955" t="s">
        <v>2124</v>
      </c>
      <c r="B19" s="1956" t="s">
        <v>2125</v>
      </c>
      <c r="C19" s="1957" t="s">
        <v>2126</v>
      </c>
      <c r="D19" s="1867">
        <v>840</v>
      </c>
      <c r="E19" s="1562">
        <f t="shared" si="2"/>
        <v>840</v>
      </c>
      <c r="F19" s="1815">
        <f t="shared" si="3"/>
        <v>840</v>
      </c>
      <c r="G19" s="1816">
        <f t="shared" si="4"/>
        <v>0</v>
      </c>
    </row>
    <row r="20" spans="1:8" x14ac:dyDescent="0.25">
      <c r="A20" s="1955" t="s">
        <v>2124</v>
      </c>
      <c r="B20" s="1956" t="s">
        <v>2125</v>
      </c>
      <c r="C20" s="1957" t="s">
        <v>2127</v>
      </c>
      <c r="D20" s="1867">
        <v>7250</v>
      </c>
      <c r="E20" s="1562">
        <f t="shared" si="2"/>
        <v>7250</v>
      </c>
      <c r="F20" s="1815">
        <f t="shared" si="3"/>
        <v>7250</v>
      </c>
      <c r="G20" s="1816">
        <f t="shared" si="4"/>
        <v>0</v>
      </c>
    </row>
    <row r="21" spans="1:8" x14ac:dyDescent="0.25">
      <c r="A21" s="1955" t="s">
        <v>2124</v>
      </c>
      <c r="B21" s="1956" t="s">
        <v>2125</v>
      </c>
      <c r="C21" s="1957" t="s">
        <v>2128</v>
      </c>
      <c r="D21" s="1867">
        <v>10898</v>
      </c>
      <c r="E21" s="1562">
        <f t="shared" si="2"/>
        <v>10898</v>
      </c>
      <c r="F21" s="1815">
        <f t="shared" si="3"/>
        <v>10898</v>
      </c>
      <c r="G21" s="1816">
        <f t="shared" si="4"/>
        <v>0</v>
      </c>
    </row>
    <row r="22" spans="1:8" x14ac:dyDescent="0.25">
      <c r="A22" s="1955" t="s">
        <v>2124</v>
      </c>
      <c r="B22" s="1956" t="s">
        <v>2125</v>
      </c>
      <c r="C22" s="1957" t="s">
        <v>2129</v>
      </c>
      <c r="D22" s="1867">
        <v>6542</v>
      </c>
      <c r="E22" s="1562">
        <f t="shared" si="2"/>
        <v>6542</v>
      </c>
      <c r="F22" s="1815">
        <f t="shared" si="3"/>
        <v>6542</v>
      </c>
      <c r="G22" s="1816">
        <f t="shared" si="4"/>
        <v>0</v>
      </c>
    </row>
    <row r="23" spans="1:8" x14ac:dyDescent="0.25">
      <c r="A23" s="1955" t="s">
        <v>2124</v>
      </c>
      <c r="B23" s="1956" t="s">
        <v>2125</v>
      </c>
      <c r="C23" s="1957" t="s">
        <v>2130</v>
      </c>
      <c r="D23" s="1867">
        <v>1784</v>
      </c>
      <c r="E23" s="1562">
        <f t="shared" si="2"/>
        <v>1784</v>
      </c>
      <c r="F23" s="1815">
        <f t="shared" si="3"/>
        <v>1784</v>
      </c>
      <c r="G23" s="1816">
        <f t="shared" si="4"/>
        <v>0</v>
      </c>
    </row>
    <row r="24" spans="1:8" x14ac:dyDescent="0.25">
      <c r="A24" s="1955" t="s">
        <v>2124</v>
      </c>
      <c r="B24" s="1956" t="s">
        <v>2125</v>
      </c>
      <c r="C24" s="1957" t="s">
        <v>2131</v>
      </c>
      <c r="D24" s="1867">
        <v>1907</v>
      </c>
      <c r="E24" s="1562">
        <f t="shared" si="2"/>
        <v>1907</v>
      </c>
      <c r="F24" s="1815">
        <f t="shared" si="3"/>
        <v>1907</v>
      </c>
      <c r="G24" s="1816">
        <f t="shared" si="4"/>
        <v>0</v>
      </c>
    </row>
    <row r="25" spans="1:8" x14ac:dyDescent="0.25">
      <c r="A25" s="1955" t="s">
        <v>2124</v>
      </c>
      <c r="B25" s="1956" t="s">
        <v>2125</v>
      </c>
      <c r="C25" s="1957" t="s">
        <v>2132</v>
      </c>
      <c r="D25" s="1867">
        <v>566</v>
      </c>
      <c r="E25" s="1562">
        <f t="shared" si="2"/>
        <v>566</v>
      </c>
      <c r="F25" s="1815">
        <f t="shared" si="3"/>
        <v>566</v>
      </c>
      <c r="G25" s="1816">
        <f t="shared" si="4"/>
        <v>0</v>
      </c>
    </row>
    <row r="26" spans="1:8" x14ac:dyDescent="0.25">
      <c r="A26" s="1955" t="s">
        <v>2124</v>
      </c>
      <c r="B26" s="1956" t="s">
        <v>2125</v>
      </c>
      <c r="C26" s="1957" t="s">
        <v>2133</v>
      </c>
      <c r="D26" s="1867">
        <v>1652</v>
      </c>
      <c r="E26" s="1562">
        <f t="shared" si="2"/>
        <v>1652</v>
      </c>
      <c r="F26" s="1815">
        <f t="shared" si="3"/>
        <v>1652</v>
      </c>
      <c r="G26" s="1816">
        <f t="shared" si="4"/>
        <v>0</v>
      </c>
    </row>
    <row r="27" spans="1:8" x14ac:dyDescent="0.25">
      <c r="A27" s="1955" t="s">
        <v>2124</v>
      </c>
      <c r="B27" s="1956" t="s">
        <v>2125</v>
      </c>
      <c r="C27" s="1957" t="s">
        <v>2134</v>
      </c>
      <c r="D27" s="1867">
        <v>100</v>
      </c>
      <c r="E27" s="1562">
        <f t="shared" si="2"/>
        <v>100</v>
      </c>
      <c r="F27" s="1815">
        <f t="shared" si="3"/>
        <v>100</v>
      </c>
      <c r="G27" s="1816">
        <f t="shared" si="4"/>
        <v>0</v>
      </c>
    </row>
    <row r="28" spans="1:8" x14ac:dyDescent="0.25">
      <c r="A28" s="1955" t="s">
        <v>2124</v>
      </c>
      <c r="B28" s="1956" t="s">
        <v>2125</v>
      </c>
      <c r="C28" s="1957" t="s">
        <v>2135</v>
      </c>
      <c r="D28" s="1867">
        <v>330</v>
      </c>
      <c r="E28" s="1562">
        <f t="shared" si="2"/>
        <v>330</v>
      </c>
      <c r="F28" s="1815">
        <f t="shared" si="3"/>
        <v>330</v>
      </c>
      <c r="G28" s="1816">
        <f t="shared" si="4"/>
        <v>0</v>
      </c>
    </row>
    <row r="29" spans="1:8" x14ac:dyDescent="0.25">
      <c r="A29" s="1955" t="s">
        <v>2124</v>
      </c>
      <c r="B29" s="1956" t="s">
        <v>2125</v>
      </c>
      <c r="C29" s="1957" t="s">
        <v>2136</v>
      </c>
      <c r="D29" s="1867">
        <v>750</v>
      </c>
      <c r="E29" s="1562">
        <f t="shared" si="2"/>
        <v>750</v>
      </c>
      <c r="F29" s="1815">
        <f t="shared" si="3"/>
        <v>750</v>
      </c>
      <c r="G29" s="1816">
        <f t="shared" si="4"/>
        <v>0</v>
      </c>
    </row>
    <row r="30" spans="1:8" x14ac:dyDescent="0.25">
      <c r="A30" s="1955" t="s">
        <v>2124</v>
      </c>
      <c r="B30" s="1956" t="s">
        <v>2125</v>
      </c>
      <c r="C30" s="1957" t="s">
        <v>2137</v>
      </c>
      <c r="D30" s="1867">
        <v>1267</v>
      </c>
      <c r="E30" s="1562">
        <f t="shared" si="2"/>
        <v>1267</v>
      </c>
      <c r="F30" s="1815">
        <f t="shared" si="3"/>
        <v>1267</v>
      </c>
      <c r="G30" s="1816">
        <f t="shared" si="4"/>
        <v>0</v>
      </c>
    </row>
    <row r="31" spans="1:8" x14ac:dyDescent="0.25">
      <c r="A31" s="1955" t="s">
        <v>2124</v>
      </c>
      <c r="B31" s="1956" t="s">
        <v>2125</v>
      </c>
      <c r="C31" s="1957" t="s">
        <v>2138</v>
      </c>
      <c r="D31" s="1867">
        <v>625</v>
      </c>
      <c r="E31" s="1562">
        <f t="shared" si="2"/>
        <v>625</v>
      </c>
      <c r="F31" s="1815">
        <f t="shared" si="3"/>
        <v>625</v>
      </c>
      <c r="G31" s="1816">
        <f t="shared" si="4"/>
        <v>0</v>
      </c>
    </row>
    <row r="32" spans="1:8" x14ac:dyDescent="0.25">
      <c r="A32" s="1955" t="s">
        <v>2124</v>
      </c>
      <c r="B32" s="1956" t="s">
        <v>2125</v>
      </c>
      <c r="C32" s="1957" t="s">
        <v>2139</v>
      </c>
      <c r="D32" s="1867">
        <v>60</v>
      </c>
      <c r="E32" s="1562">
        <f t="shared" si="2"/>
        <v>60</v>
      </c>
      <c r="F32" s="1815">
        <f t="shared" si="3"/>
        <v>60</v>
      </c>
      <c r="G32" s="1816">
        <f t="shared" si="4"/>
        <v>0</v>
      </c>
    </row>
    <row r="33" spans="1:7" x14ac:dyDescent="0.25">
      <c r="A33" s="1955" t="s">
        <v>2124</v>
      </c>
      <c r="B33" s="1956" t="s">
        <v>2125</v>
      </c>
      <c r="C33" s="1957" t="s">
        <v>2140</v>
      </c>
      <c r="D33" s="1867">
        <v>806</v>
      </c>
      <c r="E33" s="1562">
        <f t="shared" si="2"/>
        <v>806</v>
      </c>
      <c r="F33" s="1815">
        <f t="shared" si="3"/>
        <v>806</v>
      </c>
      <c r="G33" s="1816">
        <f t="shared" si="4"/>
        <v>0</v>
      </c>
    </row>
    <row r="34" spans="1:7" x14ac:dyDescent="0.25">
      <c r="A34" s="1955" t="s">
        <v>2124</v>
      </c>
      <c r="B34" s="1956" t="s">
        <v>2125</v>
      </c>
      <c r="C34" s="1957" t="s">
        <v>2141</v>
      </c>
      <c r="D34" s="1867">
        <v>1140</v>
      </c>
      <c r="E34" s="1562">
        <f t="shared" si="2"/>
        <v>1140</v>
      </c>
      <c r="F34" s="1815">
        <f t="shared" si="3"/>
        <v>1140</v>
      </c>
      <c r="G34" s="1816">
        <f t="shared" si="4"/>
        <v>0</v>
      </c>
    </row>
    <row r="35" spans="1:7" x14ac:dyDescent="0.25">
      <c r="A35" s="1955" t="s">
        <v>2124</v>
      </c>
      <c r="B35" s="1956" t="s">
        <v>2125</v>
      </c>
      <c r="C35" s="1957" t="s">
        <v>2142</v>
      </c>
      <c r="D35" s="1867">
        <v>3718</v>
      </c>
      <c r="E35" s="1562">
        <f t="shared" si="2"/>
        <v>3718</v>
      </c>
      <c r="F35" s="1815">
        <f t="shared" si="3"/>
        <v>3718</v>
      </c>
      <c r="G35" s="1816">
        <f t="shared" si="4"/>
        <v>0</v>
      </c>
    </row>
    <row r="36" spans="1:7" x14ac:dyDescent="0.25">
      <c r="A36" s="1955" t="s">
        <v>2124</v>
      </c>
      <c r="B36" s="1956" t="s">
        <v>2125</v>
      </c>
      <c r="C36" s="1957" t="s">
        <v>2143</v>
      </c>
      <c r="D36" s="1867">
        <v>2925</v>
      </c>
      <c r="E36" s="1562">
        <f t="shared" si="2"/>
        <v>2925</v>
      </c>
      <c r="F36" s="1815">
        <f t="shared" si="3"/>
        <v>2925</v>
      </c>
      <c r="G36" s="1816">
        <f t="shared" si="4"/>
        <v>0</v>
      </c>
    </row>
    <row r="37" spans="1:7" x14ac:dyDescent="0.25">
      <c r="A37" s="1955" t="s">
        <v>2124</v>
      </c>
      <c r="B37" s="1956" t="s">
        <v>2125</v>
      </c>
      <c r="C37" s="1957" t="s">
        <v>2144</v>
      </c>
      <c r="D37" s="1867">
        <v>1600</v>
      </c>
      <c r="E37" s="1562">
        <f t="shared" si="2"/>
        <v>1600</v>
      </c>
      <c r="F37" s="1815">
        <f t="shared" si="3"/>
        <v>1600</v>
      </c>
      <c r="G37" s="1816">
        <f t="shared" si="4"/>
        <v>0</v>
      </c>
    </row>
    <row r="38" spans="1:7" x14ac:dyDescent="0.25">
      <c r="A38" s="1955" t="s">
        <v>2124</v>
      </c>
      <c r="B38" s="1958" t="s">
        <v>2125</v>
      </c>
      <c r="C38" s="1957" t="s">
        <v>2145</v>
      </c>
      <c r="D38" s="1867">
        <v>780</v>
      </c>
      <c r="E38" s="1562">
        <f t="shared" si="2"/>
        <v>780</v>
      </c>
      <c r="F38" s="1815">
        <f t="shared" si="3"/>
        <v>780</v>
      </c>
      <c r="G38" s="1816">
        <f t="shared" si="4"/>
        <v>0</v>
      </c>
    </row>
    <row r="39" spans="1:7" x14ac:dyDescent="0.25">
      <c r="A39" s="1955" t="s">
        <v>2124</v>
      </c>
      <c r="B39" s="1958" t="s">
        <v>2125</v>
      </c>
      <c r="C39" s="1957" t="s">
        <v>2146</v>
      </c>
      <c r="D39" s="1867">
        <v>100</v>
      </c>
      <c r="E39" s="1562">
        <f t="shared" si="2"/>
        <v>100</v>
      </c>
      <c r="F39" s="1815">
        <f t="shared" si="3"/>
        <v>100</v>
      </c>
      <c r="G39" s="1816">
        <f t="shared" si="4"/>
        <v>0</v>
      </c>
    </row>
    <row r="40" spans="1:7" x14ac:dyDescent="0.25">
      <c r="A40" s="1955" t="s">
        <v>2124</v>
      </c>
      <c r="B40" s="1958" t="s">
        <v>2125</v>
      </c>
      <c r="C40" s="1957" t="s">
        <v>2147</v>
      </c>
      <c r="D40" s="1867">
        <v>287</v>
      </c>
      <c r="E40" s="1562">
        <f t="shared" si="2"/>
        <v>287</v>
      </c>
      <c r="F40" s="1815">
        <f t="shared" si="3"/>
        <v>287</v>
      </c>
      <c r="G40" s="1816">
        <f t="shared" si="4"/>
        <v>0</v>
      </c>
    </row>
    <row r="41" spans="1:7" x14ac:dyDescent="0.25">
      <c r="A41" s="1955" t="s">
        <v>2124</v>
      </c>
      <c r="B41" s="1958" t="s">
        <v>2125</v>
      </c>
      <c r="C41" s="1957" t="s">
        <v>2148</v>
      </c>
      <c r="D41" s="1867">
        <v>1673</v>
      </c>
      <c r="E41" s="1562">
        <f t="shared" si="2"/>
        <v>1673</v>
      </c>
      <c r="F41" s="1815">
        <f t="shared" si="3"/>
        <v>1673</v>
      </c>
      <c r="G41" s="1816">
        <f t="shared" si="4"/>
        <v>0</v>
      </c>
    </row>
    <row r="42" spans="1:7" x14ac:dyDescent="0.25">
      <c r="A42" s="1955" t="s">
        <v>2124</v>
      </c>
      <c r="B42" s="1958" t="s">
        <v>2125</v>
      </c>
      <c r="C42" s="1957" t="s">
        <v>2149</v>
      </c>
      <c r="D42" s="1867">
        <v>11000</v>
      </c>
      <c r="E42" s="1562">
        <f t="shared" si="2"/>
        <v>11000</v>
      </c>
      <c r="F42" s="1815">
        <f t="shared" si="3"/>
        <v>11000</v>
      </c>
      <c r="G42" s="1816">
        <f t="shared" si="4"/>
        <v>0</v>
      </c>
    </row>
    <row r="43" spans="1:7" x14ac:dyDescent="0.25">
      <c r="A43" s="1955" t="s">
        <v>2124</v>
      </c>
      <c r="B43" s="1958" t="s">
        <v>2125</v>
      </c>
      <c r="C43" s="1957" t="s">
        <v>2150</v>
      </c>
      <c r="D43" s="1867">
        <v>21212</v>
      </c>
      <c r="E43" s="1562">
        <f t="shared" si="2"/>
        <v>21212</v>
      </c>
      <c r="F43" s="1815">
        <f t="shared" si="3"/>
        <v>21212</v>
      </c>
      <c r="G43" s="1816">
        <f t="shared" si="4"/>
        <v>0</v>
      </c>
    </row>
    <row r="44" spans="1:7" x14ac:dyDescent="0.25">
      <c r="A44" s="1955" t="s">
        <v>2124</v>
      </c>
      <c r="B44" s="1958" t="s">
        <v>2125</v>
      </c>
      <c r="C44" s="1957" t="s">
        <v>2151</v>
      </c>
      <c r="D44" s="1867">
        <v>5068</v>
      </c>
      <c r="E44" s="1562">
        <f t="shared" si="2"/>
        <v>5068</v>
      </c>
      <c r="F44" s="1815">
        <f t="shared" si="3"/>
        <v>5068</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90840</v>
      </c>
      <c r="E141" s="1563">
        <f t="shared" si="1"/>
        <v>25000</v>
      </c>
      <c r="F141" s="1817">
        <f>SUM(F17:F140)</f>
        <v>90840</v>
      </c>
      <c r="G141" s="1818">
        <f>SUM(G17:G140)</f>
        <v>0</v>
      </c>
    </row>
  </sheetData>
  <sheetProtection selectLockedCells="1"/>
  <mergeCells count="6">
    <mergeCell ref="A13:G13"/>
    <mergeCell ref="A4:G5"/>
    <mergeCell ref="A11:G11"/>
    <mergeCell ref="A7:G7"/>
    <mergeCell ref="A8:G8"/>
    <mergeCell ref="A9:G9"/>
  </mergeCells>
  <pageMargins left="0.2" right="0.2" top="0.3" bottom="0.25" header="0.3" footer="0.3"/>
  <pageSetup scale="80" firstPageNumber="29" fitToHeight="0" orientation="landscape"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30" sqref="E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68000</v>
      </c>
      <c r="F10" s="975"/>
      <c r="G10" s="976"/>
      <c r="H10" s="162"/>
      <c r="I10" s="162"/>
    </row>
    <row r="11" spans="1:9" s="669" customFormat="1" ht="22.5" customHeight="1" x14ac:dyDescent="0.2">
      <c r="A11" s="2307" t="s">
        <v>1945</v>
      </c>
      <c r="B11" s="2308"/>
      <c r="C11" s="2308"/>
      <c r="D11" s="2309"/>
      <c r="E11" s="978">
        <v>17940.7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2374373</v>
      </c>
      <c r="F19" s="1822"/>
      <c r="G19" s="1824">
        <f>'Expenditures 15-22'!K33-SUM('Expenditures 15-22'!G33,'Expenditures 15-22'!I33)+'Expenditures 15-22'!D229</f>
        <v>2374373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203044</v>
      </c>
      <c r="F21" s="1825"/>
      <c r="G21" s="1828">
        <f>'Expenditures 15-22'!K42-SUM('Expenditures 15-22'!G42,'Expenditures 15-22'!I42)+'Expenditures 15-22'!K120-SUM('Expenditures 15-22'!G120,'Expenditures 15-22'!I120)+'Expenditures 15-22'!K180-SUM('Expenditures 15-22'!G180,'Expenditures 15-22'!I180)+'Expenditures 15-22'!D238</f>
        <v>203044</v>
      </c>
      <c r="H21" s="988"/>
      <c r="I21" s="162"/>
    </row>
    <row r="22" spans="1:9" s="669" customFormat="1" ht="12" customHeight="1" x14ac:dyDescent="0.2">
      <c r="A22" s="995" t="s">
        <v>585</v>
      </c>
      <c r="B22" s="996"/>
      <c r="C22" s="994">
        <v>2200</v>
      </c>
      <c r="D22" s="1825"/>
      <c r="E22" s="1827">
        <f>'Expenditures 15-22'!K47-SUM('Expenditures 15-22'!G47,'Expenditures 15-22'!I47)+'Expenditures 15-22'!D243</f>
        <v>82958</v>
      </c>
      <c r="F22" s="1825"/>
      <c r="G22" s="1828">
        <f>'Expenditures 15-22'!K47-SUM('Expenditures 15-22'!G47,'Expenditures 15-22'!I47)+'Expenditures 15-22'!D243</f>
        <v>82958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211881</v>
      </c>
      <c r="F23" s="1825"/>
      <c r="G23" s="1827">
        <f>'Expenditures 15-22'!K53-SUM('Expenditures 15-22'!G53,'Expenditures 15-22'!I53)+'Expenditures 15-22'!D257+'Expenditures 15-22'!K330-SUM('Expenditures 15-22'!G330,'Expenditures 15-22'!I330)</f>
        <v>211881</v>
      </c>
      <c r="H23" s="988"/>
      <c r="I23" s="162"/>
    </row>
    <row r="24" spans="1:9" s="669" customFormat="1" ht="12" customHeight="1" x14ac:dyDescent="0.2">
      <c r="A24" s="995" t="s">
        <v>587</v>
      </c>
      <c r="B24" s="996"/>
      <c r="C24" s="994">
        <v>2400</v>
      </c>
      <c r="D24" s="1825"/>
      <c r="E24" s="1827">
        <f>'Expenditures 15-22'!K57-SUM('Expenditures 15-22'!G57,'Expenditures 15-22'!I57)+'Expenditures 15-22'!D261</f>
        <v>204097</v>
      </c>
      <c r="F24" s="1825"/>
      <c r="G24" s="1828">
        <f>'Expenditures 15-22'!K57-SUM('Expenditures 15-22'!G57,'Expenditures 15-22'!I57)+'Expenditures 15-22'!D261</f>
        <v>204097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52707</v>
      </c>
      <c r="E27" s="1827">
        <f>E8</f>
        <v>0</v>
      </c>
      <c r="F27" s="1827">
        <f>'Expenditures 15-22'!K60-SUM('Expenditures 15-22'!G60,'Expenditures 15-22'!I60)+'Expenditures 15-22'!D264-E8</f>
        <v>52707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368259</v>
      </c>
      <c r="F28" s="1829">
        <f>'Expenditures 15-22'!K61-SUM('Expenditures 15-22'!G61,'Expenditures 15-22'!I61)+'Expenditures 15-22'!K124-SUM('Expenditures 15-22'!G124,'Expenditures 15-22'!I124)+'Expenditures 15-22'!D266-E9</f>
        <v>368259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201338</v>
      </c>
      <c r="F29" s="1825"/>
      <c r="G29" s="1828">
        <f>'Expenditures 15-22'!K62-SUM('Expenditures 15-22'!G62,'Expenditures 15-22'!I62)+'Expenditures 15-22'!K125-SUM('Expenditures 15-22'!G125,'Expenditures 15-22'!I125)+'Expenditures 15-22'!K182-SUM('Expenditures 15-22'!G182,'Expenditures 15-22'!I182)+'Expenditures 15-22'!D267</f>
        <v>201338</v>
      </c>
      <c r="H29" s="986"/>
    </row>
    <row r="30" spans="1:9" ht="12" customHeight="1" x14ac:dyDescent="0.2">
      <c r="A30" s="995" t="s">
        <v>102</v>
      </c>
      <c r="B30" s="998"/>
      <c r="C30" s="994">
        <v>2560</v>
      </c>
      <c r="D30" s="1825"/>
      <c r="E30" s="1827">
        <f>'Expenditures 15-22'!K63-SUM('Expenditures 15-22'!G63,'Expenditures 15-22'!I63)+'Expenditures 15-22'!D268-E10</f>
        <v>97051</v>
      </c>
      <c r="F30" s="1825"/>
      <c r="G30" s="1827">
        <f>'Expenditures 15-22'!K63-SUM('Expenditures 15-22'!G63,'Expenditures 15-22'!I63)+'Expenditures 15-22'!D268-E10</f>
        <v>97051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2027</v>
      </c>
      <c r="F39" s="1825"/>
      <c r="G39" s="1827">
        <f>'Expenditures 15-22'!K75-SUM('Expenditures 15-22'!G75,'Expenditures 15-22'!I75)+'Expenditures 15-22'!K130-SUM('Expenditures 15-22'!G130,'Expenditures 15-22'!I130)+'Expenditures 15-22'!K185-SUM('Expenditures 15-22'!G185,'Expenditures 15-22'!I185)+'Expenditures 15-22'!D280</f>
        <v>2027</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52707</v>
      </c>
      <c r="E41" s="1829">
        <f>SUM(E19:E40)</f>
        <v>3745028</v>
      </c>
      <c r="F41" s="1829">
        <f>SUM(F19:F39)</f>
        <v>420966</v>
      </c>
      <c r="G41" s="1829">
        <f>SUM(G19:G40)</f>
        <v>3376769</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52707</v>
      </c>
      <c r="F43" s="1830" t="s">
        <v>495</v>
      </c>
      <c r="G43" s="1831">
        <f>F41</f>
        <v>420966</v>
      </c>
    </row>
    <row r="44" spans="1:7" ht="12" customHeight="1" x14ac:dyDescent="0.2">
      <c r="A44" s="988"/>
      <c r="B44" s="162"/>
      <c r="C44" s="1002"/>
      <c r="D44" s="1830" t="s">
        <v>494</v>
      </c>
      <c r="E44" s="1831">
        <f>E41</f>
        <v>3745028</v>
      </c>
      <c r="F44" s="1830" t="s">
        <v>494</v>
      </c>
      <c r="G44" s="1831">
        <f>G41</f>
        <v>3376769</v>
      </c>
    </row>
    <row r="45" spans="1:7" ht="12" customHeight="1" x14ac:dyDescent="0.2">
      <c r="A45" s="988"/>
      <c r="B45" s="162"/>
      <c r="C45" s="162"/>
      <c r="D45" s="1832" t="s">
        <v>1063</v>
      </c>
      <c r="E45" s="1833">
        <f>(E43/E44)</f>
        <v>1.4073860061927441E-2</v>
      </c>
      <c r="F45" s="1832" t="s">
        <v>1063</v>
      </c>
      <c r="G45" s="1833">
        <f>(G43/G44)</f>
        <v>0.12466532356818011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0.77" right="0.46" top="1.33" bottom="0.52" header="0.19" footer="0.17"/>
  <pageSetup scale="79"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E30" sqref="E30"/>
      <selection pane="bottomLeft" activeCell="E30" sqref="E30"/>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3" t="s">
        <v>1446</v>
      </c>
      <c r="B1" s="2313"/>
      <c r="C1" s="2313"/>
      <c r="D1" s="2313"/>
      <c r="E1" s="2313"/>
      <c r="F1" s="231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4" t="s">
        <v>1627</v>
      </c>
      <c r="B5" s="2315"/>
      <c r="C5" s="2316"/>
      <c r="D5" s="2316"/>
      <c r="E5" s="2316"/>
      <c r="F5" s="2316"/>
    </row>
    <row r="6" spans="1:10" ht="12" customHeight="1" x14ac:dyDescent="0.25">
      <c r="A6" s="1873"/>
      <c r="B6" s="1874"/>
      <c r="C6" s="2317" t="str">
        <f>COVER!A17</f>
        <v>Carrier Mills-Stonefort CUSD 2</v>
      </c>
      <c r="D6" s="2317"/>
      <c r="E6" s="2317"/>
      <c r="F6" s="1875"/>
    </row>
    <row r="7" spans="1:10" ht="11.25" customHeight="1" thickBot="1" x14ac:dyDescent="0.3">
      <c r="A7" s="1873"/>
      <c r="B7" s="1874"/>
      <c r="C7" s="2318">
        <f>COVER!A13</f>
        <v>20083002026</v>
      </c>
      <c r="D7" s="2318"/>
      <c r="E7" s="231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2077</v>
      </c>
      <c r="D13" s="1888" t="s">
        <v>2077</v>
      </c>
      <c r="E13" s="1891" t="s">
        <v>2077</v>
      </c>
      <c r="F13" s="1890" t="s">
        <v>2095</v>
      </c>
      <c r="H13" s="1901">
        <f t="shared" si="0"/>
        <v>5</v>
      </c>
      <c r="I13" s="1901">
        <f t="shared" si="1"/>
        <v>5</v>
      </c>
      <c r="J13" s="1901">
        <f t="shared" si="2"/>
        <v>5</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2077</v>
      </c>
      <c r="D15" s="1888" t="s">
        <v>2077</v>
      </c>
      <c r="E15" s="1891" t="s">
        <v>2077</v>
      </c>
      <c r="F15" s="1890" t="s">
        <v>2096</v>
      </c>
      <c r="H15" s="1901">
        <f t="shared" si="0"/>
        <v>5</v>
      </c>
      <c r="I15" s="1901">
        <f t="shared" si="1"/>
        <v>5</v>
      </c>
      <c r="J15" s="1901">
        <f t="shared" si="2"/>
        <v>5</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2077</v>
      </c>
      <c r="D24" s="1888" t="s">
        <v>2077</v>
      </c>
      <c r="E24" s="1891" t="s">
        <v>2077</v>
      </c>
      <c r="F24" s="1890" t="s">
        <v>2097</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2077</v>
      </c>
      <c r="D26" s="1888" t="s">
        <v>2077</v>
      </c>
      <c r="E26" s="1891" t="s">
        <v>2077</v>
      </c>
      <c r="F26" s="1890" t="s">
        <v>2098</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2077</v>
      </c>
      <c r="D31" s="1888" t="s">
        <v>2077</v>
      </c>
      <c r="E31" s="1891" t="s">
        <v>2077</v>
      </c>
      <c r="F31" s="1890" t="s">
        <v>2099</v>
      </c>
      <c r="H31" s="1901">
        <f t="shared" si="0"/>
        <v>5</v>
      </c>
      <c r="I31" s="1901">
        <f t="shared" si="1"/>
        <v>5</v>
      </c>
      <c r="J31" s="1901">
        <f t="shared" si="2"/>
        <v>5</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25</v>
      </c>
      <c r="K34" s="1901">
        <f>SUM(H34:J34)</f>
        <v>75</v>
      </c>
    </row>
    <row r="35" spans="1:11" ht="12" customHeight="1" x14ac:dyDescent="0.2">
      <c r="A35" s="1894" t="s">
        <v>1459</v>
      </c>
      <c r="B35" s="1895"/>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6"/>
      <c r="B39" s="1896"/>
      <c r="C39" s="1896"/>
      <c r="D39" s="1896"/>
      <c r="E39" s="1896"/>
      <c r="F39" s="1896"/>
    </row>
    <row r="40" spans="1:11" s="1893" customFormat="1" ht="12" customHeight="1" x14ac:dyDescent="0.25">
      <c r="A40" s="1897" t="s">
        <v>1458</v>
      </c>
      <c r="B40" s="1898"/>
      <c r="C40" s="2327"/>
      <c r="D40" s="2327"/>
      <c r="E40" s="2327"/>
      <c r="F40" s="2328"/>
      <c r="H40" s="1902"/>
      <c r="I40" s="1902"/>
      <c r="J40" s="1902"/>
      <c r="K40" s="1902"/>
    </row>
    <row r="41" spans="1:11" s="1893" customFormat="1" ht="12" customHeight="1" x14ac:dyDescent="0.25">
      <c r="A41" s="2329"/>
      <c r="B41" s="2330"/>
      <c r="C41" s="2330"/>
      <c r="D41" s="2330"/>
      <c r="E41" s="2330"/>
      <c r="F41" s="2331"/>
      <c r="H41" s="1902"/>
      <c r="I41" s="1902"/>
      <c r="J41" s="1902"/>
      <c r="K41" s="1902"/>
    </row>
    <row r="42" spans="1:11" s="1893" customFormat="1" ht="12" customHeight="1" x14ac:dyDescent="0.25">
      <c r="A42" s="2329"/>
      <c r="B42" s="2330"/>
      <c r="C42" s="2330"/>
      <c r="D42" s="2330"/>
      <c r="E42" s="2330"/>
      <c r="F42" s="2331"/>
      <c r="H42" s="1902"/>
      <c r="I42" s="1902"/>
      <c r="J42" s="1902"/>
      <c r="K42" s="1902"/>
    </row>
    <row r="43" spans="1:11" s="1893" customFormat="1" ht="15" x14ac:dyDescent="0.25">
      <c r="A43" s="2321" t="s">
        <v>2100</v>
      </c>
      <c r="B43" s="2322"/>
      <c r="C43" s="2322"/>
      <c r="D43" s="2322"/>
      <c r="E43" s="2322"/>
      <c r="F43" s="2323"/>
      <c r="H43" s="1902"/>
      <c r="I43" s="1902"/>
      <c r="J43" s="1902"/>
      <c r="K43" s="1902"/>
    </row>
    <row r="44" spans="1:11" s="1893" customFormat="1" ht="12" hidden="1" customHeight="1" x14ac:dyDescent="0.25">
      <c r="A44" s="2321"/>
      <c r="B44" s="2322"/>
      <c r="C44" s="2322"/>
      <c r="D44" s="2322"/>
      <c r="E44" s="2322"/>
      <c r="F44" s="232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77" right="0.46" top="0.35" bottom="0.35" header="0.19" footer="0.25"/>
  <pageSetup scale="68"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E30" sqref="E3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7" t="str">
        <f>COVER!A17</f>
        <v>Carrier Mills-Stonefort CUSD 2</v>
      </c>
      <c r="J6" s="2338"/>
      <c r="Q6" s="1686"/>
    </row>
    <row r="7" spans="1:17" x14ac:dyDescent="0.2">
      <c r="A7" s="2339" t="s">
        <v>924</v>
      </c>
      <c r="B7" s="2340"/>
      <c r="C7" s="2340"/>
      <c r="D7" s="2340"/>
      <c r="E7" s="2341"/>
      <c r="F7" s="1018"/>
      <c r="G7" s="1010"/>
      <c r="H7" s="1017" t="s">
        <v>390</v>
      </c>
      <c r="I7" s="2342">
        <f>COVER!A13</f>
        <v>20083002026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100134</v>
      </c>
      <c r="F12" s="1040"/>
      <c r="G12" s="1834">
        <f t="shared" ref="G12:G18" si="0">SUM(E12:F12)</f>
        <v>100134</v>
      </c>
      <c r="H12" s="1041">
        <v>100121</v>
      </c>
      <c r="I12" s="1040"/>
      <c r="J12" s="1834">
        <f t="shared" ref="J12:J18" si="1">SUM(H12:I12)</f>
        <v>100121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100134</v>
      </c>
      <c r="F19" s="1836">
        <f t="shared" si="2"/>
        <v>0</v>
      </c>
      <c r="G19" s="1836">
        <f t="shared" si="2"/>
        <v>100134</v>
      </c>
      <c r="H19" s="1836">
        <f t="shared" si="2"/>
        <v>100121</v>
      </c>
      <c r="I19" s="1836">
        <f t="shared" si="2"/>
        <v>0</v>
      </c>
      <c r="J19" s="1836">
        <f t="shared" si="2"/>
        <v>100121</v>
      </c>
    </row>
    <row r="20" spans="1:10" ht="13.5" thickTop="1" x14ac:dyDescent="0.2">
      <c r="A20" s="1036">
        <v>9</v>
      </c>
      <c r="B20" s="2349" t="s">
        <v>1703</v>
      </c>
      <c r="C20" s="2349"/>
      <c r="D20" s="2350"/>
      <c r="E20" s="1047"/>
      <c r="F20" s="1047"/>
      <c r="G20" s="1047"/>
      <c r="H20" s="1047"/>
      <c r="I20" s="1047"/>
      <c r="J20" s="1837">
        <f>IF(AND(G19&gt;0,J19&gt;0),(((J19-G19)/G19)),"Enter Budget Data")</f>
        <v>-1.2982603311562506E-4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7" top="0.38" bottom="0.38" header="0.1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E30" sqref="E3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c r="B5" s="389" t="s">
        <v>2101</v>
      </c>
    </row>
    <row r="6" spans="1:2" x14ac:dyDescent="0.2">
      <c r="A6" s="1954"/>
      <c r="B6" s="329" t="s">
        <v>2102</v>
      </c>
    </row>
    <row r="7" spans="1:2" x14ac:dyDescent="0.2">
      <c r="A7" s="1069"/>
      <c r="B7" s="329" t="s">
        <v>2103</v>
      </c>
    </row>
    <row r="8" spans="1:2" x14ac:dyDescent="0.2">
      <c r="A8" s="1069"/>
      <c r="B8" s="329" t="s">
        <v>2104</v>
      </c>
    </row>
    <row r="9" spans="1:2" x14ac:dyDescent="0.2">
      <c r="A9" s="1070"/>
      <c r="B9" s="329" t="s">
        <v>2105</v>
      </c>
    </row>
    <row r="10" spans="1:2" x14ac:dyDescent="0.2">
      <c r="A10" s="1070"/>
    </row>
    <row r="11" spans="1:2" x14ac:dyDescent="0.2">
      <c r="A11" s="1070"/>
      <c r="B11" s="329" t="s">
        <v>2106</v>
      </c>
    </row>
    <row r="12" spans="1:2" x14ac:dyDescent="0.2">
      <c r="A12" s="1070"/>
      <c r="B12" s="329" t="s">
        <v>2107</v>
      </c>
    </row>
    <row r="13" spans="1:2" x14ac:dyDescent="0.2">
      <c r="A13" s="1070"/>
    </row>
    <row r="14" spans="1:2" x14ac:dyDescent="0.2">
      <c r="A14" s="1070"/>
      <c r="B14" s="329" t="s">
        <v>2108</v>
      </c>
    </row>
    <row r="15" spans="1:2" x14ac:dyDescent="0.2">
      <c r="A15" s="1070"/>
      <c r="B15" s="329" t="s">
        <v>2109</v>
      </c>
    </row>
    <row r="16" spans="1:2" x14ac:dyDescent="0.2">
      <c r="A16" s="1070"/>
    </row>
    <row r="17" spans="1:2" x14ac:dyDescent="0.2">
      <c r="A17" s="1070"/>
      <c r="B17" s="389" t="s">
        <v>6</v>
      </c>
    </row>
    <row r="18" spans="1:2" x14ac:dyDescent="0.2">
      <c r="A18" s="1070"/>
      <c r="B18" s="329" t="s">
        <v>2102</v>
      </c>
    </row>
    <row r="19" spans="1:2" x14ac:dyDescent="0.2">
      <c r="A19" s="1070"/>
      <c r="B19" s="329" t="s">
        <v>2110</v>
      </c>
    </row>
    <row r="20" spans="1:2" x14ac:dyDescent="0.2">
      <c r="A20" s="1070"/>
    </row>
    <row r="21" spans="1:2" x14ac:dyDescent="0.2">
      <c r="A21" s="1070"/>
      <c r="B21" s="329" t="s">
        <v>2111</v>
      </c>
    </row>
    <row r="22" spans="1:2" x14ac:dyDescent="0.2">
      <c r="A22" s="1070"/>
      <c r="B22" s="329" t="s">
        <v>2112</v>
      </c>
    </row>
    <row r="23" spans="1:2" x14ac:dyDescent="0.2">
      <c r="A23" s="1070"/>
      <c r="B23" s="329" t="s">
        <v>2113</v>
      </c>
    </row>
    <row r="24" spans="1:2" x14ac:dyDescent="0.2">
      <c r="A24" s="1070"/>
    </row>
    <row r="25" spans="1:2" x14ac:dyDescent="0.2">
      <c r="A25" s="1070"/>
      <c r="B25" s="389" t="s">
        <v>2114</v>
      </c>
    </row>
    <row r="26" spans="1:2" x14ac:dyDescent="0.2">
      <c r="A26" s="1070"/>
      <c r="B26" s="329" t="s">
        <v>2112</v>
      </c>
    </row>
    <row r="27" spans="1:2" x14ac:dyDescent="0.2">
      <c r="A27" s="1070"/>
    </row>
    <row r="28" spans="1:2" x14ac:dyDescent="0.2">
      <c r="A28" s="1070"/>
      <c r="B28" s="389" t="s">
        <v>2115</v>
      </c>
    </row>
    <row r="29" spans="1:2" x14ac:dyDescent="0.2">
      <c r="A29" s="1070"/>
      <c r="B29" s="329" t="s">
        <v>2117</v>
      </c>
    </row>
    <row r="30" spans="1:2" x14ac:dyDescent="0.2">
      <c r="A30" s="1070"/>
      <c r="B30" s="329" t="s">
        <v>2118</v>
      </c>
    </row>
    <row r="31" spans="1:2" x14ac:dyDescent="0.2">
      <c r="A31" s="1070"/>
    </row>
    <row r="32" spans="1:2" x14ac:dyDescent="0.2">
      <c r="A32" s="1070"/>
      <c r="B32" s="389" t="s">
        <v>2116</v>
      </c>
    </row>
    <row r="33" spans="1:2" x14ac:dyDescent="0.2">
      <c r="A33" s="1070"/>
      <c r="B33" s="329" t="s">
        <v>2103</v>
      </c>
    </row>
    <row r="34" spans="1:2" x14ac:dyDescent="0.2">
      <c r="A34" s="1070"/>
      <c r="B34" s="329" t="s">
        <v>2104</v>
      </c>
    </row>
    <row r="35" spans="1:2" x14ac:dyDescent="0.2">
      <c r="A35" s="1070"/>
      <c r="B35" s="329" t="s">
        <v>2105</v>
      </c>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Carrier Mills-Stonefort CUSD 2</v>
      </c>
    </row>
    <row r="65" spans="2:2" x14ac:dyDescent="0.2">
      <c r="B65" s="1071">
        <f>COVER!A13</f>
        <v>20083002026</v>
      </c>
    </row>
  </sheetData>
  <phoneticPr fontId="13" type="noConversion"/>
  <pageMargins left="0.2" right="0.2" top="0.95"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5" zoomScale="110" zoomScaleNormal="110" workbookViewId="0">
      <selection activeCell="E30" sqref="E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30" sqref="E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30" sqref="E3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50179" r:id="rId4">
          <objectPr defaultSize="0" r:id="rId5">
            <anchor moveWithCells="1">
              <from>
                <xdr:col>1</xdr:col>
                <xdr:colOff>47625</xdr:colOff>
                <xdr:row>6</xdr:row>
                <xdr:rowOff>152400</xdr:rowOff>
              </from>
              <to>
                <xdr:col>1</xdr:col>
                <xdr:colOff>914400</xdr:colOff>
                <xdr:row>11</xdr:row>
                <xdr:rowOff>47625</xdr:rowOff>
              </to>
            </anchor>
          </objectPr>
        </oleObject>
      </mc:Choice>
      <mc:Fallback>
        <oleObject progId="Acrobat.Document.2015" dvAspect="DVASPECT_ICON" shapeId="50179" r:id="rId4"/>
      </mc:Fallback>
    </mc:AlternateContent>
    <mc:AlternateContent xmlns:mc="http://schemas.openxmlformats.org/markup-compatibility/2006">
      <mc:Choice Requires="x14">
        <oleObject progId="Acrobat.Document.2015" dvAspect="DVASPECT_ICON" shapeId="50180" r:id="rId6">
          <objectPr defaultSize="0" r:id="rId5">
            <anchor moveWithCells="1">
              <from>
                <xdr:col>1</xdr:col>
                <xdr:colOff>1047750</xdr:colOff>
                <xdr:row>7</xdr:row>
                <xdr:rowOff>0</xdr:rowOff>
              </from>
              <to>
                <xdr:col>1</xdr:col>
                <xdr:colOff>1914525</xdr:colOff>
                <xdr:row>11</xdr:row>
                <xdr:rowOff>57150</xdr:rowOff>
              </to>
            </anchor>
          </objectPr>
        </oleObject>
      </mc:Choice>
      <mc:Fallback>
        <oleObject progId="Acrobat.Document.2015" dvAspect="DVASPECT_ICON" shapeId="50180" r:id="rId6"/>
      </mc:Fallback>
    </mc:AlternateContent>
    <mc:AlternateContent xmlns:mc="http://schemas.openxmlformats.org/markup-compatibility/2006">
      <mc:Choice Requires="x14">
        <oleObject progId="Acrobat.Document.2015" dvAspect="DVASPECT_ICON" shapeId="50181" r:id="rId7">
          <objectPr defaultSize="0" r:id="rId5">
            <anchor moveWithCells="1">
              <from>
                <xdr:col>1</xdr:col>
                <xdr:colOff>2019300</xdr:colOff>
                <xdr:row>7</xdr:row>
                <xdr:rowOff>0</xdr:rowOff>
              </from>
              <to>
                <xdr:col>1</xdr:col>
                <xdr:colOff>2886075</xdr:colOff>
                <xdr:row>11</xdr:row>
                <xdr:rowOff>57150</xdr:rowOff>
              </to>
            </anchor>
          </objectPr>
        </oleObject>
      </mc:Choice>
      <mc:Fallback>
        <oleObject progId="Acrobat.Document.2015" dvAspect="DVASPECT_ICON" shapeId="50181" r:id="rId7"/>
      </mc:Fallback>
    </mc:AlternateContent>
    <mc:AlternateContent xmlns:mc="http://schemas.openxmlformats.org/markup-compatibility/2006">
      <mc:Choice Requires="x14">
        <oleObject progId="Acrobat Document" dvAspect="DVASPECT_ICON" shapeId="50182" r:id="rId8">
          <objectPr defaultSize="0" autoPict="0" r:id="rId9">
            <anchor moveWithCells="1">
              <from>
                <xdr:col>1</xdr:col>
                <xdr:colOff>3000375</xdr:colOff>
                <xdr:row>7</xdr:row>
                <xdr:rowOff>0</xdr:rowOff>
              </from>
              <to>
                <xdr:col>1</xdr:col>
                <xdr:colOff>3962400</xdr:colOff>
                <xdr:row>11</xdr:row>
                <xdr:rowOff>76200</xdr:rowOff>
              </to>
            </anchor>
          </objectPr>
        </oleObject>
      </mc:Choice>
      <mc:Fallback>
        <oleObject progId="Acrobat Document" dvAspect="DVASPECT_ICON" shapeId="5018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30" sqref="E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3691729</v>
      </c>
      <c r="C8" s="1838">
        <f>'Acct Summary 7-8'!D8</f>
        <v>369109</v>
      </c>
      <c r="D8" s="1838">
        <f>'Acct Summary 7-8'!F8</f>
        <v>254344</v>
      </c>
      <c r="E8" s="1838">
        <f>'Acct Summary 7-8'!I8</f>
        <v>11491</v>
      </c>
      <c r="F8" s="1838">
        <f>SUM(B8:E8)</f>
        <v>4326673</v>
      </c>
    </row>
    <row r="9" spans="1:8" s="1080" customFormat="1" ht="14.25" customHeight="1" thickBot="1" x14ac:dyDescent="0.25">
      <c r="A9" s="1079" t="s">
        <v>1436</v>
      </c>
      <c r="B9" s="1839">
        <f>'Acct Summary 7-8'!C17</f>
        <v>3364306</v>
      </c>
      <c r="C9" s="1839">
        <f>'Acct Summary 7-8'!D17</f>
        <v>328005</v>
      </c>
      <c r="D9" s="1839">
        <f>'Acct Summary 7-8'!F17</f>
        <v>200515</v>
      </c>
      <c r="E9" s="1838"/>
      <c r="F9" s="1838">
        <f>SUM(B9:E9)</f>
        <v>3892826</v>
      </c>
    </row>
    <row r="10" spans="1:8" s="1080" customFormat="1" ht="14.25" thickTop="1" thickBot="1" x14ac:dyDescent="0.25">
      <c r="A10" s="1081" t="s">
        <v>1437</v>
      </c>
      <c r="B10" s="1840">
        <f>(B8-B9)</f>
        <v>327423</v>
      </c>
      <c r="C10" s="1840">
        <f>(C8-C9)</f>
        <v>41104</v>
      </c>
      <c r="D10" s="1840">
        <f>(D8-D9)</f>
        <v>53829</v>
      </c>
      <c r="E10" s="1839">
        <f>(E8-E9)</f>
        <v>11491</v>
      </c>
      <c r="F10" s="1841">
        <f>SUM(F8-F9)</f>
        <v>433847</v>
      </c>
    </row>
    <row r="11" spans="1:8" s="1080" customFormat="1" ht="14.25" thickTop="1" thickBot="1" x14ac:dyDescent="0.25">
      <c r="A11" s="1082" t="s">
        <v>1785</v>
      </c>
      <c r="B11" s="1842">
        <f>'Acct Summary 7-8'!C81</f>
        <v>810230</v>
      </c>
      <c r="C11" s="1842">
        <f>'Acct Summary 7-8'!D81</f>
        <v>356319</v>
      </c>
      <c r="D11" s="1842">
        <f>'Acct Summary 7-8'!F81</f>
        <v>151417</v>
      </c>
      <c r="E11" s="1842">
        <f>'Acct Summary 7-8'!I81</f>
        <v>620659</v>
      </c>
      <c r="F11" s="1843">
        <f>SUM(B11:E11)</f>
        <v>1938625</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7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20083002026</v>
      </c>
    </row>
    <row r="3" spans="1:2" x14ac:dyDescent="0.2">
      <c r="A3" t="s">
        <v>1013</v>
      </c>
      <c r="B3" s="138" t="str">
        <f>COVER!A15</f>
        <v>Saline</v>
      </c>
    </row>
    <row r="4" spans="1:2" x14ac:dyDescent="0.2">
      <c r="A4" t="s">
        <v>1064</v>
      </c>
      <c r="B4" s="138" t="str">
        <f>COVER!A17</f>
        <v>Carrier Mills-Stonefort CUSD 2</v>
      </c>
    </row>
    <row r="5" spans="1:2" x14ac:dyDescent="0.2">
      <c r="A5" t="s">
        <v>728</v>
      </c>
      <c r="B5" s="138" t="str">
        <f>COVER!A38</f>
        <v>Bryce Jerrell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65.027214000000001</v>
      </c>
    </row>
    <row r="16" spans="1:2" x14ac:dyDescent="0.2">
      <c r="A16" t="s">
        <v>442</v>
      </c>
      <c r="B16" s="138" t="str">
        <f>COVER!T13</f>
        <v>Kemper CPA Group LLP</v>
      </c>
    </row>
    <row r="17" spans="1:2" x14ac:dyDescent="0.2">
      <c r="A17" t="s">
        <v>939</v>
      </c>
      <c r="B17" s="138" t="str">
        <f>COVER!T15</f>
        <v>Michelle Smith, CPA</v>
      </c>
    </row>
    <row r="18" spans="1:2" x14ac:dyDescent="0.2">
      <c r="A18" t="s">
        <v>1212</v>
      </c>
      <c r="B18" s="138" t="str">
        <f>COVER!T17</f>
        <v>713 South Commercial</v>
      </c>
    </row>
    <row r="19" spans="1:2" x14ac:dyDescent="0.2">
      <c r="A19" t="s">
        <v>941</v>
      </c>
      <c r="B19" s="138" t="str">
        <f>COVER!T25</f>
        <v>mdsmith@kempercpa.com</v>
      </c>
    </row>
    <row r="20" spans="1:2" x14ac:dyDescent="0.2">
      <c r="A20" t="s">
        <v>942</v>
      </c>
      <c r="B20" s="138" t="str">
        <f>COVER!T19</f>
        <v>Harrisburg</v>
      </c>
    </row>
    <row r="21" spans="1:2" x14ac:dyDescent="0.2">
      <c r="A21" t="s">
        <v>500</v>
      </c>
      <c r="B21" s="138" t="str">
        <f>COVER!X19</f>
        <v>IL</v>
      </c>
    </row>
    <row r="22" spans="1:2" x14ac:dyDescent="0.2">
      <c r="A22" t="s">
        <v>943</v>
      </c>
      <c r="B22" s="138">
        <f>COVER!Z19</f>
        <v>62946</v>
      </c>
    </row>
    <row r="23" spans="1:2" x14ac:dyDescent="0.2">
      <c r="A23" t="s">
        <v>1214</v>
      </c>
      <c r="B23" s="138" t="str">
        <f>COVER!T21</f>
        <v>(618) 252-7456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464469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814017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3787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3787</v>
      </c>
      <c r="C91" s="2" t="s">
        <v>594</v>
      </c>
      <c r="D91" s="2" t="str">
        <f t="shared" si="0"/>
        <v>Error?</v>
      </c>
    </row>
    <row r="92" spans="1:4" x14ac:dyDescent="0.2">
      <c r="A92" s="5">
        <v>31</v>
      </c>
      <c r="B92" s="138">
        <f>'Assets-Liab 5-6'!C39</f>
        <v>810230</v>
      </c>
      <c r="D92" s="2" t="str">
        <f t="shared" si="0"/>
        <v>Error?</v>
      </c>
    </row>
    <row r="93" spans="1:4" x14ac:dyDescent="0.2">
      <c r="A93" s="5">
        <v>32</v>
      </c>
      <c r="B93" s="138">
        <f>'Assets-Liab 5-6'!C41</f>
        <v>814017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356319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123084</v>
      </c>
      <c r="D123" s="2" t="str">
        <f t="shared" si="0"/>
        <v>Error?</v>
      </c>
    </row>
    <row r="124" spans="1:4" x14ac:dyDescent="0.2">
      <c r="A124" s="5">
        <v>63</v>
      </c>
      <c r="B124" s="138">
        <f>'Assets-Liab 5-6'!D41</f>
        <v>356319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261462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261462</v>
      </c>
      <c r="D140" s="2" t="str">
        <f t="shared" si="1"/>
        <v>Error?</v>
      </c>
    </row>
    <row r="141" spans="1:4" x14ac:dyDescent="0.2">
      <c r="A141" s="5">
        <v>80</v>
      </c>
      <c r="B141" s="138">
        <f>'Assets-Liab 5-6'!E41</f>
        <v>261462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151417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151417</v>
      </c>
      <c r="D170" s="2" t="str">
        <f t="shared" si="1"/>
        <v>Error?</v>
      </c>
    </row>
    <row r="171" spans="1:4" x14ac:dyDescent="0.2">
      <c r="A171" s="5">
        <v>110</v>
      </c>
      <c r="B171" s="138">
        <f>'Assets-Liab 5-6'!F41</f>
        <v>151417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116101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116101</v>
      </c>
      <c r="D189" s="2" t="str">
        <f t="shared" si="1"/>
        <v>Error?</v>
      </c>
    </row>
    <row r="190" spans="1:4" x14ac:dyDescent="0.2">
      <c r="A190" s="5">
        <v>129</v>
      </c>
      <c r="B190" s="138">
        <f>'Assets-Liab 5-6'!G41</f>
        <v>116101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331</v>
      </c>
      <c r="D212" s="2" t="str">
        <f t="shared" si="2"/>
        <v>Error?</v>
      </c>
    </row>
    <row r="213" spans="1:4" x14ac:dyDescent="0.2">
      <c r="A213" s="12">
        <v>152</v>
      </c>
      <c r="B213" s="138">
        <f>'Assets-Liab 5-6'!H41</f>
        <v>331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106338</v>
      </c>
      <c r="D273" s="2" t="str">
        <f t="shared" si="3"/>
        <v>Error?</v>
      </c>
    </row>
    <row r="274" spans="1:4" x14ac:dyDescent="0.2">
      <c r="A274" s="5">
        <v>213</v>
      </c>
      <c r="B274" s="138">
        <f>'Assets-Liab 5-6'!M17</f>
        <v>7137145</v>
      </c>
      <c r="D274" s="2" t="str">
        <f t="shared" si="3"/>
        <v>Error?</v>
      </c>
    </row>
    <row r="275" spans="1:4" x14ac:dyDescent="0.2">
      <c r="A275" s="5">
        <v>214</v>
      </c>
      <c r="B275" s="138">
        <f>'Assets-Liab 5-6'!M18</f>
        <v>100958</v>
      </c>
      <c r="D275" s="2" t="str">
        <f t="shared" si="3"/>
        <v>Error?</v>
      </c>
    </row>
    <row r="276" spans="1:4" x14ac:dyDescent="0.2">
      <c r="A276" s="5">
        <v>215</v>
      </c>
      <c r="B276" s="138">
        <f>'Assets-Liab 5-6'!M19</f>
        <v>350326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7694767</v>
      </c>
      <c r="C279" s="2" t="s">
        <v>594</v>
      </c>
      <c r="D279" s="2" t="str">
        <f t="shared" si="3"/>
        <v>Error?</v>
      </c>
    </row>
    <row r="280" spans="1:4" x14ac:dyDescent="0.2">
      <c r="A280" s="5">
        <v>219</v>
      </c>
      <c r="B280" s="138">
        <f>'Assets-Liab 5-6'!M40</f>
        <v>7694767</v>
      </c>
      <c r="D280" s="2" t="str">
        <f t="shared" si="3"/>
        <v>Error?</v>
      </c>
    </row>
    <row r="281" spans="1:4" x14ac:dyDescent="0.2">
      <c r="A281" s="5">
        <v>220</v>
      </c>
      <c r="B281" s="138">
        <f>'Assets-Liab 5-6'!M41</f>
        <v>7694767</v>
      </c>
      <c r="C281" s="2" t="s">
        <v>594</v>
      </c>
      <c r="D281" s="2" t="str">
        <f t="shared" si="3"/>
        <v>Error?</v>
      </c>
    </row>
    <row r="282" spans="1:4" x14ac:dyDescent="0.2">
      <c r="A282" s="5">
        <v>221</v>
      </c>
      <c r="B282" s="138">
        <f>'Assets-Liab 5-6'!N21</f>
        <v>453300</v>
      </c>
      <c r="D282" s="2" t="str">
        <f t="shared" si="3"/>
        <v>Error?</v>
      </c>
    </row>
    <row r="283" spans="1:4" x14ac:dyDescent="0.2">
      <c r="A283" s="5">
        <v>222</v>
      </c>
      <c r="B283" s="138">
        <f>'Assets-Liab 5-6'!N22</f>
        <v>0</v>
      </c>
      <c r="D283" s="2" t="str">
        <f t="shared" si="3"/>
        <v>Error?</v>
      </c>
    </row>
    <row r="284" spans="1:4" x14ac:dyDescent="0.2">
      <c r="A284" s="5">
        <v>223</v>
      </c>
      <c r="B284" s="138">
        <f>'Assets-Liab 5-6'!N23</f>
        <v>453300</v>
      </c>
      <c r="C284" s="2" t="s">
        <v>594</v>
      </c>
      <c r="D284" s="2" t="str">
        <f t="shared" si="3"/>
        <v>Error?</v>
      </c>
    </row>
    <row r="285" spans="1:4" x14ac:dyDescent="0.2">
      <c r="A285" s="5">
        <v>224</v>
      </c>
      <c r="B285" s="138">
        <f>'Assets-Liab 5-6'!N36</f>
        <v>453300</v>
      </c>
      <c r="D285" s="2" t="str">
        <f t="shared" si="3"/>
        <v>Error?</v>
      </c>
    </row>
    <row r="286" spans="1:4" x14ac:dyDescent="0.2">
      <c r="A286" s="10">
        <v>225</v>
      </c>
      <c r="D286" s="2" t="str">
        <f t="shared" si="3"/>
        <v>OK</v>
      </c>
    </row>
    <row r="287" spans="1:4" x14ac:dyDescent="0.2">
      <c r="A287" s="5">
        <v>226</v>
      </c>
      <c r="B287" s="138">
        <f>'Assets-Liab 5-6'!N37</f>
        <v>453300</v>
      </c>
      <c r="C287" s="2" t="s">
        <v>594</v>
      </c>
      <c r="D287" s="2" t="str">
        <f t="shared" si="3"/>
        <v>Error?</v>
      </c>
    </row>
    <row r="288" spans="1:4" x14ac:dyDescent="0.2">
      <c r="A288" s="5">
        <v>227</v>
      </c>
      <c r="B288" s="138">
        <f>'Assets-Liab 5-6'!N41</f>
        <v>453300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453300</v>
      </c>
      <c r="D651" s="2" t="str">
        <f t="shared" si="9"/>
        <v>Error?</v>
      </c>
    </row>
    <row r="652" spans="1:4" x14ac:dyDescent="0.2">
      <c r="A652" s="5">
        <v>591</v>
      </c>
      <c r="B652" s="138">
        <f>'Acct Summary 7-8'!I34</f>
        <v>11169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952987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114987</v>
      </c>
      <c r="D717" s="2" t="str">
        <f t="shared" si="10"/>
        <v>Error?</v>
      </c>
    </row>
    <row r="718" spans="1:4" x14ac:dyDescent="0.2">
      <c r="A718" s="5">
        <v>657</v>
      </c>
      <c r="B718" s="138">
        <f>'Expenditures 15-22'!C14</f>
        <v>35694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1739065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79261</v>
      </c>
      <c r="D722" s="2" t="str">
        <f t="shared" si="10"/>
        <v>Error?</v>
      </c>
    </row>
    <row r="723" spans="1:4" x14ac:dyDescent="0.2">
      <c r="A723" s="5">
        <v>662</v>
      </c>
      <c r="B723" s="138">
        <f>'Expenditures 15-22'!C38</f>
        <v>29579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48280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157120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65339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65339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63549</v>
      </c>
      <c r="D733" s="2" t="str">
        <f t="shared" si="10"/>
        <v>Error?</v>
      </c>
    </row>
    <row r="734" spans="1:4" x14ac:dyDescent="0.2">
      <c r="A734" s="5">
        <v>673</v>
      </c>
      <c r="B734" s="138">
        <f>'Expenditures 15-22'!C53</f>
        <v>63549</v>
      </c>
      <c r="C734" s="2" t="s">
        <v>594</v>
      </c>
      <c r="D734" s="2" t="str">
        <f t="shared" si="10"/>
        <v>Error?</v>
      </c>
    </row>
    <row r="735" spans="1:4" x14ac:dyDescent="0.2">
      <c r="A735" s="5">
        <v>674</v>
      </c>
      <c r="B735" s="138">
        <f>'Expenditures 15-22'!C55</f>
        <v>160003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160003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38875</v>
      </c>
      <c r="D739" s="2" t="str">
        <f t="shared" si="10"/>
        <v>Error?</v>
      </c>
    </row>
    <row r="740" spans="1:4" x14ac:dyDescent="0.2">
      <c r="A740" s="5">
        <v>679</v>
      </c>
      <c r="B740" s="138">
        <f>'Expenditures 15-22'!C61</f>
        <v>137920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75053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251848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697859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2436924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239757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29437</v>
      </c>
      <c r="D775" s="2" t="str">
        <f t="shared" si="11"/>
        <v>Error?</v>
      </c>
    </row>
    <row r="776" spans="1:4" x14ac:dyDescent="0.2">
      <c r="A776" s="5">
        <v>715</v>
      </c>
      <c r="B776" s="138">
        <f>'Expenditures 15-22'!D14</f>
        <v>3321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390039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13579</v>
      </c>
      <c r="D780" s="2" t="str">
        <f t="shared" si="11"/>
        <v>Error?</v>
      </c>
    </row>
    <row r="781" spans="1:4" x14ac:dyDescent="0.2">
      <c r="A781" s="5">
        <v>720</v>
      </c>
      <c r="B781" s="138">
        <f>'Expenditures 15-22'!D38</f>
        <v>6600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13372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33551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16095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16095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27106</v>
      </c>
      <c r="D791" s="2" t="str">
        <f t="shared" si="11"/>
        <v>Error?</v>
      </c>
    </row>
    <row r="792" spans="1:4" x14ac:dyDescent="0.2">
      <c r="A792" s="5">
        <v>731</v>
      </c>
      <c r="B792" s="138">
        <f>'Expenditures 15-22'!D53</f>
        <v>27106</v>
      </c>
      <c r="C792" s="2" t="s">
        <v>594</v>
      </c>
      <c r="D792" s="2" t="str">
        <f t="shared" si="11"/>
        <v>Error?</v>
      </c>
    </row>
    <row r="793" spans="1:4" x14ac:dyDescent="0.2">
      <c r="A793" s="5">
        <v>732</v>
      </c>
      <c r="B793" s="138">
        <f>'Expenditures 15-22'!D55</f>
        <v>31034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31034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102</v>
      </c>
      <c r="D797" s="2" t="str">
        <f t="shared" si="11"/>
        <v>Error?</v>
      </c>
    </row>
    <row r="798" spans="1:4" x14ac:dyDescent="0.2">
      <c r="A798" s="5">
        <v>737</v>
      </c>
      <c r="B798" s="138">
        <f>'Expenditures 15-22'!D61</f>
        <v>18811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7404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26317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134103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524142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12882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3052</v>
      </c>
      <c r="D833" s="2" t="str">
        <f t="shared" si="12"/>
        <v>Error?</v>
      </c>
    </row>
    <row r="834" spans="1:4" x14ac:dyDescent="0.2">
      <c r="A834" s="5">
        <v>773</v>
      </c>
      <c r="B834" s="138">
        <f>'Expenditures 15-22'!E14</f>
        <v>25266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67989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417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417</v>
      </c>
      <c r="C847" s="2" t="s">
        <v>594</v>
      </c>
      <c r="D847" s="2" t="str">
        <f t="shared" si="12"/>
        <v>Error?</v>
      </c>
    </row>
    <row r="848" spans="1:4" x14ac:dyDescent="0.2">
      <c r="A848" s="5">
        <v>787</v>
      </c>
      <c r="B848" s="138">
        <f>'Expenditures 15-22'!E49</f>
        <v>15643</v>
      </c>
      <c r="D848" s="2" t="str">
        <f t="shared" si="12"/>
        <v>Error?</v>
      </c>
    </row>
    <row r="849" spans="1:4" x14ac:dyDescent="0.2">
      <c r="A849" s="5">
        <v>788</v>
      </c>
      <c r="B849" s="138">
        <f>'Expenditures 15-22'!E50</f>
        <v>6879</v>
      </c>
      <c r="D849" s="2" t="str">
        <f t="shared" si="12"/>
        <v>Error?</v>
      </c>
    </row>
    <row r="850" spans="1:4" x14ac:dyDescent="0.2">
      <c r="A850" s="5">
        <v>789</v>
      </c>
      <c r="B850" s="138">
        <f>'Expenditures 15-22'!E53</f>
        <v>22522</v>
      </c>
      <c r="C850" s="2" t="s">
        <v>594</v>
      </c>
      <c r="D850" s="2" t="str">
        <f t="shared" si="12"/>
        <v>Error?</v>
      </c>
    </row>
    <row r="851" spans="1:4" x14ac:dyDescent="0.2">
      <c r="A851" s="5">
        <v>790</v>
      </c>
      <c r="B851" s="138">
        <f>'Expenditures 15-22'!E55</f>
        <v>1686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1686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5959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8557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33322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116657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43303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3747</v>
      </c>
      <c r="D891" s="2" t="str">
        <f t="shared" si="12"/>
        <v>Error?</v>
      </c>
    </row>
    <row r="892" spans="1:4" x14ac:dyDescent="0.2">
      <c r="A892" s="5">
        <v>831</v>
      </c>
      <c r="B892" s="138">
        <f>'Expenditures 15-22'!F14</f>
        <v>11913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118846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2088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2088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2600</v>
      </c>
      <c r="D907" s="2" t="str">
        <f t="shared" si="13"/>
        <v>Error?</v>
      </c>
    </row>
    <row r="908" spans="1:4" x14ac:dyDescent="0.2">
      <c r="A908" s="5">
        <v>847</v>
      </c>
      <c r="B908" s="138">
        <f>'Expenditures 15-22'!F53</f>
        <v>2600</v>
      </c>
      <c r="C908" s="2" t="s">
        <v>594</v>
      </c>
      <c r="D908" s="2" t="str">
        <f t="shared" si="13"/>
        <v>Error?</v>
      </c>
    </row>
    <row r="909" spans="1:4" x14ac:dyDescent="0.2">
      <c r="A909" s="5">
        <v>848</v>
      </c>
      <c r="B909" s="138">
        <f>'Expenditures 15-22'!F55</f>
        <v>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1467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68000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69467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74660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193506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12922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23643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980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980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980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24623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2027</v>
      </c>
      <c r="D1046" s="2" t="str">
        <f t="shared" si="15"/>
        <v>Error?</v>
      </c>
    </row>
    <row r="1047" spans="1:4" x14ac:dyDescent="0.2">
      <c r="A1047" s="5">
        <v>986</v>
      </c>
      <c r="B1047" s="138">
        <f>'Expenditures 15-22'!H102</f>
        <v>66427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68454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1251254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164145</v>
      </c>
      <c r="C1105" s="2" t="s">
        <v>594</v>
      </c>
      <c r="D1105" s="2" t="str">
        <f t="shared" si="16"/>
        <v>Error?</v>
      </c>
    </row>
    <row r="1106" spans="1:4" x14ac:dyDescent="0.2">
      <c r="A1106" s="5">
        <v>1045</v>
      </c>
      <c r="B1106" s="138">
        <f>'Expenditures 15-22'!K14</f>
        <v>76194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2339582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92840</v>
      </c>
      <c r="C1110" s="2" t="s">
        <v>594</v>
      </c>
      <c r="D1110" s="2" t="str">
        <f t="shared" si="16"/>
        <v>Error?</v>
      </c>
    </row>
    <row r="1111" spans="1:4" x14ac:dyDescent="0.2">
      <c r="A1111" s="5">
        <v>1050</v>
      </c>
      <c r="B1111" s="138">
        <f>'Expenditures 15-22'!K38</f>
        <v>39387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61652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193879</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82277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82277</v>
      </c>
      <c r="C1119" s="2" t="s">
        <v>594</v>
      </c>
      <c r="D1119" s="2" t="str">
        <f t="shared" si="16"/>
        <v>Error?</v>
      </c>
    </row>
    <row r="1120" spans="1:4" x14ac:dyDescent="0.2">
      <c r="A1120" s="5">
        <v>1059</v>
      </c>
      <c r="B1120" s="138">
        <f>'Expenditures 15-22'!K49</f>
        <v>15643</v>
      </c>
      <c r="C1120" s="2" t="s">
        <v>594</v>
      </c>
      <c r="D1120" s="2" t="str">
        <f t="shared" si="16"/>
        <v>Error?</v>
      </c>
    </row>
    <row r="1121" spans="1:4" x14ac:dyDescent="0.2">
      <c r="A1121" s="5">
        <v>1060</v>
      </c>
      <c r="B1121" s="138">
        <f>'Expenditures 15-22'!K50</f>
        <v>100134</v>
      </c>
      <c r="C1121" s="2" t="s">
        <v>594</v>
      </c>
      <c r="D1121" s="2" t="str">
        <f t="shared" si="16"/>
        <v>Error?</v>
      </c>
    </row>
    <row r="1122" spans="1:4" x14ac:dyDescent="0.2">
      <c r="A1122" s="5">
        <v>1061</v>
      </c>
      <c r="B1122" s="138">
        <f>'Expenditures 15-22'!K53</f>
        <v>115777</v>
      </c>
      <c r="C1122" s="2" t="s">
        <v>594</v>
      </c>
      <c r="D1122" s="2" t="str">
        <f t="shared" si="16"/>
        <v>Error?</v>
      </c>
    </row>
    <row r="1123" spans="1:4" x14ac:dyDescent="0.2">
      <c r="A1123" s="5">
        <v>1062</v>
      </c>
      <c r="B1123" s="138">
        <f>'Expenditures 15-22'!K55</f>
        <v>192802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192802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46403</v>
      </c>
      <c r="C1127" s="2" t="s">
        <v>594</v>
      </c>
      <c r="D1127" s="2" t="str">
        <f t="shared" si="16"/>
        <v>Error?</v>
      </c>
    </row>
    <row r="1128" spans="1:4" x14ac:dyDescent="0.2">
      <c r="A1128" s="5">
        <v>1067</v>
      </c>
      <c r="B1128" s="138">
        <f>'Expenditures 15-22'!K61</f>
        <v>156731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153055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356189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940924</v>
      </c>
      <c r="C1143" s="2" t="s">
        <v>594</v>
      </c>
      <c r="D1143" s="2" t="str">
        <f t="shared" si="16"/>
        <v>Error?</v>
      </c>
    </row>
    <row r="1144" spans="1:4" x14ac:dyDescent="0.2">
      <c r="A1144" s="5">
        <v>1083</v>
      </c>
      <c r="B1144" s="138">
        <f>'Expenditures 15-22'!K75</f>
        <v>2027</v>
      </c>
      <c r="C1144" s="2" t="s">
        <v>594</v>
      </c>
      <c r="D1144" s="2" t="str">
        <f t="shared" si="16"/>
        <v>Error?</v>
      </c>
    </row>
    <row r="1145" spans="1:4" x14ac:dyDescent="0.2">
      <c r="A1145" s="5">
        <v>1084</v>
      </c>
      <c r="B1145" s="138">
        <f>'Expenditures 15-22'!K102</f>
        <v>81773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3364306</v>
      </c>
      <c r="C1152" s="2" t="s">
        <v>594</v>
      </c>
      <c r="D1152" s="2" t="str">
        <f t="shared" si="17"/>
        <v>Error?</v>
      </c>
    </row>
    <row r="1153" spans="1:4" x14ac:dyDescent="0.2">
      <c r="A1153" s="5">
        <v>1092</v>
      </c>
      <c r="B1153" s="138">
        <f>'Expenditures 15-22'!K115</f>
        <v>327423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85241</v>
      </c>
      <c r="D1237" s="2" t="str">
        <f t="shared" si="18"/>
        <v>Error?</v>
      </c>
    </row>
    <row r="1238" spans="1:4" x14ac:dyDescent="0.2">
      <c r="A1238" s="10">
        <v>1177</v>
      </c>
      <c r="D1238" s="2" t="str">
        <f t="shared" si="18"/>
        <v>OK</v>
      </c>
    </row>
    <row r="1239" spans="1:4" x14ac:dyDescent="0.2">
      <c r="A1239" s="5">
        <v>1178</v>
      </c>
      <c r="B1239" s="138">
        <f>'Expenditures 15-22'!E127</f>
        <v>85241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85241</v>
      </c>
      <c r="C1241" s="2" t="s">
        <v>594</v>
      </c>
      <c r="D1241" s="2" t="str">
        <f t="shared" si="18"/>
        <v>Error?</v>
      </c>
    </row>
    <row r="1242" spans="1:4" x14ac:dyDescent="0.2">
      <c r="A1242" s="5">
        <v>1181</v>
      </c>
      <c r="B1242" s="138">
        <f>'Expenditures 15-22'!E151</f>
        <v>85241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104611</v>
      </c>
      <c r="D1245" s="2" t="str">
        <f t="shared" si="18"/>
        <v>Error?</v>
      </c>
    </row>
    <row r="1246" spans="1:4" x14ac:dyDescent="0.2">
      <c r="A1246" s="10">
        <v>1185</v>
      </c>
      <c r="D1246" s="2" t="str">
        <f t="shared" si="18"/>
        <v>OK</v>
      </c>
    </row>
    <row r="1247" spans="1:4" x14ac:dyDescent="0.2">
      <c r="A1247" s="5">
        <v>1186</v>
      </c>
      <c r="B1247" s="138">
        <f>'Expenditures 15-22'!F127</f>
        <v>104611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104611</v>
      </c>
      <c r="C1249" s="2" t="s">
        <v>594</v>
      </c>
      <c r="D1249" s="2" t="str">
        <f t="shared" si="18"/>
        <v>Error?</v>
      </c>
    </row>
    <row r="1250" spans="1:4" x14ac:dyDescent="0.2">
      <c r="A1250" s="5">
        <v>1189</v>
      </c>
      <c r="B1250" s="138">
        <f>'Expenditures 15-22'!F151</f>
        <v>104611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124607</v>
      </c>
      <c r="D1252" s="2" t="str">
        <f t="shared" si="18"/>
        <v>Error?</v>
      </c>
    </row>
    <row r="1253" spans="1:4" x14ac:dyDescent="0.2">
      <c r="A1253" s="5">
        <v>1192</v>
      </c>
      <c r="B1253" s="138">
        <f>'Expenditures 15-22'!G124</f>
        <v>13546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138153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138153</v>
      </c>
      <c r="C1258" s="2" t="s">
        <v>594</v>
      </c>
      <c r="D1258" s="2" t="str">
        <f t="shared" si="18"/>
        <v>Error?</v>
      </c>
    </row>
    <row r="1259" spans="1:4" x14ac:dyDescent="0.2">
      <c r="A1259" s="5">
        <v>1198</v>
      </c>
      <c r="B1259" s="138">
        <f>'Expenditures 15-22'!G151</f>
        <v>138153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124607</v>
      </c>
      <c r="C1275" s="2" t="s">
        <v>594</v>
      </c>
      <c r="D1275" s="2" t="str">
        <f t="shared" si="18"/>
        <v>Error?</v>
      </c>
    </row>
    <row r="1276" spans="1:4" x14ac:dyDescent="0.2">
      <c r="A1276" s="5">
        <v>1215</v>
      </c>
      <c r="B1276" s="138">
        <f>'Expenditures 15-22'!K124</f>
        <v>203398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328005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328005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328005</v>
      </c>
      <c r="C1288" s="2" t="s">
        <v>594</v>
      </c>
      <c r="D1288" s="2" t="str">
        <f t="shared" si="19"/>
        <v>Error?</v>
      </c>
    </row>
    <row r="1289" spans="1:4" x14ac:dyDescent="0.2">
      <c r="A1289" s="5">
        <v>1228</v>
      </c>
      <c r="B1289" s="138">
        <f>'Expenditures 15-22'!K152</f>
        <v>41104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100700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102487</v>
      </c>
      <c r="C1317" s="2" t="s">
        <v>594</v>
      </c>
      <c r="D1317" s="2" t="str">
        <f t="shared" si="19"/>
        <v>Error?</v>
      </c>
    </row>
    <row r="1318" spans="1:4" x14ac:dyDescent="0.2">
      <c r="A1318" s="5">
        <v>1257</v>
      </c>
      <c r="B1318" s="138">
        <f>'Expenditures 15-22'!H174</f>
        <v>102487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1787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100700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102487</v>
      </c>
      <c r="C1331" s="2" t="s">
        <v>594</v>
      </c>
      <c r="D1331" s="2" t="str">
        <f t="shared" si="19"/>
        <v>Error?</v>
      </c>
    </row>
    <row r="1332" spans="1:4" x14ac:dyDescent="0.2">
      <c r="A1332" s="5">
        <v>1271</v>
      </c>
      <c r="B1332" s="138">
        <f>'Expenditures 15-22'!K174</f>
        <v>102487</v>
      </c>
      <c r="C1332" s="2" t="s">
        <v>594</v>
      </c>
      <c r="D1332" s="2" t="str">
        <f t="shared" si="19"/>
        <v>Error?</v>
      </c>
    </row>
    <row r="1333" spans="1:4" x14ac:dyDescent="0.2">
      <c r="A1333" s="5">
        <v>1272</v>
      </c>
      <c r="B1333" s="138">
        <f>'Expenditures 15-22'!K175</f>
        <v>-100818</v>
      </c>
      <c r="C1333" s="2" t="s">
        <v>594</v>
      </c>
      <c r="D1333" s="2" t="str">
        <f t="shared" si="19"/>
        <v>Error?</v>
      </c>
    </row>
    <row r="1334" spans="1:4" x14ac:dyDescent="0.2">
      <c r="A1334" s="10">
        <v>1273</v>
      </c>
      <c r="D1334" s="2" t="str">
        <f t="shared" si="19"/>
        <v>OK</v>
      </c>
    </row>
    <row r="1335" spans="1:4" x14ac:dyDescent="0.2">
      <c r="A1335" s="5">
        <v>1274</v>
      </c>
      <c r="B1335" s="138">
        <f>'Expenditures 15-22'!C182</f>
        <v>8561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8561</v>
      </c>
      <c r="C1339" s="2" t="s">
        <v>594</v>
      </c>
      <c r="D1339" s="2" t="str">
        <f t="shared" si="19"/>
        <v>Error?</v>
      </c>
    </row>
    <row r="1340" spans="1:4" x14ac:dyDescent="0.2">
      <c r="A1340" s="5">
        <v>1279</v>
      </c>
      <c r="B1340" s="138">
        <f>'Expenditures 15-22'!C210</f>
        <v>8561</v>
      </c>
      <c r="C1340" s="2" t="s">
        <v>594</v>
      </c>
      <c r="D1340" s="2" t="str">
        <f t="shared" si="19"/>
        <v>Error?</v>
      </c>
    </row>
    <row r="1341" spans="1:4" x14ac:dyDescent="0.2">
      <c r="A1341" s="5">
        <v>1280</v>
      </c>
      <c r="B1341" s="138">
        <f>'Expenditures 15-22'!D182</f>
        <v>4038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4038</v>
      </c>
      <c r="C1345" s="2" t="s">
        <v>594</v>
      </c>
      <c r="D1345" s="2" t="str">
        <f t="shared" si="20"/>
        <v>Error?</v>
      </c>
    </row>
    <row r="1346" spans="1:4" x14ac:dyDescent="0.2">
      <c r="A1346" s="5">
        <v>1285</v>
      </c>
      <c r="B1346" s="138">
        <f>'Expenditures 15-22'!D210</f>
        <v>4038</v>
      </c>
      <c r="C1346" s="2" t="s">
        <v>594</v>
      </c>
      <c r="D1346" s="2" t="str">
        <f t="shared" si="20"/>
        <v>Error?</v>
      </c>
    </row>
    <row r="1347" spans="1:4" x14ac:dyDescent="0.2">
      <c r="A1347" s="5">
        <v>1286</v>
      </c>
      <c r="B1347" s="138">
        <f>'Expenditures 15-22'!E182</f>
        <v>166641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166641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166641</v>
      </c>
      <c r="C1353" s="2" t="s">
        <v>594</v>
      </c>
      <c r="D1353" s="2" t="str">
        <f t="shared" si="20"/>
        <v>Error?</v>
      </c>
    </row>
    <row r="1354" spans="1:4" x14ac:dyDescent="0.2">
      <c r="A1354" s="5">
        <v>1293</v>
      </c>
      <c r="B1354" s="138">
        <f>'Expenditures 15-22'!F182</f>
        <v>21275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21275</v>
      </c>
      <c r="C1358" s="2" t="s">
        <v>594</v>
      </c>
      <c r="D1358" s="2" t="str">
        <f t="shared" si="20"/>
        <v>Error?</v>
      </c>
    </row>
    <row r="1359" spans="1:4" x14ac:dyDescent="0.2">
      <c r="A1359" s="5">
        <v>1298</v>
      </c>
      <c r="B1359" s="138">
        <f>'Expenditures 15-22'!F210</f>
        <v>21275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200515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200515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200515</v>
      </c>
      <c r="C1388" s="2" t="s">
        <v>594</v>
      </c>
      <c r="D1388" s="2" t="str">
        <f t="shared" si="20"/>
        <v>Error?</v>
      </c>
    </row>
    <row r="1389" spans="1:4" x14ac:dyDescent="0.2">
      <c r="A1389" s="5">
        <v>1328</v>
      </c>
      <c r="B1389" s="138">
        <f>'Expenditures 15-22'!K211</f>
        <v>53829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1518</v>
      </c>
      <c r="D1407" s="2" t="str">
        <f t="shared" ref="D1407:D1470" si="21">IF(ISBLANK(B1407),"OK",IF(A1407-B1407=0,"OK","Error?"))</f>
        <v>Error?</v>
      </c>
    </row>
    <row r="1408" spans="1:4" x14ac:dyDescent="0.2">
      <c r="A1408" s="5">
        <v>1347</v>
      </c>
      <c r="B1408" s="138">
        <f>'Expenditures 15-22'!D223</f>
        <v>1696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58434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5027</v>
      </c>
      <c r="D1412" s="2" t="str">
        <f t="shared" si="21"/>
        <v>Error?</v>
      </c>
    </row>
    <row r="1413" spans="1:4" x14ac:dyDescent="0.2">
      <c r="A1413" s="5">
        <v>1352</v>
      </c>
      <c r="B1413" s="138">
        <f>'Expenditures 15-22'!D234</f>
        <v>4442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676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10145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921</v>
      </c>
      <c r="D1423" s="2" t="str">
        <f t="shared" si="21"/>
        <v>Error?</v>
      </c>
    </row>
    <row r="1424" spans="1:4" x14ac:dyDescent="0.2">
      <c r="A1424" s="5">
        <v>1363</v>
      </c>
      <c r="B1424" s="138">
        <f>'Expenditures 15-22'!D257</f>
        <v>921</v>
      </c>
      <c r="C1424" s="2" t="s">
        <v>594</v>
      </c>
      <c r="D1424" s="2" t="str">
        <f t="shared" si="21"/>
        <v>Error?</v>
      </c>
    </row>
    <row r="1425" spans="1:4" x14ac:dyDescent="0.2">
      <c r="A1425" s="5">
        <v>1364</v>
      </c>
      <c r="B1425" s="138">
        <f>'Expenditures 15-22'!D259</f>
        <v>11295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11295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21676</v>
      </c>
      <c r="D1431" s="2" t="str">
        <f t="shared" si="21"/>
        <v>Error?</v>
      </c>
    </row>
    <row r="1432" spans="1:4" x14ac:dyDescent="0.2">
      <c r="A1432" s="5">
        <v>1371</v>
      </c>
      <c r="B1432" s="138">
        <f>'Expenditures 15-22'!D267</f>
        <v>823</v>
      </c>
      <c r="D1432" s="2" t="str">
        <f t="shared" si="21"/>
        <v>Error?</v>
      </c>
    </row>
    <row r="1433" spans="1:4" x14ac:dyDescent="0.2">
      <c r="A1433" s="5">
        <v>1372</v>
      </c>
      <c r="B1433" s="138">
        <f>'Expenditures 15-22'!D268</f>
        <v>11996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40799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63841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122275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1518</v>
      </c>
      <c r="C1471" s="2" t="s">
        <v>594</v>
      </c>
      <c r="D1471" s="2" t="str">
        <f t="shared" ref="D1471:D1534" si="22">IF(ISBLANK(B1471),"OK",IF(A1471-B1471=0,"OK","Error?"))</f>
        <v>Error?</v>
      </c>
    </row>
    <row r="1472" spans="1:4" x14ac:dyDescent="0.2">
      <c r="A1472" s="5">
        <v>1411</v>
      </c>
      <c r="B1472" s="138">
        <f>'Expenditures 15-22'!K223</f>
        <v>1696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58434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5027</v>
      </c>
      <c r="C1476" s="2" t="s">
        <v>594</v>
      </c>
      <c r="D1476" s="2" t="str">
        <f t="shared" si="22"/>
        <v>Error?</v>
      </c>
    </row>
    <row r="1477" spans="1:4" x14ac:dyDescent="0.2">
      <c r="A1477" s="5">
        <v>1416</v>
      </c>
      <c r="B1477" s="138">
        <f>'Expenditures 15-22'!K234</f>
        <v>4442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676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10145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681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681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921</v>
      </c>
      <c r="C1487" s="2" t="s">
        <v>594</v>
      </c>
      <c r="D1487" s="2" t="str">
        <f t="shared" si="22"/>
        <v>Error?</v>
      </c>
    </row>
    <row r="1488" spans="1:4" x14ac:dyDescent="0.2">
      <c r="A1488" s="5">
        <v>1427</v>
      </c>
      <c r="B1488" s="138">
        <f>'Expenditures 15-22'!K257</f>
        <v>921</v>
      </c>
      <c r="C1488" s="2" t="s">
        <v>594</v>
      </c>
      <c r="D1488" s="2" t="str">
        <f t="shared" si="22"/>
        <v>Error?</v>
      </c>
    </row>
    <row r="1489" spans="1:4" x14ac:dyDescent="0.2">
      <c r="A1489" s="5">
        <v>1428</v>
      </c>
      <c r="B1489" s="138">
        <f>'Expenditures 15-22'!K259</f>
        <v>11295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11295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6304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21676</v>
      </c>
      <c r="C1495" s="2" t="s">
        <v>594</v>
      </c>
      <c r="D1495" s="2" t="str">
        <f t="shared" si="22"/>
        <v>Error?</v>
      </c>
    </row>
    <row r="1496" spans="1:4" x14ac:dyDescent="0.2">
      <c r="A1496" s="5">
        <v>1435</v>
      </c>
      <c r="B1496" s="138">
        <f>'Expenditures 15-22'!K267</f>
        <v>823</v>
      </c>
      <c r="C1496" s="2" t="s">
        <v>594</v>
      </c>
      <c r="D1496" s="2" t="str">
        <f t="shared" si="22"/>
        <v>Error?</v>
      </c>
    </row>
    <row r="1497" spans="1:4" x14ac:dyDescent="0.2">
      <c r="A1497" s="5">
        <v>1436</v>
      </c>
      <c r="B1497" s="138">
        <f>'Expenditures 15-22'!K268</f>
        <v>11996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40799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63841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122275</v>
      </c>
      <c r="C1517" s="2" t="s">
        <v>594</v>
      </c>
      <c r="D1517" s="2" t="str">
        <f t="shared" si="22"/>
        <v>Error?</v>
      </c>
    </row>
    <row r="1518" spans="1:4" x14ac:dyDescent="0.2">
      <c r="A1518" s="5">
        <v>1457</v>
      </c>
      <c r="B1518" s="138">
        <f>'Expenditures 15-22'!K296</f>
        <v>27211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483117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810230</v>
      </c>
      <c r="C1630" s="2" t="s">
        <v>594</v>
      </c>
      <c r="D1630" s="2" t="str">
        <f t="shared" si="24"/>
        <v>Error?</v>
      </c>
    </row>
    <row r="1631" spans="1:4" x14ac:dyDescent="0.2">
      <c r="A1631" s="5">
        <v>1570</v>
      </c>
      <c r="B1631" s="138">
        <f>'Acct Summary 7-8'!D79</f>
        <v>417392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356319</v>
      </c>
      <c r="C1644" s="2" t="s">
        <v>594</v>
      </c>
      <c r="D1644" s="2" t="str">
        <f t="shared" si="24"/>
        <v>Error?</v>
      </c>
    </row>
    <row r="1645" spans="1:4" x14ac:dyDescent="0.2">
      <c r="A1645" s="5">
        <v>1584</v>
      </c>
      <c r="B1645" s="138">
        <f>'Acct Summary 7-8'!E79</f>
        <v>259793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261462</v>
      </c>
      <c r="C1658" s="2" t="s">
        <v>594</v>
      </c>
      <c r="D1658" s="2" t="str">
        <f t="shared" si="24"/>
        <v>Error?</v>
      </c>
    </row>
    <row r="1659" spans="1:4" x14ac:dyDescent="0.2">
      <c r="A1659" s="5">
        <v>1598</v>
      </c>
      <c r="B1659" s="138">
        <f>'Acct Summary 7-8'!F79</f>
        <v>97588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151417</v>
      </c>
      <c r="C1672" s="2" t="s">
        <v>594</v>
      </c>
      <c r="D1672" s="2" t="str">
        <f t="shared" si="25"/>
        <v>Error?</v>
      </c>
    </row>
    <row r="1673" spans="1:4" x14ac:dyDescent="0.2">
      <c r="A1673" s="5">
        <v>1612</v>
      </c>
      <c r="B1673" s="138">
        <f>'Acct Summary 7-8'!G79</f>
        <v>88890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116101</v>
      </c>
      <c r="C1686" s="2" t="s">
        <v>594</v>
      </c>
      <c r="D1686" s="2" t="str">
        <f t="shared" si="25"/>
        <v>Error?</v>
      </c>
    </row>
    <row r="1687" spans="1:4" x14ac:dyDescent="0.2">
      <c r="A1687" s="5">
        <v>1626</v>
      </c>
      <c r="B1687" s="138">
        <f>'Acct Summary 7-8'!H79</f>
        <v>330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457716</v>
      </c>
      <c r="C1744" s="2" t="s">
        <v>594</v>
      </c>
      <c r="D1744" s="2" t="str">
        <f t="shared" si="26"/>
        <v>Error?</v>
      </c>
    </row>
    <row r="1745" spans="1:5" x14ac:dyDescent="0.2">
      <c r="A1745" s="5">
        <v>1684</v>
      </c>
      <c r="B1745" s="138">
        <f>'Tax Sched 23'!B5</f>
        <v>84917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36392</v>
      </c>
      <c r="C1747" s="2" t="s">
        <v>594</v>
      </c>
      <c r="D1747" s="2" t="str">
        <f t="shared" si="26"/>
        <v>Error?</v>
      </c>
    </row>
    <row r="1748" spans="1:5" x14ac:dyDescent="0.2">
      <c r="A1748" s="5">
        <v>1687</v>
      </c>
      <c r="B1748" s="138">
        <f>'Tax Sched 23'!B8</f>
        <v>56794</v>
      </c>
      <c r="C1748" s="2" t="s">
        <v>594</v>
      </c>
      <c r="D1748" s="2" t="str">
        <f t="shared" si="26"/>
        <v>Error?</v>
      </c>
    </row>
    <row r="1749" spans="1:5" x14ac:dyDescent="0.2">
      <c r="A1749" s="5">
        <v>1688</v>
      </c>
      <c r="B1749" s="138">
        <f>'Tax Sched 23'!B10</f>
        <v>9098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151635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7279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856217</v>
      </c>
      <c r="C1759" s="2" t="s">
        <v>594</v>
      </c>
      <c r="D1759" s="2" t="str">
        <f t="shared" si="26"/>
        <v>Error?</v>
      </c>
    </row>
    <row r="1760" spans="1:5" x14ac:dyDescent="0.2">
      <c r="A1760" s="5">
        <v>1699</v>
      </c>
      <c r="B1760" s="138">
        <f>'Tax Sched 23'!D4</f>
        <v>457716</v>
      </c>
      <c r="C1760" s="2" t="s">
        <v>594</v>
      </c>
      <c r="D1760" s="2" t="str">
        <f t="shared" si="26"/>
        <v>Error?</v>
      </c>
    </row>
    <row r="1761" spans="1:5" x14ac:dyDescent="0.2">
      <c r="A1761" s="5">
        <v>1700</v>
      </c>
      <c r="B1761" s="138">
        <f>'Tax Sched 23'!D5</f>
        <v>84917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36392</v>
      </c>
      <c r="C1763" s="2" t="s">
        <v>594</v>
      </c>
      <c r="D1763" s="2" t="str">
        <f t="shared" si="26"/>
        <v>Error?</v>
      </c>
    </row>
    <row r="1764" spans="1:5" x14ac:dyDescent="0.2">
      <c r="A1764" s="5">
        <v>1703</v>
      </c>
      <c r="B1764" s="138">
        <f>'Tax Sched 23'!D8</f>
        <v>56794</v>
      </c>
      <c r="C1764" s="2" t="s">
        <v>594</v>
      </c>
      <c r="D1764" s="2" t="str">
        <f t="shared" si="26"/>
        <v>Error?</v>
      </c>
    </row>
    <row r="1765" spans="1:5" x14ac:dyDescent="0.2">
      <c r="A1765" s="5">
        <v>1704</v>
      </c>
      <c r="B1765" s="138">
        <f>'Tax Sched 23'!D10</f>
        <v>9098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151635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7279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856217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471824</v>
      </c>
      <c r="C1792" s="2" t="s">
        <v>594</v>
      </c>
      <c r="D1792" s="2" t="str">
        <f t="shared" si="27"/>
        <v>Error?</v>
      </c>
    </row>
    <row r="1793" spans="1:4" x14ac:dyDescent="0.2">
      <c r="A1793" s="5">
        <v>1732</v>
      </c>
      <c r="B1793" s="138">
        <f>'Tax Sched 23'!F5</f>
        <v>87538</v>
      </c>
      <c r="C1793" s="2" t="s">
        <v>594</v>
      </c>
      <c r="D1793" s="2" t="str">
        <f t="shared" si="27"/>
        <v>Error?</v>
      </c>
    </row>
    <row r="1794" spans="1:4" x14ac:dyDescent="0.2">
      <c r="A1794" s="5">
        <v>1733</v>
      </c>
      <c r="B1794" s="138">
        <f>'Tax Sched 23'!F6</f>
        <v>102082</v>
      </c>
      <c r="C1794" s="2" t="s">
        <v>594</v>
      </c>
      <c r="D1794" s="2" t="str">
        <f t="shared" si="27"/>
        <v>Error?</v>
      </c>
    </row>
    <row r="1795" spans="1:4" x14ac:dyDescent="0.2">
      <c r="A1795" s="5">
        <v>1734</v>
      </c>
      <c r="B1795" s="138">
        <f>'Tax Sched 23'!F7</f>
        <v>37663</v>
      </c>
      <c r="C1795" s="2" t="s">
        <v>594</v>
      </c>
      <c r="D1795" s="2" t="str">
        <f t="shared" si="27"/>
        <v>Error?</v>
      </c>
    </row>
    <row r="1796" spans="1:4" x14ac:dyDescent="0.2">
      <c r="A1796" s="5">
        <v>1735</v>
      </c>
      <c r="B1796" s="138">
        <f>'Tax Sched 23'!F8</f>
        <v>65145</v>
      </c>
      <c r="C1796" s="2" t="s">
        <v>594</v>
      </c>
      <c r="D1796" s="2" t="str">
        <f t="shared" si="27"/>
        <v>Error?</v>
      </c>
    </row>
    <row r="1797" spans="1:4" x14ac:dyDescent="0.2">
      <c r="A1797" s="5">
        <v>1736</v>
      </c>
      <c r="B1797" s="138">
        <f>'Tax Sched 23'!F10</f>
        <v>9163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161844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7432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1007836</v>
      </c>
      <c r="C1807" s="2" t="s">
        <v>594</v>
      </c>
      <c r="D1807" s="2" t="str">
        <f t="shared" si="27"/>
        <v>Error?</v>
      </c>
    </row>
    <row r="1808" spans="1:4" x14ac:dyDescent="0.2">
      <c r="A1808" s="5">
        <v>1747</v>
      </c>
      <c r="B1808" s="138">
        <f>'Tax Sched 23'!E4</f>
        <v>471824</v>
      </c>
      <c r="D1808" s="2" t="str">
        <f t="shared" si="27"/>
        <v>Error?</v>
      </c>
    </row>
    <row r="1809" spans="1:4" x14ac:dyDescent="0.2">
      <c r="A1809" s="5">
        <v>1748</v>
      </c>
      <c r="B1809" s="138">
        <f>'Tax Sched 23'!E5</f>
        <v>87538</v>
      </c>
      <c r="D1809" s="2" t="str">
        <f t="shared" si="27"/>
        <v>Error?</v>
      </c>
    </row>
    <row r="1810" spans="1:4" x14ac:dyDescent="0.2">
      <c r="A1810" s="5">
        <v>1749</v>
      </c>
      <c r="B1810" s="138">
        <f>'Tax Sched 23'!E6</f>
        <v>102082</v>
      </c>
      <c r="D1810" s="2" t="str">
        <f t="shared" si="27"/>
        <v>Error?</v>
      </c>
    </row>
    <row r="1811" spans="1:4" x14ac:dyDescent="0.2">
      <c r="A1811" s="5">
        <v>1750</v>
      </c>
      <c r="B1811" s="138">
        <f>'Tax Sched 23'!E7</f>
        <v>37663</v>
      </c>
      <c r="D1811" s="2" t="str">
        <f t="shared" si="27"/>
        <v>Error?</v>
      </c>
    </row>
    <row r="1812" spans="1:4" x14ac:dyDescent="0.2">
      <c r="A1812" s="5">
        <v>1751</v>
      </c>
      <c r="B1812" s="138">
        <f>'Tax Sched 23'!E8</f>
        <v>65145</v>
      </c>
      <c r="D1812" s="2" t="str">
        <f t="shared" si="27"/>
        <v>Error?</v>
      </c>
    </row>
    <row r="1813" spans="1:4" x14ac:dyDescent="0.2">
      <c r="A1813" s="5">
        <v>1752</v>
      </c>
      <c r="B1813" s="138">
        <f>'Tax Sched 23'!E10</f>
        <v>9163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161844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7432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1007836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100700</v>
      </c>
      <c r="C1939" s="2" t="s">
        <v>594</v>
      </c>
      <c r="D1939" s="2" t="str">
        <f t="shared" si="29"/>
        <v>Error?</v>
      </c>
    </row>
    <row r="1940" spans="1:5" x14ac:dyDescent="0.2">
      <c r="A1940" s="5">
        <v>1879</v>
      </c>
      <c r="B1940" s="138">
        <f>'Short-Term Long-Term Debt 24'!F49</f>
        <v>453300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7279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7279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7279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76838</v>
      </c>
      <c r="D2008" s="2" t="str">
        <f t="shared" si="30"/>
        <v>Error?</v>
      </c>
    </row>
    <row r="2009" spans="1:4" x14ac:dyDescent="0.2">
      <c r="A2009" s="5">
        <v>1948</v>
      </c>
      <c r="B2009" s="138">
        <f>'Cap Outlay Deprec 26'!C8</f>
        <v>7042038</v>
      </c>
      <c r="D2009" s="2" t="str">
        <f t="shared" si="30"/>
        <v>Error?</v>
      </c>
    </row>
    <row r="2010" spans="1:4" x14ac:dyDescent="0.2">
      <c r="A2010" s="5">
        <v>1949</v>
      </c>
      <c r="B2010" s="138">
        <f>'Cap Outlay Deprec 26'!C10</f>
        <v>100958</v>
      </c>
      <c r="D2010" s="2" t="str">
        <f t="shared" si="30"/>
        <v>Error?</v>
      </c>
    </row>
    <row r="2011" spans="1:4" x14ac:dyDescent="0.2">
      <c r="A2011" s="5">
        <v>1950</v>
      </c>
      <c r="B2011" s="138">
        <f>'Cap Outlay Deprec 26'!C12</f>
        <v>327731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7547565</v>
      </c>
      <c r="C2013" s="2" t="s">
        <v>594</v>
      </c>
      <c r="D2013" s="2" t="str">
        <f t="shared" si="30"/>
        <v>Error?</v>
      </c>
    </row>
    <row r="2014" spans="1:4" x14ac:dyDescent="0.2">
      <c r="A2014" s="5">
        <v>1953</v>
      </c>
      <c r="B2014" s="138">
        <f>'Cap Outlay Deprec 26'!D5</f>
        <v>29500</v>
      </c>
      <c r="D2014" s="2" t="str">
        <f t="shared" si="30"/>
        <v>Error?</v>
      </c>
    </row>
    <row r="2015" spans="1:4" x14ac:dyDescent="0.2">
      <c r="A2015" s="5">
        <v>1954</v>
      </c>
      <c r="B2015" s="138">
        <f>'Cap Outlay Deprec 26'!D8</f>
        <v>95107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38169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162776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15574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15574</v>
      </c>
      <c r="C2025" s="2" t="s">
        <v>594</v>
      </c>
      <c r="D2025" s="2" t="str">
        <f t="shared" si="30"/>
        <v>Error?</v>
      </c>
    </row>
    <row r="2026" spans="1:4" x14ac:dyDescent="0.2">
      <c r="A2026" s="5">
        <v>1965</v>
      </c>
      <c r="B2026" s="138">
        <f>'Cap Outlay Deprec 26'!F5</f>
        <v>106338</v>
      </c>
      <c r="C2026" s="2" t="s">
        <v>594</v>
      </c>
      <c r="D2026" s="2" t="str">
        <f t="shared" si="30"/>
        <v>Error?</v>
      </c>
    </row>
    <row r="2027" spans="1:4" x14ac:dyDescent="0.2">
      <c r="A2027" s="5">
        <v>1966</v>
      </c>
      <c r="B2027" s="138">
        <f>'Cap Outlay Deprec 26'!F8</f>
        <v>7137145</v>
      </c>
      <c r="C2027" s="2" t="s">
        <v>594</v>
      </c>
      <c r="D2027" s="2" t="str">
        <f t="shared" si="30"/>
        <v>Error?</v>
      </c>
    </row>
    <row r="2028" spans="1:4" x14ac:dyDescent="0.2">
      <c r="A2028" s="5">
        <v>1967</v>
      </c>
      <c r="B2028" s="138">
        <f>'Cap Outlay Deprec 26'!F10</f>
        <v>100958</v>
      </c>
      <c r="C2028" s="2" t="s">
        <v>594</v>
      </c>
      <c r="D2028" s="2" t="str">
        <f t="shared" si="30"/>
        <v>Error?</v>
      </c>
    </row>
    <row r="2029" spans="1:4" x14ac:dyDescent="0.2">
      <c r="A2029" s="5">
        <v>1968</v>
      </c>
      <c r="B2029" s="138">
        <f>'Cap Outlay Deprec 26'!F12</f>
        <v>350326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7694767</v>
      </c>
      <c r="C2031" s="2" t="s">
        <v>594</v>
      </c>
      <c r="D2031" s="2" t="str">
        <f t="shared" si="30"/>
        <v>Error?</v>
      </c>
    </row>
    <row r="2032" spans="1:4" x14ac:dyDescent="0.2">
      <c r="A2032" s="10">
        <v>1971</v>
      </c>
      <c r="D2032" s="2" t="str">
        <f t="shared" si="30"/>
        <v>OK</v>
      </c>
    </row>
    <row r="2033" spans="1:4" x14ac:dyDescent="0.2">
      <c r="A2033" s="5">
        <v>1972</v>
      </c>
      <c r="B2033" s="138">
        <f>'Cap Outlay Deprec 26'!H8</f>
        <v>3084406</v>
      </c>
      <c r="D2033" s="2" t="str">
        <f t="shared" si="30"/>
        <v>Error?</v>
      </c>
    </row>
    <row r="2034" spans="1:4" x14ac:dyDescent="0.2">
      <c r="A2034" s="5">
        <v>1973</v>
      </c>
      <c r="B2034" s="138">
        <f>'Cap Outlay Deprec 26'!H10</f>
        <v>80921</v>
      </c>
      <c r="D2034" s="2" t="str">
        <f t="shared" si="30"/>
        <v>Error?</v>
      </c>
    </row>
    <row r="2035" spans="1:4" x14ac:dyDescent="0.2">
      <c r="A2035" s="5">
        <v>1974</v>
      </c>
      <c r="B2035" s="138">
        <f>'Cap Outlay Deprec 26'!H12</f>
        <v>224633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3389960</v>
      </c>
      <c r="C2037" s="2" t="s">
        <v>594</v>
      </c>
      <c r="D2037" s="2" t="str">
        <f t="shared" si="30"/>
        <v>Error?</v>
      </c>
    </row>
    <row r="2038" spans="1:4" x14ac:dyDescent="0.2">
      <c r="A2038" s="10">
        <v>1977</v>
      </c>
      <c r="D2038" s="2" t="str">
        <f t="shared" si="30"/>
        <v>OK</v>
      </c>
    </row>
    <row r="2039" spans="1:4" x14ac:dyDescent="0.2">
      <c r="A2039" s="5">
        <v>1978</v>
      </c>
      <c r="B2039" s="138">
        <f>'Cap Outlay Deprec 26'!I8</f>
        <v>127523</v>
      </c>
      <c r="D2039" s="2" t="str">
        <f t="shared" si="30"/>
        <v>Error?</v>
      </c>
    </row>
    <row r="2040" spans="1:4" x14ac:dyDescent="0.2">
      <c r="A2040" s="5">
        <v>1979</v>
      </c>
      <c r="B2040" s="138">
        <f>'Cap Outlay Deprec 26'!I10</f>
        <v>2132</v>
      </c>
      <c r="D2040" s="2" t="str">
        <f t="shared" si="30"/>
        <v>Error?</v>
      </c>
    </row>
    <row r="2041" spans="1:4" x14ac:dyDescent="0.2">
      <c r="A2041" s="5">
        <v>1980</v>
      </c>
      <c r="B2041" s="138">
        <f>'Cap Outlay Deprec 26'!I12</f>
        <v>33675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163330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15574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15574</v>
      </c>
      <c r="C2049" s="2" t="s">
        <v>594</v>
      </c>
      <c r="D2049" s="2" t="str">
        <f t="shared" si="31"/>
        <v>Error?</v>
      </c>
    </row>
    <row r="2050" spans="1:4" x14ac:dyDescent="0.2">
      <c r="A2050" s="10">
        <v>1989</v>
      </c>
      <c r="D2050" s="2" t="str">
        <f t="shared" si="31"/>
        <v>OK</v>
      </c>
    </row>
    <row r="2051" spans="1:4" x14ac:dyDescent="0.2">
      <c r="A2051" s="5">
        <v>1990</v>
      </c>
      <c r="B2051" s="138">
        <f>'Cap Outlay Deprec 26'!K8</f>
        <v>3211929</v>
      </c>
      <c r="C2051" s="2" t="s">
        <v>594</v>
      </c>
      <c r="D2051" s="2" t="str">
        <f t="shared" si="31"/>
        <v>Error?</v>
      </c>
    </row>
    <row r="2052" spans="1:4" x14ac:dyDescent="0.2">
      <c r="A2052" s="5">
        <v>1991</v>
      </c>
      <c r="B2052" s="138">
        <f>'Cap Outlay Deprec 26'!K10</f>
        <v>83053</v>
      </c>
      <c r="C2052" s="2" t="s">
        <v>594</v>
      </c>
      <c r="D2052" s="2" t="str">
        <f t="shared" si="31"/>
        <v>Error?</v>
      </c>
    </row>
    <row r="2053" spans="1:4" x14ac:dyDescent="0.2">
      <c r="A2053" s="5">
        <v>1992</v>
      </c>
      <c r="B2053" s="138">
        <f>'Cap Outlay Deprec 26'!K12</f>
        <v>242734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3537716</v>
      </c>
      <c r="C2055" s="2" t="s">
        <v>594</v>
      </c>
      <c r="D2055" s="2" t="str">
        <f t="shared" si="31"/>
        <v>Error?</v>
      </c>
    </row>
    <row r="2056" spans="1:4" x14ac:dyDescent="0.2">
      <c r="A2056" s="5">
        <v>1995</v>
      </c>
      <c r="B2056" s="138">
        <f>'Cap Outlay Deprec 26'!L5</f>
        <v>106338</v>
      </c>
      <c r="C2056" s="2" t="s">
        <v>594</v>
      </c>
      <c r="D2056" s="2" t="str">
        <f t="shared" si="31"/>
        <v>Error?</v>
      </c>
    </row>
    <row r="2057" spans="1:4" x14ac:dyDescent="0.2">
      <c r="A2057" s="5">
        <v>1996</v>
      </c>
      <c r="B2057" s="138">
        <f>'Cap Outlay Deprec 26'!L8</f>
        <v>3925216</v>
      </c>
      <c r="C2057" s="2" t="s">
        <v>594</v>
      </c>
      <c r="D2057" s="2" t="str">
        <f t="shared" si="31"/>
        <v>Error?</v>
      </c>
    </row>
    <row r="2058" spans="1:4" x14ac:dyDescent="0.2">
      <c r="A2058" s="5">
        <v>1997</v>
      </c>
      <c r="B2058" s="138">
        <f>'Cap Outlay Deprec 26'!L10</f>
        <v>17905</v>
      </c>
      <c r="C2058" s="2" t="s">
        <v>594</v>
      </c>
      <c r="D2058" s="2" t="str">
        <f t="shared" si="31"/>
        <v>Error?</v>
      </c>
    </row>
    <row r="2059" spans="1:4" x14ac:dyDescent="0.2">
      <c r="A2059" s="5">
        <v>1998</v>
      </c>
      <c r="B2059" s="138">
        <f>'Cap Outlay Deprec 26'!L12</f>
        <v>107592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4157051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15346</v>
      </c>
      <c r="C2088" s="2" t="s">
        <v>594</v>
      </c>
      <c r="D2088" s="2" t="str">
        <f t="shared" si="31"/>
        <v>Error?</v>
      </c>
    </row>
    <row r="2089" spans="1:4" x14ac:dyDescent="0.2">
      <c r="A2089" s="5">
        <v>2028</v>
      </c>
      <c r="B2089" s="138">
        <f>'Expenditures 15-22'!K92</f>
        <v>66427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233235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577602</v>
      </c>
      <c r="C2551" s="2" t="s">
        <v>594</v>
      </c>
      <c r="D2551" s="2" t="str">
        <f t="shared" si="38"/>
        <v>Error?</v>
      </c>
    </row>
    <row r="2552" spans="1:4" x14ac:dyDescent="0.2">
      <c r="A2552" s="10">
        <v>2491</v>
      </c>
      <c r="D2552" s="2" t="str">
        <f t="shared" si="38"/>
        <v>OK</v>
      </c>
    </row>
    <row r="2553" spans="1:4" x14ac:dyDescent="0.2">
      <c r="A2553" s="5">
        <v>2492</v>
      </c>
      <c r="B2553" s="138">
        <f>'Acct Summary 7-8'!C6</f>
        <v>2707827</v>
      </c>
      <c r="C2553" s="2" t="s">
        <v>594</v>
      </c>
      <c r="D2553" s="2" t="str">
        <f t="shared" si="38"/>
        <v>Error?</v>
      </c>
    </row>
    <row r="2554" spans="1:4" x14ac:dyDescent="0.2">
      <c r="A2554" s="5">
        <v>2493</v>
      </c>
      <c r="B2554" s="138">
        <f>'Acct Summary 7-8'!C7</f>
        <v>406300</v>
      </c>
      <c r="C2554" s="2" t="s">
        <v>594</v>
      </c>
      <c r="D2554" s="2" t="str">
        <f t="shared" si="38"/>
        <v>Error?</v>
      </c>
    </row>
    <row r="2555" spans="1:4" x14ac:dyDescent="0.2">
      <c r="A2555" s="5">
        <v>2494</v>
      </c>
      <c r="B2555" s="138">
        <f>'Acct Summary 7-8'!C8</f>
        <v>3691729</v>
      </c>
      <c r="C2555" s="2" t="s">
        <v>594</v>
      </c>
      <c r="D2555" s="2" t="str">
        <f t="shared" si="38"/>
        <v>Error?</v>
      </c>
    </row>
    <row r="2556" spans="1:4" x14ac:dyDescent="0.2">
      <c r="A2556" s="5">
        <v>2495</v>
      </c>
      <c r="B2556" s="138">
        <f>'Acct Summary 7-8'!C12</f>
        <v>2339582</v>
      </c>
      <c r="C2556" s="2" t="s">
        <v>594</v>
      </c>
      <c r="D2556" s="2" t="str">
        <f t="shared" si="38"/>
        <v>Error?</v>
      </c>
    </row>
    <row r="2557" spans="1:4" x14ac:dyDescent="0.2">
      <c r="A2557" s="5">
        <v>2496</v>
      </c>
      <c r="B2557" s="138">
        <f>'Acct Summary 7-8'!C13</f>
        <v>940924</v>
      </c>
      <c r="C2557" s="2" t="s">
        <v>594</v>
      </c>
      <c r="D2557" s="2" t="str">
        <f t="shared" si="38"/>
        <v>Error?</v>
      </c>
    </row>
    <row r="2558" spans="1:4" x14ac:dyDescent="0.2">
      <c r="A2558" s="5">
        <v>2497</v>
      </c>
      <c r="B2558" s="138">
        <f>'Acct Summary 7-8'!C14</f>
        <v>2027</v>
      </c>
      <c r="C2558" s="2" t="s">
        <v>594</v>
      </c>
      <c r="D2558" s="2" t="str">
        <f t="shared" si="38"/>
        <v>Error?</v>
      </c>
    </row>
    <row r="2559" spans="1:4" x14ac:dyDescent="0.2">
      <c r="A2559" s="5">
        <v>2498</v>
      </c>
      <c r="B2559" s="138">
        <f>'Acct Summary 7-8'!C15</f>
        <v>81773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3364306</v>
      </c>
      <c r="C2561" s="2" t="s">
        <v>594</v>
      </c>
      <c r="D2561" s="2" t="str">
        <f t="shared" si="39"/>
        <v>Error?</v>
      </c>
    </row>
    <row r="2562" spans="1:4" x14ac:dyDescent="0.2">
      <c r="A2562" s="5">
        <v>2501</v>
      </c>
      <c r="B2562" s="138">
        <f>'Acct Summary 7-8'!C20</f>
        <v>327423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334109</v>
      </c>
      <c r="C2564" s="2" t="s">
        <v>594</v>
      </c>
      <c r="D2564" s="2" t="str">
        <f t="shared" si="39"/>
        <v>Error?</v>
      </c>
    </row>
    <row r="2565" spans="1:4" x14ac:dyDescent="0.2">
      <c r="A2565" s="10">
        <v>2504</v>
      </c>
      <c r="D2565" s="2" t="str">
        <f t="shared" si="39"/>
        <v>OK</v>
      </c>
    </row>
    <row r="2566" spans="1:4" x14ac:dyDescent="0.2">
      <c r="A2566" s="5">
        <v>2505</v>
      </c>
      <c r="B2566" s="138">
        <f>'Acct Summary 7-8'!D6</f>
        <v>35000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369109</v>
      </c>
      <c r="C2568" s="2" t="s">
        <v>594</v>
      </c>
      <c r="D2568" s="2" t="str">
        <f t="shared" si="39"/>
        <v>Error?</v>
      </c>
    </row>
    <row r="2569" spans="1:4" x14ac:dyDescent="0.2">
      <c r="A2569" s="5">
        <v>2508</v>
      </c>
      <c r="B2569" s="138">
        <f>'Acct Summary 7-8'!D13</f>
        <v>328005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328005</v>
      </c>
      <c r="C2573" s="2" t="s">
        <v>594</v>
      </c>
      <c r="D2573" s="2" t="str">
        <f t="shared" si="39"/>
        <v>Error?</v>
      </c>
    </row>
    <row r="2574" spans="1:4" x14ac:dyDescent="0.2">
      <c r="A2574" s="5">
        <v>2513</v>
      </c>
      <c r="B2574" s="138">
        <f>'Acct Summary 7-8'!D20</f>
        <v>41104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47364</v>
      </c>
      <c r="C2591" s="2" t="s">
        <v>594</v>
      </c>
      <c r="D2591" s="2" t="str">
        <f t="shared" si="39"/>
        <v>Error?</v>
      </c>
    </row>
    <row r="2592" spans="1:4" x14ac:dyDescent="0.2">
      <c r="A2592" s="10">
        <v>2531</v>
      </c>
      <c r="D2592" s="2" t="str">
        <f t="shared" si="39"/>
        <v>OK</v>
      </c>
    </row>
    <row r="2593" spans="1:4" x14ac:dyDescent="0.2">
      <c r="A2593" s="5">
        <v>2532</v>
      </c>
      <c r="B2593" s="138">
        <f>'Acct Summary 7-8'!F6</f>
        <v>206980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254344</v>
      </c>
      <c r="C2595" s="2" t="s">
        <v>594</v>
      </c>
      <c r="D2595" s="2" t="str">
        <f t="shared" si="39"/>
        <v>Error?</v>
      </c>
    </row>
    <row r="2596" spans="1:4" x14ac:dyDescent="0.2">
      <c r="A2596" s="5">
        <v>2535</v>
      </c>
      <c r="B2596" s="138">
        <f>'Acct Summary 7-8'!F13</f>
        <v>200515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200515</v>
      </c>
      <c r="C2600" s="2" t="s">
        <v>594</v>
      </c>
      <c r="D2600" s="2" t="str">
        <f t="shared" si="39"/>
        <v>Error?</v>
      </c>
    </row>
    <row r="2601" spans="1:4" x14ac:dyDescent="0.2">
      <c r="A2601" s="5">
        <v>2540</v>
      </c>
      <c r="B2601" s="138">
        <f>'Acct Summary 7-8'!F20</f>
        <v>53829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128486</v>
      </c>
      <c r="C2603" s="2" t="s">
        <v>594</v>
      </c>
      <c r="D2603" s="2" t="str">
        <f t="shared" si="39"/>
        <v>Error?</v>
      </c>
    </row>
    <row r="2604" spans="1:4" x14ac:dyDescent="0.2">
      <c r="A2604" s="5">
        <v>2543</v>
      </c>
      <c r="B2604" s="138">
        <f>'Acct Summary 7-8'!G6</f>
        <v>21000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149486</v>
      </c>
      <c r="C2606" s="2" t="s">
        <v>594</v>
      </c>
      <c r="D2606" s="2" t="str">
        <f t="shared" si="39"/>
        <v>Error?</v>
      </c>
    </row>
    <row r="2607" spans="1:4" x14ac:dyDescent="0.2">
      <c r="A2607" s="5">
        <v>2546</v>
      </c>
      <c r="B2607" s="138">
        <f>'Acct Summary 7-8'!G12</f>
        <v>58434</v>
      </c>
      <c r="C2607" s="2" t="s">
        <v>594</v>
      </c>
      <c r="D2607" s="2" t="str">
        <f t="shared" si="39"/>
        <v>Error?</v>
      </c>
    </row>
    <row r="2608" spans="1:4" x14ac:dyDescent="0.2">
      <c r="A2608" s="5">
        <v>2547</v>
      </c>
      <c r="B2608" s="138">
        <f>'Acct Summary 7-8'!G13</f>
        <v>63841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122275</v>
      </c>
      <c r="C2612" s="2" t="s">
        <v>594</v>
      </c>
      <c r="D2612" s="2" t="str">
        <f t="shared" si="39"/>
        <v>Error?</v>
      </c>
    </row>
    <row r="2613" spans="1:4" x14ac:dyDescent="0.2">
      <c r="A2613" s="5">
        <v>2552</v>
      </c>
      <c r="B2613" s="138">
        <f>'Acct Summary 7-8'!G20</f>
        <v>27211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1669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1669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102487</v>
      </c>
      <c r="C2634" s="2" t="s">
        <v>594</v>
      </c>
      <c r="D2634" s="2" t="str">
        <f t="shared" si="40"/>
        <v>Error?</v>
      </c>
    </row>
    <row r="2635" spans="1:4" x14ac:dyDescent="0.2">
      <c r="A2635" s="5">
        <v>2574</v>
      </c>
      <c r="B2635" s="138">
        <f>'Acct Summary 7-8'!E17</f>
        <v>102487</v>
      </c>
      <c r="C2635" s="2" t="s">
        <v>594</v>
      </c>
      <c r="D2635" s="2" t="str">
        <f t="shared" si="40"/>
        <v>Error?</v>
      </c>
    </row>
    <row r="2636" spans="1:4" x14ac:dyDescent="0.2">
      <c r="A2636" s="5">
        <v>2575</v>
      </c>
      <c r="B2636" s="138">
        <f>'Acct Summary 7-8'!E20</f>
        <v>-100818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15346</v>
      </c>
      <c r="C2789" s="2" t="s">
        <v>594</v>
      </c>
      <c r="D2789" s="2" t="str">
        <f t="shared" si="42"/>
        <v>Error?</v>
      </c>
    </row>
    <row r="2790" spans="1:4" x14ac:dyDescent="0.2">
      <c r="A2790" s="5">
        <v>2729</v>
      </c>
      <c r="B2790" s="138">
        <f>'Expenditures 15-22'!E102</f>
        <v>15346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620659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67793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620659</v>
      </c>
      <c r="D2912" s="2" t="str">
        <f t="shared" si="44"/>
        <v>Error?</v>
      </c>
    </row>
    <row r="2913" spans="1:4" x14ac:dyDescent="0.2">
      <c r="A2913" s="5">
        <v>2852</v>
      </c>
      <c r="B2913" s="138">
        <f>'Assets-Liab 5-6'!I41</f>
        <v>620659</v>
      </c>
      <c r="C2913" s="2" t="s">
        <v>594</v>
      </c>
      <c r="D2913" s="2" t="str">
        <f t="shared" si="44"/>
        <v>Error?</v>
      </c>
    </row>
    <row r="2914" spans="1:4" x14ac:dyDescent="0.2">
      <c r="A2914" s="5">
        <v>2853</v>
      </c>
      <c r="B2914" s="138">
        <f>'Assets-Liab 5-6'!L33</f>
        <v>67793</v>
      </c>
      <c r="D2914" s="2" t="str">
        <f t="shared" si="44"/>
        <v>Error?</v>
      </c>
    </row>
    <row r="2915" spans="1:4" x14ac:dyDescent="0.2">
      <c r="A2915" s="10">
        <v>2854</v>
      </c>
      <c r="D2915" s="2" t="str">
        <f t="shared" si="44"/>
        <v>OK</v>
      </c>
    </row>
    <row r="2916" spans="1:4" x14ac:dyDescent="0.2">
      <c r="A2916" s="5">
        <v>2855</v>
      </c>
      <c r="B2916" s="138">
        <f>'Assets-Liab 5-6'!L34</f>
        <v>67793</v>
      </c>
      <c r="C2916" s="2" t="s">
        <v>594</v>
      </c>
      <c r="D2916" s="2" t="str">
        <f t="shared" si="44"/>
        <v>Error?</v>
      </c>
    </row>
    <row r="2917" spans="1:4" x14ac:dyDescent="0.2">
      <c r="A2917" s="5">
        <v>2856</v>
      </c>
      <c r="B2917" s="138">
        <f>'Assets-Liab 5-6'!L41</f>
        <v>67793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15346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15346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77719</v>
      </c>
      <c r="D3055" s="2" t="str">
        <f t="shared" si="46"/>
        <v>Error?</v>
      </c>
    </row>
    <row r="3056" spans="1:4" x14ac:dyDescent="0.2">
      <c r="A3056" s="5">
        <v>2995</v>
      </c>
      <c r="B3056" s="138">
        <f>'Expenditures 15-22'!D10</f>
        <v>7690</v>
      </c>
      <c r="D3056" s="2" t="str">
        <f t="shared" si="46"/>
        <v>Error?</v>
      </c>
    </row>
    <row r="3057" spans="1:4" x14ac:dyDescent="0.2">
      <c r="A3057" s="5">
        <v>2996</v>
      </c>
      <c r="B3057" s="138">
        <f>'Expenditures 15-22'!E10</f>
        <v>18954</v>
      </c>
      <c r="D3057" s="2" t="str">
        <f t="shared" si="46"/>
        <v>Error?</v>
      </c>
    </row>
    <row r="3058" spans="1:4" x14ac:dyDescent="0.2">
      <c r="A3058" s="5">
        <v>2997</v>
      </c>
      <c r="B3058" s="138">
        <f>'Expenditures 15-22'!F10</f>
        <v>49347</v>
      </c>
      <c r="D3058" s="2" t="str">
        <f t="shared" si="46"/>
        <v>Error?</v>
      </c>
    </row>
    <row r="3059" spans="1:4" x14ac:dyDescent="0.2">
      <c r="A3059" s="5">
        <v>2998</v>
      </c>
      <c r="B3059" s="138">
        <f>'Expenditures 15-22'!G10</f>
        <v>8396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162106</v>
      </c>
      <c r="C3062" s="2" t="s">
        <v>594</v>
      </c>
      <c r="D3062" s="2" t="str">
        <f t="shared" si="46"/>
        <v>Error?</v>
      </c>
    </row>
    <row r="3063" spans="1:4" x14ac:dyDescent="0.2">
      <c r="A3063" s="10">
        <v>3002</v>
      </c>
      <c r="D3063" s="2" t="str">
        <f t="shared" si="46"/>
        <v>OK</v>
      </c>
    </row>
    <row r="3064" spans="1:4" x14ac:dyDescent="0.2">
      <c r="A3064" s="5">
        <v>3003</v>
      </c>
      <c r="B3064" s="138">
        <f>'Expenditures 15-22'!D219</f>
        <v>11979</v>
      </c>
      <c r="D3064" s="2" t="str">
        <f t="shared" si="46"/>
        <v>Error?</v>
      </c>
    </row>
    <row r="3065" spans="1:4" x14ac:dyDescent="0.2">
      <c r="A3065" s="5">
        <v>3004</v>
      </c>
      <c r="B3065" s="138">
        <f>'Expenditures 15-22'!K219</f>
        <v>11979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11491</v>
      </c>
      <c r="C3225" s="2" t="s">
        <v>594</v>
      </c>
      <c r="D3225" s="2" t="str">
        <f t="shared" si="49"/>
        <v>Error?</v>
      </c>
    </row>
    <row r="3226" spans="1:4" x14ac:dyDescent="0.2">
      <c r="A3226" s="5">
        <v>3165</v>
      </c>
      <c r="B3226" s="138">
        <f>'Acct Summary 7-8'!I8</f>
        <v>11491</v>
      </c>
      <c r="C3226" s="2" t="s">
        <v>594</v>
      </c>
      <c r="D3226" s="2" t="str">
        <f t="shared" si="49"/>
        <v>Error?</v>
      </c>
    </row>
    <row r="3227" spans="1:4" x14ac:dyDescent="0.2">
      <c r="A3227" s="5">
        <v>3166</v>
      </c>
      <c r="B3227" s="138">
        <f>'Acct Summary 7-8'!I20</f>
        <v>11491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310</v>
      </c>
      <c r="D3230" s="2" t="str">
        <f t="shared" si="49"/>
        <v>Error?</v>
      </c>
    </row>
    <row r="3231" spans="1:4" x14ac:dyDescent="0.2">
      <c r="A3231" s="5">
        <v>3170</v>
      </c>
      <c r="B3231" s="138">
        <f>'Acct Summary 7-8'!C76</f>
        <v>310</v>
      </c>
      <c r="C3231" s="2" t="s">
        <v>594</v>
      </c>
      <c r="D3231" s="2" t="str">
        <f t="shared" si="49"/>
        <v>Error?</v>
      </c>
    </row>
    <row r="3232" spans="1:4" x14ac:dyDescent="0.2">
      <c r="A3232" s="5">
        <v>3171</v>
      </c>
      <c r="B3232" s="138">
        <f>'Acct Summary 7-8'!C77</f>
        <v>-310</v>
      </c>
      <c r="C3232" s="2" t="s">
        <v>594</v>
      </c>
      <c r="D3232" s="2" t="str">
        <f t="shared" si="49"/>
        <v>Error?</v>
      </c>
    </row>
    <row r="3233" spans="1:4" x14ac:dyDescent="0.2">
      <c r="A3233" s="5">
        <v>3172</v>
      </c>
      <c r="B3233" s="138">
        <f>'Acct Summary 7-8'!C78</f>
        <v>327113</v>
      </c>
      <c r="C3233" s="2" t="s">
        <v>594</v>
      </c>
      <c r="D3233" s="2" t="str">
        <f t="shared" si="49"/>
        <v>Error?</v>
      </c>
    </row>
    <row r="3234" spans="1:4" x14ac:dyDescent="0.2">
      <c r="A3234" s="5">
        <v>3173</v>
      </c>
      <c r="B3234" s="138">
        <f>'Acct Summary 7-8'!D43</f>
        <v>310</v>
      </c>
      <c r="D3234" s="2" t="str">
        <f t="shared" si="49"/>
        <v>Error?</v>
      </c>
    </row>
    <row r="3235" spans="1:4" x14ac:dyDescent="0.2">
      <c r="A3235" s="5">
        <v>3174</v>
      </c>
      <c r="B3235" s="138">
        <f>'Acct Summary 7-8'!D44</f>
        <v>310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102487</v>
      </c>
      <c r="C3237" s="2" t="s">
        <v>594</v>
      </c>
      <c r="D3237" s="2" t="str">
        <f t="shared" si="49"/>
        <v>Error?</v>
      </c>
    </row>
    <row r="3238" spans="1:4" x14ac:dyDescent="0.2">
      <c r="A3238" s="5">
        <v>3177</v>
      </c>
      <c r="B3238" s="138">
        <f>'Acct Summary 7-8'!D77</f>
        <v>-102177</v>
      </c>
      <c r="C3238" s="2" t="s">
        <v>594</v>
      </c>
      <c r="D3238" s="2" t="str">
        <f t="shared" si="49"/>
        <v>Error?</v>
      </c>
    </row>
    <row r="3239" spans="1:4" x14ac:dyDescent="0.2">
      <c r="A3239" s="5">
        <v>3178</v>
      </c>
      <c r="B3239" s="138">
        <f>'Acct Summary 7-8'!D78</f>
        <v>-61073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53829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27211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102487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102487</v>
      </c>
      <c r="C3277" s="2" t="s">
        <v>594</v>
      </c>
      <c r="D3277" s="2" t="str">
        <f t="shared" si="50"/>
        <v>Error?</v>
      </c>
    </row>
    <row r="3278" spans="1:4" x14ac:dyDescent="0.2">
      <c r="A3278" s="5">
        <v>3217</v>
      </c>
      <c r="B3278" s="138">
        <f>'Acct Summary 7-8'!E78</f>
        <v>1669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464469</v>
      </c>
      <c r="C3317" s="2" t="s">
        <v>594</v>
      </c>
      <c r="D3317" s="2" t="str">
        <f t="shared" si="50"/>
        <v>Error?</v>
      </c>
    </row>
    <row r="3318" spans="1:4" x14ac:dyDescent="0.2">
      <c r="A3318" s="5">
        <v>3257</v>
      </c>
      <c r="B3318" s="138">
        <f>'Acct Summary 7-8'!I76</f>
        <v>11154</v>
      </c>
      <c r="C3318" s="2" t="s">
        <v>594</v>
      </c>
      <c r="D3318" s="2" t="str">
        <f t="shared" si="50"/>
        <v>Error?</v>
      </c>
    </row>
    <row r="3319" spans="1:4" x14ac:dyDescent="0.2">
      <c r="A3319" s="5">
        <v>3258</v>
      </c>
      <c r="B3319" s="138">
        <f>'Acct Summary 7-8'!I77</f>
        <v>453315</v>
      </c>
      <c r="C3319" s="2" t="s">
        <v>594</v>
      </c>
      <c r="D3319" s="2" t="str">
        <f t="shared" si="50"/>
        <v>Error?</v>
      </c>
    </row>
    <row r="3320" spans="1:4" x14ac:dyDescent="0.2">
      <c r="A3320" s="5">
        <v>3259</v>
      </c>
      <c r="B3320" s="138">
        <f>'Acct Summary 7-8'!I78</f>
        <v>464806</v>
      </c>
      <c r="C3320" s="2" t="s">
        <v>594</v>
      </c>
      <c r="D3320" s="2" t="str">
        <f t="shared" si="50"/>
        <v>Error?</v>
      </c>
    </row>
    <row r="3321" spans="1:4" x14ac:dyDescent="0.2">
      <c r="A3321" s="5">
        <v>3260</v>
      </c>
      <c r="B3321" s="138">
        <f>'Acct Summary 7-8'!I79</f>
        <v>155853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620659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426207</v>
      </c>
      <c r="D3366" s="2" t="str">
        <f t="shared" si="51"/>
        <v>Error?</v>
      </c>
    </row>
    <row r="3367" spans="1:4" x14ac:dyDescent="0.2">
      <c r="A3367" s="5">
        <v>3306</v>
      </c>
      <c r="B3367" s="138">
        <f>'Expenditures 15-22'!C19</f>
        <v>500</v>
      </c>
      <c r="D3367" s="2" t="str">
        <f t="shared" si="51"/>
        <v>Error?</v>
      </c>
    </row>
    <row r="3368" spans="1:4" x14ac:dyDescent="0.2">
      <c r="A3368" s="5">
        <v>3307</v>
      </c>
      <c r="B3368" s="138">
        <f>'Expenditures 15-22'!D8</f>
        <v>80863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509179</v>
      </c>
      <c r="C3380" s="2" t="s">
        <v>594</v>
      </c>
      <c r="D3380" s="2" t="str">
        <f t="shared" si="51"/>
        <v>Error?</v>
      </c>
    </row>
    <row r="3381" spans="1:4" x14ac:dyDescent="0.2">
      <c r="A3381" s="5">
        <v>3320</v>
      </c>
      <c r="B3381" s="138">
        <f>'Expenditures 15-22'!K19</f>
        <v>500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13504</v>
      </c>
      <c r="D3387" s="2" t="str">
        <f t="shared" si="51"/>
        <v>Error?</v>
      </c>
    </row>
    <row r="3388" spans="1:4" x14ac:dyDescent="0.2">
      <c r="A3388" s="5">
        <v>3327</v>
      </c>
      <c r="B3388" s="138">
        <f>'Expenditures 15-22'!D217</f>
        <v>24470</v>
      </c>
      <c r="D3388" s="2" t="str">
        <f t="shared" si="51"/>
        <v>Error?</v>
      </c>
    </row>
    <row r="3389" spans="1:4" x14ac:dyDescent="0.2">
      <c r="A3389" s="5">
        <v>3328</v>
      </c>
      <c r="B3389" s="138">
        <f>'Expenditures 15-22'!D228</f>
        <v>82</v>
      </c>
      <c r="D3389" s="2" t="str">
        <f t="shared" si="51"/>
        <v>Error?</v>
      </c>
    </row>
    <row r="3390" spans="1:4" x14ac:dyDescent="0.2">
      <c r="A3390" s="5">
        <v>3329</v>
      </c>
      <c r="B3390" s="138">
        <f>'Expenditures 15-22'!K215</f>
        <v>13504</v>
      </c>
      <c r="C3390" s="2" t="s">
        <v>594</v>
      </c>
      <c r="D3390" s="2" t="str">
        <f t="shared" si="51"/>
        <v>Error?</v>
      </c>
    </row>
    <row r="3391" spans="1:4" x14ac:dyDescent="0.2">
      <c r="A3391" s="5">
        <v>3330</v>
      </c>
      <c r="B3391" s="138">
        <f>'Expenditures 15-22'!K217</f>
        <v>24470</v>
      </c>
      <c r="C3391" s="2" t="s">
        <v>594</v>
      </c>
      <c r="D3391" s="2" t="str">
        <f t="shared" ref="D3391:D3454" si="52">IF(ISBLANK(B3391),"OK",IF(A3391-B3391=0,"OK","Error?"))</f>
        <v>Error?</v>
      </c>
    </row>
    <row r="3392" spans="1:4" x14ac:dyDescent="0.2">
      <c r="A3392" s="5">
        <v>3331</v>
      </c>
      <c r="B3392" s="138">
        <f>'Expenditures 15-22'!K228</f>
        <v>82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349548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356319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261462</v>
      </c>
      <c r="D3417" s="2" t="str">
        <f t="shared" si="52"/>
        <v>Error?</v>
      </c>
    </row>
    <row r="3418" spans="1:4" x14ac:dyDescent="0.2">
      <c r="A3418" s="10">
        <v>3357</v>
      </c>
      <c r="D3418" s="2" t="str">
        <f t="shared" si="52"/>
        <v>OK</v>
      </c>
    </row>
    <row r="3419" spans="1:4" x14ac:dyDescent="0.2">
      <c r="A3419" s="5">
        <v>3358</v>
      </c>
      <c r="B3419" s="138">
        <f>'Assets-Liab 5-6'!F4</f>
        <v>151417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116101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331</v>
      </c>
      <c r="D3425" s="2" t="str">
        <f t="shared" si="52"/>
        <v>Error?</v>
      </c>
    </row>
    <row r="3426" spans="1:4" x14ac:dyDescent="0.2">
      <c r="A3426" s="10">
        <v>3365</v>
      </c>
      <c r="D3426" s="2" t="str">
        <f t="shared" si="52"/>
        <v>OK</v>
      </c>
    </row>
    <row r="3427" spans="1:4" x14ac:dyDescent="0.2">
      <c r="A3427" s="5">
        <v>3366</v>
      </c>
      <c r="B3427" s="138">
        <f>'Assets-Liab 5-6'!I4</f>
        <v>620659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67793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52386</v>
      </c>
      <c r="C3446" s="2" t="s">
        <v>594</v>
      </c>
      <c r="D3446" s="2" t="str">
        <f t="shared" si="52"/>
        <v>Error?</v>
      </c>
    </row>
    <row r="3447" spans="1:4" x14ac:dyDescent="0.2">
      <c r="A3447" s="5">
        <v>3386</v>
      </c>
      <c r="B3447" s="138">
        <f>'Tax Sched 23'!D16</f>
        <v>52386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65145</v>
      </c>
      <c r="C3449" s="2" t="s">
        <v>594</v>
      </c>
      <c r="D3449" s="2" t="str">
        <f t="shared" si="52"/>
        <v>Error?</v>
      </c>
    </row>
    <row r="3450" spans="1:4" x14ac:dyDescent="0.2">
      <c r="A3450" s="5">
        <v>3389</v>
      </c>
      <c r="B3450" s="138">
        <f>'Tax Sched 23'!E16</f>
        <v>65145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72152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72152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72152</v>
      </c>
      <c r="D3567" s="2" t="str">
        <f t="shared" si="54"/>
        <v>Error?</v>
      </c>
    </row>
    <row r="3568" spans="1:4" x14ac:dyDescent="0.2">
      <c r="A3568" s="5">
        <v>3507</v>
      </c>
      <c r="B3568" s="138">
        <f>'Assets-Liab 5-6'!K41</f>
        <v>72152</v>
      </c>
      <c r="C3568" s="2" t="s">
        <v>594</v>
      </c>
      <c r="D3568" s="2" t="str">
        <f t="shared" si="54"/>
        <v>Error?</v>
      </c>
    </row>
    <row r="3569" spans="1:4" x14ac:dyDescent="0.2">
      <c r="A3569" s="5">
        <v>3508</v>
      </c>
      <c r="B3569" s="138">
        <f>'Acct Summary 7-8'!K4</f>
        <v>419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419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419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419</v>
      </c>
      <c r="C3588" s="2" t="s">
        <v>594</v>
      </c>
      <c r="D3588" s="2" t="str">
        <f t="shared" si="55"/>
        <v>Error?</v>
      </c>
    </row>
    <row r="3589" spans="1:4" x14ac:dyDescent="0.2">
      <c r="A3589" s="5">
        <v>3528</v>
      </c>
      <c r="B3589" s="138">
        <f>'Acct Summary 7-8'!K79</f>
        <v>71733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72152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419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68000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1540484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5232213</v>
      </c>
      <c r="C4122" s="2" t="s">
        <v>594</v>
      </c>
      <c r="D4122" s="2" t="str">
        <f t="shared" si="63"/>
        <v>Error?</v>
      </c>
    </row>
    <row r="4123" spans="1:4" x14ac:dyDescent="0.2">
      <c r="A4123" s="5">
        <v>4062</v>
      </c>
      <c r="B4123" s="138">
        <f>'Acct Summary 7-8'!D10</f>
        <v>369109</v>
      </c>
      <c r="C4123" s="2" t="s">
        <v>594</v>
      </c>
      <c r="D4123" s="2" t="str">
        <f t="shared" si="63"/>
        <v>Error?</v>
      </c>
    </row>
    <row r="4124" spans="1:4" x14ac:dyDescent="0.2">
      <c r="A4124" s="5">
        <v>4063</v>
      </c>
      <c r="B4124" s="138">
        <f>'Acct Summary 7-8'!E10</f>
        <v>1669</v>
      </c>
      <c r="C4124" s="2" t="s">
        <v>594</v>
      </c>
      <c r="D4124" s="2" t="str">
        <f t="shared" si="63"/>
        <v>Error?</v>
      </c>
    </row>
    <row r="4125" spans="1:4" x14ac:dyDescent="0.2">
      <c r="A4125" s="5">
        <v>4064</v>
      </c>
      <c r="B4125" s="138">
        <f>'Acct Summary 7-8'!F10</f>
        <v>254344</v>
      </c>
      <c r="C4125" s="2" t="s">
        <v>594</v>
      </c>
      <c r="D4125" s="2" t="str">
        <f t="shared" si="63"/>
        <v>Error?</v>
      </c>
    </row>
    <row r="4126" spans="1:4" x14ac:dyDescent="0.2">
      <c r="A4126" s="5">
        <v>4065</v>
      </c>
      <c r="B4126" s="138">
        <f>'Acct Summary 7-8'!G10</f>
        <v>149486</v>
      </c>
      <c r="C4126" s="2" t="s">
        <v>594</v>
      </c>
      <c r="D4126" s="2" t="str">
        <f t="shared" si="63"/>
        <v>Error?</v>
      </c>
    </row>
    <row r="4127" spans="1:4" x14ac:dyDescent="0.2">
      <c r="A4127" s="5">
        <v>4066</v>
      </c>
      <c r="B4127" s="138">
        <f>'Acct Summary 7-8'!H10</f>
        <v>1</v>
      </c>
      <c r="C4127" s="2" t="s">
        <v>594</v>
      </c>
      <c r="D4127" s="2" t="str">
        <f t="shared" si="63"/>
        <v>Error?</v>
      </c>
    </row>
    <row r="4128" spans="1:4" x14ac:dyDescent="0.2">
      <c r="A4128" s="5">
        <v>4067</v>
      </c>
      <c r="B4128" s="138">
        <f>'Acct Summary 7-8'!I10</f>
        <v>11491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419</v>
      </c>
      <c r="C4130" s="2" t="s">
        <v>594</v>
      </c>
      <c r="D4130" s="2" t="str">
        <f t="shared" si="63"/>
        <v>Error?</v>
      </c>
    </row>
    <row r="4131" spans="1:4" x14ac:dyDescent="0.2">
      <c r="A4131" s="5">
        <v>4070</v>
      </c>
      <c r="B4131" s="138">
        <f>'Acct Summary 7-8'!C18</f>
        <v>1540484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4904790</v>
      </c>
      <c r="C4136" s="2" t="s">
        <v>594</v>
      </c>
      <c r="D4136" s="2" t="str">
        <f t="shared" si="63"/>
        <v>Error?</v>
      </c>
    </row>
    <row r="4137" spans="1:4" x14ac:dyDescent="0.2">
      <c r="A4137" s="5">
        <v>4076</v>
      </c>
      <c r="B4137" s="138">
        <f>'Acct Summary 7-8'!D19</f>
        <v>328005</v>
      </c>
      <c r="C4137" s="2" t="s">
        <v>594</v>
      </c>
      <c r="D4137" s="2" t="str">
        <f t="shared" si="63"/>
        <v>Error?</v>
      </c>
    </row>
    <row r="4138" spans="1:4" x14ac:dyDescent="0.2">
      <c r="A4138" s="5">
        <v>4077</v>
      </c>
      <c r="B4138" s="138">
        <f>'Acct Summary 7-8'!E19</f>
        <v>102487</v>
      </c>
      <c r="C4138" s="2" t="s">
        <v>594</v>
      </c>
      <c r="D4138" s="2" t="str">
        <f t="shared" si="63"/>
        <v>Error?</v>
      </c>
    </row>
    <row r="4139" spans="1:4" x14ac:dyDescent="0.2">
      <c r="A4139" s="5">
        <v>4078</v>
      </c>
      <c r="B4139" s="138">
        <f>'Acct Summary 7-8'!F19</f>
        <v>200515</v>
      </c>
      <c r="C4139" s="2" t="s">
        <v>594</v>
      </c>
      <c r="D4139" s="2" t="str">
        <f t="shared" si="63"/>
        <v>Error?</v>
      </c>
    </row>
    <row r="4140" spans="1:4" x14ac:dyDescent="0.2">
      <c r="A4140" s="5">
        <v>4079</v>
      </c>
      <c r="B4140" s="138">
        <f>'Acct Summary 7-8'!G19</f>
        <v>122275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453300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100700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2461.42</v>
      </c>
      <c r="C4265" s="2" t="s">
        <v>594</v>
      </c>
      <c r="D4265" s="2" t="str">
        <f t="shared" si="65"/>
        <v>Error?</v>
      </c>
      <c r="E4265" s="128"/>
    </row>
    <row r="4266" spans="1:5" x14ac:dyDescent="0.2">
      <c r="A4266" s="12">
        <v>4205</v>
      </c>
      <c r="B4266" s="138">
        <f>('FP Info 3'!F10)*100000</f>
        <v>456.67</v>
      </c>
      <c r="C4266" s="2" t="s">
        <v>594</v>
      </c>
      <c r="D4266" s="2" t="str">
        <f t="shared" si="65"/>
        <v>Error?</v>
      </c>
      <c r="E4266" s="128"/>
    </row>
    <row r="4267" spans="1:5" x14ac:dyDescent="0.2">
      <c r="A4267" s="12">
        <v>4206</v>
      </c>
      <c r="B4267" s="138">
        <f>('FP Info 3'!H10)*100000</f>
        <v>196.47300000000001</v>
      </c>
      <c r="C4267" s="2" t="s">
        <v>594</v>
      </c>
      <c r="D4267" s="2" t="str">
        <f t="shared" si="65"/>
        <v>Error?</v>
      </c>
      <c r="E4267" s="128"/>
    </row>
    <row r="4268" spans="1:5" x14ac:dyDescent="0.2">
      <c r="A4268" s="12">
        <v>4207</v>
      </c>
      <c r="B4268" s="138">
        <f>('FP Info 3'!J10)*100000</f>
        <v>3115</v>
      </c>
      <c r="C4268" s="2" t="s">
        <v>594</v>
      </c>
      <c r="D4268" s="2" t="str">
        <f t="shared" si="65"/>
        <v>Error?</v>
      </c>
    </row>
    <row r="4269" spans="1:5" x14ac:dyDescent="0.2">
      <c r="A4269" s="12">
        <v>4208</v>
      </c>
      <c r="B4269" s="138">
        <f>'FP Info 3'!J16</f>
        <v>1938625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113</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5813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33395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37683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47.791000000000004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7411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18832094</v>
      </c>
      <c r="D4995" s="2" t="str">
        <f t="shared" si="77"/>
        <v>Error?</v>
      </c>
    </row>
    <row r="4996" spans="1:4" x14ac:dyDescent="0.2">
      <c r="A4996" s="12">
        <v>4935</v>
      </c>
      <c r="B4996" s="138">
        <f>'FP Info 3'!H31</f>
        <v>2598828.9720000001</v>
      </c>
      <c r="D4996" s="2" t="str">
        <f t="shared" si="77"/>
        <v>Error?</v>
      </c>
    </row>
    <row r="4997" spans="1:4" x14ac:dyDescent="0.2">
      <c r="A4997" s="12">
        <v>4936</v>
      </c>
      <c r="B4997" s="138">
        <f>'FP Info 3'!H37</f>
        <v>453300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457716</v>
      </c>
      <c r="D5061" s="2" t="str">
        <f t="shared" si="78"/>
        <v>Error?</v>
      </c>
    </row>
    <row r="5062" spans="1:4" x14ac:dyDescent="0.2">
      <c r="A5062" s="10">
        <v>5001</v>
      </c>
      <c r="D5062" s="2" t="str">
        <f t="shared" si="78"/>
        <v>OK</v>
      </c>
    </row>
    <row r="5063" spans="1:4" x14ac:dyDescent="0.2">
      <c r="A5063" s="5">
        <v>5002</v>
      </c>
      <c r="B5063" s="138">
        <f>'Revenues 9-14'!C7</f>
        <v>7279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464995</v>
      </c>
      <c r="C5066" s="2" t="s">
        <v>594</v>
      </c>
      <c r="D5066" s="2" t="str">
        <f t="shared" si="78"/>
        <v>Error?</v>
      </c>
    </row>
    <row r="5067" spans="1:4" x14ac:dyDescent="0.2">
      <c r="A5067" s="5">
        <v>5006</v>
      </c>
      <c r="B5067" s="138">
        <f>'Revenues 9-14'!C14</f>
        <v>267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42541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42808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2513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2513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3606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7155</v>
      </c>
      <c r="C5096" s="2" t="s">
        <v>594</v>
      </c>
      <c r="D5096" s="2" t="str">
        <f t="shared" si="78"/>
        <v>Error?</v>
      </c>
    </row>
    <row r="5097" spans="1:4" x14ac:dyDescent="0.2">
      <c r="A5097" s="5">
        <v>5036</v>
      </c>
      <c r="B5097" s="138">
        <f>'Revenues 9-14'!C77</f>
        <v>26958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26958</v>
      </c>
      <c r="C5102" s="2" t="s">
        <v>594</v>
      </c>
      <c r="D5102" s="2" t="str">
        <f t="shared" si="78"/>
        <v>Error?</v>
      </c>
    </row>
    <row r="5103" spans="1:4" x14ac:dyDescent="0.2">
      <c r="A5103" s="5">
        <v>5042</v>
      </c>
      <c r="B5103" s="138">
        <f>'Revenues 9-14'!C84</f>
        <v>8426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18564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4183</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24747</v>
      </c>
      <c r="C5120" s="2" t="s">
        <v>594</v>
      </c>
      <c r="D5120" s="2" t="str">
        <f t="shared" si="79"/>
        <v>Error?</v>
      </c>
    </row>
    <row r="5121" spans="1:4" x14ac:dyDescent="0.2">
      <c r="A5121" s="5">
        <v>5060</v>
      </c>
      <c r="B5121" s="138">
        <f>'Revenues 9-14'!C109</f>
        <v>577602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2473787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2473787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30426</v>
      </c>
      <c r="D5134" s="2" t="str">
        <f t="shared" si="79"/>
        <v>Error?</v>
      </c>
    </row>
    <row r="5135" spans="1:4" x14ac:dyDescent="0.2">
      <c r="A5135" s="5">
        <v>5074</v>
      </c>
      <c r="B5135" s="138">
        <f>'Revenues 9-14'!C126</f>
        <v>39933</v>
      </c>
      <c r="D5135" s="2" t="str">
        <f t="shared" si="79"/>
        <v>Error?</v>
      </c>
    </row>
    <row r="5136" spans="1:4" x14ac:dyDescent="0.2">
      <c r="A5136" s="10">
        <v>5075</v>
      </c>
      <c r="D5136" s="2" t="str">
        <f t="shared" si="79"/>
        <v>OK</v>
      </c>
    </row>
    <row r="5137" spans="1:4" x14ac:dyDescent="0.2">
      <c r="A5137" s="5">
        <v>5076</v>
      </c>
      <c r="B5137" s="138">
        <f>'Revenues 9-14'!C127</f>
        <v>9591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79950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150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4150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2968</v>
      </c>
      <c r="D5167" s="2" t="str">
        <f t="shared" si="79"/>
        <v>Error?</v>
      </c>
    </row>
    <row r="5168" spans="1:4" x14ac:dyDescent="0.2">
      <c r="A5168" s="5">
        <v>5107</v>
      </c>
      <c r="B5168" s="138">
        <f>'Revenues 9-14'!C147</f>
        <v>6846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140126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234040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2707827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125948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47188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173136</v>
      </c>
      <c r="C5246" s="2" t="s">
        <v>594</v>
      </c>
      <c r="D5246" s="2" t="str">
        <f t="shared" si="80"/>
        <v>Error?</v>
      </c>
    </row>
    <row r="5247" spans="1:4" x14ac:dyDescent="0.2">
      <c r="A5247" s="5">
        <v>5186</v>
      </c>
      <c r="B5247" s="138">
        <f>'Revenues 9-14'!C203</f>
        <v>145111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145111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3638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3638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406300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406300</v>
      </c>
      <c r="C5326" s="2" t="s">
        <v>594</v>
      </c>
      <c r="D5326" s="2" t="str">
        <f t="shared" si="82"/>
        <v>Error?</v>
      </c>
    </row>
    <row r="5327" spans="1:4" x14ac:dyDescent="0.2">
      <c r="A5327" s="5">
        <v>5266</v>
      </c>
      <c r="B5327" s="138">
        <f>'Revenues 9-14'!C275</f>
        <v>3691729</v>
      </c>
      <c r="C5327" s="2" t="s">
        <v>594</v>
      </c>
      <c r="D5327" s="2" t="str">
        <f t="shared" si="82"/>
        <v>Error?</v>
      </c>
    </row>
    <row r="5328" spans="1:4" x14ac:dyDescent="0.2">
      <c r="A5328" s="5">
        <v>5267</v>
      </c>
      <c r="B5328" s="138">
        <f>'Revenues 9-14'!D5</f>
        <v>84917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84917</v>
      </c>
      <c r="C5334" s="2" t="s">
        <v>594</v>
      </c>
      <c r="D5334" s="2" t="str">
        <f t="shared" si="82"/>
        <v>Error?</v>
      </c>
    </row>
    <row r="5335" spans="1:4" x14ac:dyDescent="0.2">
      <c r="A5335" s="5">
        <v>5274</v>
      </c>
      <c r="B5335" s="138">
        <f>'Revenues 9-14'!D14</f>
        <v>49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9100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9149</v>
      </c>
      <c r="C5339" s="2" t="s">
        <v>594</v>
      </c>
      <c r="D5339" s="2" t="str">
        <f t="shared" si="82"/>
        <v>Error?</v>
      </c>
    </row>
    <row r="5340" spans="1:4" x14ac:dyDescent="0.2">
      <c r="A5340" s="5">
        <v>5279</v>
      </c>
      <c r="B5340" s="138">
        <f>'Revenues 9-14'!D65</f>
        <v>2120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237273</v>
      </c>
      <c r="D5354" s="2" t="str">
        <f t="shared" si="82"/>
        <v>Error?</v>
      </c>
    </row>
    <row r="5355" spans="1:4" x14ac:dyDescent="0.2">
      <c r="A5355" s="5">
        <v>5294</v>
      </c>
      <c r="B5355" s="138">
        <f>'Revenues 9-14'!D108</f>
        <v>237923</v>
      </c>
      <c r="C5355" s="2" t="s">
        <v>594</v>
      </c>
      <c r="D5355" s="2" t="str">
        <f t="shared" si="82"/>
        <v>Error?</v>
      </c>
    </row>
    <row r="5356" spans="1:4" x14ac:dyDescent="0.2">
      <c r="A5356" s="5">
        <v>5295</v>
      </c>
      <c r="B5356" s="138">
        <f>'Revenues 9-14'!D109</f>
        <v>334109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369109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1669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1669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1669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1669</v>
      </c>
      <c r="C5552" s="2" t="s">
        <v>594</v>
      </c>
      <c r="D5552" s="2" t="str">
        <f t="shared" si="85"/>
        <v>Error?</v>
      </c>
    </row>
    <row r="5553" spans="1:4" x14ac:dyDescent="0.2">
      <c r="A5553" s="5">
        <v>5492</v>
      </c>
      <c r="B5553" s="138">
        <f>'Revenues 9-14'!F5</f>
        <v>36392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36392</v>
      </c>
      <c r="C5557" s="2" t="s">
        <v>594</v>
      </c>
      <c r="D5557" s="2" t="str">
        <f t="shared" si="85"/>
        <v>Error?</v>
      </c>
    </row>
    <row r="5558" spans="1:4" x14ac:dyDescent="0.2">
      <c r="A5558" s="5">
        <v>5497</v>
      </c>
      <c r="B5558" s="138">
        <f>'Revenues 9-14'!F14</f>
        <v>21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10100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10121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47364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86000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86000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63203</v>
      </c>
      <c r="D5615" s="2" t="str">
        <f t="shared" si="86"/>
        <v>Error?</v>
      </c>
    </row>
    <row r="5616" spans="1:4" x14ac:dyDescent="0.2">
      <c r="A5616" s="10">
        <v>5555</v>
      </c>
      <c r="D5616" s="2" t="str">
        <f t="shared" si="86"/>
        <v>OK</v>
      </c>
    </row>
    <row r="5617" spans="1:4" x14ac:dyDescent="0.2">
      <c r="A5617" s="5">
        <v>5556</v>
      </c>
      <c r="B5617" s="138">
        <f>'Revenues 9-14'!F152</f>
        <v>57777</v>
      </c>
      <c r="D5617" s="2" t="str">
        <f t="shared" si="86"/>
        <v>Error?</v>
      </c>
    </row>
    <row r="5618" spans="1:4" x14ac:dyDescent="0.2">
      <c r="A5618" s="5">
        <v>5557</v>
      </c>
      <c r="B5618" s="138">
        <f>'Revenues 9-14'!F154</f>
        <v>120980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120980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206980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254344</v>
      </c>
      <c r="C5720" s="2" t="s">
        <v>594</v>
      </c>
      <c r="D5720" s="2" t="str">
        <f t="shared" si="88"/>
        <v>Error?</v>
      </c>
    </row>
    <row r="5721" spans="1:4" x14ac:dyDescent="0.2">
      <c r="A5721" s="5">
        <v>5660</v>
      </c>
      <c r="B5721" s="138">
        <f>'Revenues 9-14'!G5</f>
        <v>56794</v>
      </c>
      <c r="D5721" s="2" t="str">
        <f t="shared" si="88"/>
        <v>Error?</v>
      </c>
    </row>
    <row r="5722" spans="1:4" x14ac:dyDescent="0.2">
      <c r="A5722" s="5">
        <v>5661</v>
      </c>
      <c r="B5722" s="138">
        <f>'Revenues 9-14'!G7</f>
        <v>0</v>
      </c>
      <c r="D5722" s="2" t="str">
        <f t="shared" si="88"/>
        <v>Error?</v>
      </c>
    </row>
    <row r="5723" spans="1:4" x14ac:dyDescent="0.2">
      <c r="A5723" s="5">
        <v>5662</v>
      </c>
      <c r="B5723" s="138">
        <f>'Revenues 9-14'!G8</f>
        <v>52386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109180</v>
      </c>
      <c r="C5725" s="2" t="s">
        <v>594</v>
      </c>
      <c r="D5725" s="2" t="str">
        <f t="shared" si="88"/>
        <v>Error?</v>
      </c>
    </row>
    <row r="5726" spans="1:4" x14ac:dyDescent="0.2">
      <c r="A5726" s="5">
        <v>5665</v>
      </c>
      <c r="B5726" s="138">
        <f>'Revenues 9-14'!G14</f>
        <v>62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18555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18617</v>
      </c>
      <c r="C5730" s="2" t="s">
        <v>594</v>
      </c>
      <c r="D5730" s="2" t="str">
        <f t="shared" si="88"/>
        <v>Error?</v>
      </c>
    </row>
    <row r="5731" spans="1:4" x14ac:dyDescent="0.2">
      <c r="A5731" s="5">
        <v>5670</v>
      </c>
      <c r="B5731" s="138">
        <f>'Revenues 9-14'!G65</f>
        <v>689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689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21000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21000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21000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149486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v>
      </c>
      <c r="C5915" s="2" t="s">
        <v>594</v>
      </c>
      <c r="D5915" s="2" t="str">
        <f t="shared" si="91"/>
        <v>Error?</v>
      </c>
    </row>
    <row r="5916" spans="1:4" x14ac:dyDescent="0.2">
      <c r="A5916" s="5">
        <v>5855</v>
      </c>
      <c r="B5916" s="138">
        <f>'Revenues 9-14'!I5</f>
        <v>9098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9098</v>
      </c>
      <c r="C5918" s="2" t="s">
        <v>594</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594</v>
      </c>
      <c r="D5923" s="2" t="str">
        <f t="shared" si="91"/>
        <v>Error?</v>
      </c>
    </row>
    <row r="5924" spans="1:4" x14ac:dyDescent="0.2">
      <c r="A5924" s="5">
        <v>5863</v>
      </c>
      <c r="B5924" s="138">
        <f>'Revenues 9-14'!I65</f>
        <v>2388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11491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419</v>
      </c>
      <c r="C6023" s="2" t="s">
        <v>594</v>
      </c>
      <c r="D6023" s="2" t="str">
        <f t="shared" si="93"/>
        <v>Error?</v>
      </c>
    </row>
    <row r="6024" spans="1:5" x14ac:dyDescent="0.2">
      <c r="A6024" s="5">
        <v>5963</v>
      </c>
      <c r="B6024" s="138">
        <f>'Revenues 9-14'!G109</f>
        <v>128486</v>
      </c>
      <c r="C6024" s="2" t="s">
        <v>594</v>
      </c>
      <c r="D6024" s="2" t="str">
        <f t="shared" si="93"/>
        <v>Error?</v>
      </c>
    </row>
    <row r="6025" spans="1:5" x14ac:dyDescent="0.2">
      <c r="A6025" s="5">
        <v>5964</v>
      </c>
      <c r="B6025" s="138">
        <f>'Revenues 9-14'!H109</f>
        <v>1</v>
      </c>
      <c r="C6025" s="2" t="s">
        <v>594</v>
      </c>
      <c r="D6025" s="2" t="str">
        <f t="shared" si="93"/>
        <v>Error?</v>
      </c>
    </row>
    <row r="6026" spans="1:5" x14ac:dyDescent="0.2">
      <c r="A6026" s="5">
        <v>5965</v>
      </c>
      <c r="B6026" s="138">
        <f>'Revenues 9-14'!I109</f>
        <v>11491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419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3549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17940.7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396.58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131889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131889</v>
      </c>
      <c r="D6215" s="2" t="str">
        <f t="shared" si="96"/>
        <v>Error?</v>
      </c>
      <c r="E6215" s="2" t="s">
        <v>199</v>
      </c>
    </row>
    <row r="6216" spans="1:5" x14ac:dyDescent="0.2">
      <c r="A6216">
        <v>6155</v>
      </c>
      <c r="B6216" s="138">
        <f>'Assets-Liab 5-6'!J41</f>
        <v>131889</v>
      </c>
      <c r="D6216" s="2" t="str">
        <f t="shared" si="96"/>
        <v>Error?</v>
      </c>
      <c r="E6216" s="2" t="s">
        <v>199</v>
      </c>
    </row>
    <row r="6217" spans="1:5" x14ac:dyDescent="0.2">
      <c r="A6217">
        <v>6156</v>
      </c>
      <c r="B6217" s="138">
        <f>'Assets-Liab 5-6'!J4</f>
        <v>131889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156496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156496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156496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95183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95183</v>
      </c>
      <c r="D6229" s="2" t="str">
        <f t="shared" si="96"/>
        <v>Error?</v>
      </c>
      <c r="E6229" s="2" t="s">
        <v>199</v>
      </c>
    </row>
    <row r="6230" spans="1:5" x14ac:dyDescent="0.2">
      <c r="A6230">
        <v>6169</v>
      </c>
      <c r="B6230" s="138">
        <f>'Acct Summary 7-8'!J20</f>
        <v>61313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100700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1787</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11154</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61313</v>
      </c>
      <c r="D6263" s="2" t="str">
        <f t="shared" si="96"/>
        <v>Error?</v>
      </c>
      <c r="E6263" s="2" t="s">
        <v>199</v>
      </c>
    </row>
    <row r="6264" spans="1:5" x14ac:dyDescent="0.2">
      <c r="A6264">
        <v>6203</v>
      </c>
      <c r="B6264" s="138">
        <f>'Acct Summary 7-8'!J79</f>
        <v>70576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131889</v>
      </c>
      <c r="D6266" s="2" t="str">
        <f t="shared" si="96"/>
        <v>Error?</v>
      </c>
      <c r="E6266" s="2" t="s">
        <v>199</v>
      </c>
    </row>
    <row r="6267" spans="1:5" x14ac:dyDescent="0.2">
      <c r="A6267">
        <v>6206</v>
      </c>
      <c r="B6267" s="138">
        <f>'Acct Summary 7-8'!C82</f>
        <v>327113</v>
      </c>
      <c r="D6267" s="2" t="str">
        <f t="shared" si="96"/>
        <v>Error?</v>
      </c>
      <c r="E6267" s="2" t="s">
        <v>199</v>
      </c>
    </row>
    <row r="6268" spans="1:5" x14ac:dyDescent="0.2">
      <c r="A6268">
        <v>6207</v>
      </c>
      <c r="B6268" s="138">
        <f>'Acct Summary 7-8'!D82</f>
        <v>-61073</v>
      </c>
      <c r="D6268" s="2" t="str">
        <f t="shared" si="96"/>
        <v>Error?</v>
      </c>
      <c r="E6268" s="2" t="s">
        <v>199</v>
      </c>
    </row>
    <row r="6269" spans="1:5" x14ac:dyDescent="0.2">
      <c r="A6269">
        <v>6208</v>
      </c>
      <c r="B6269" s="138">
        <f>'Acct Summary 7-8'!E82</f>
        <v>1669</v>
      </c>
      <c r="D6269" s="2" t="str">
        <f t="shared" si="96"/>
        <v>Error?</v>
      </c>
      <c r="E6269" s="2" t="s">
        <v>199</v>
      </c>
    </row>
    <row r="6270" spans="1:5" x14ac:dyDescent="0.2">
      <c r="A6270">
        <v>6209</v>
      </c>
      <c r="B6270" s="138">
        <f>'Acct Summary 7-8'!F82</f>
        <v>53829</v>
      </c>
      <c r="D6270" s="2" t="str">
        <f t="shared" si="96"/>
        <v>Error?</v>
      </c>
      <c r="E6270" s="2" t="s">
        <v>199</v>
      </c>
    </row>
    <row r="6271" spans="1:5" x14ac:dyDescent="0.2">
      <c r="A6271">
        <v>6210</v>
      </c>
      <c r="B6271" s="138">
        <f>'Acct Summary 7-8'!G82</f>
        <v>27211</v>
      </c>
      <c r="D6271" s="2" t="str">
        <f t="shared" ref="D6271:D6334" si="97">IF(ISBLANK(B6271),"OK",IF(A6271-B6271=0,"OK","Error?"))</f>
        <v>Error?</v>
      </c>
      <c r="E6271" s="2" t="s">
        <v>199</v>
      </c>
    </row>
    <row r="6272" spans="1:5" x14ac:dyDescent="0.2">
      <c r="A6272">
        <v>6211</v>
      </c>
      <c r="B6272" s="138">
        <f>'Acct Summary 7-8'!H82</f>
        <v>1</v>
      </c>
      <c r="D6272" s="2" t="str">
        <f t="shared" si="97"/>
        <v>Error?</v>
      </c>
      <c r="E6272" s="2" t="s">
        <v>199</v>
      </c>
    </row>
    <row r="6273" spans="1:5" x14ac:dyDescent="0.2">
      <c r="A6273">
        <v>6212</v>
      </c>
      <c r="B6273" s="138">
        <f>'Acct Summary 7-8'!I82</f>
        <v>464806</v>
      </c>
      <c r="D6273" s="2" t="str">
        <f t="shared" si="97"/>
        <v>Error?</v>
      </c>
      <c r="E6273" s="2" t="s">
        <v>199</v>
      </c>
    </row>
    <row r="6274" spans="1:5" x14ac:dyDescent="0.2">
      <c r="A6274">
        <v>6213</v>
      </c>
      <c r="B6274" s="138">
        <f>'Acct Summary 7-8'!J82</f>
        <v>61313</v>
      </c>
      <c r="D6274" s="2" t="str">
        <f t="shared" si="97"/>
        <v>Error?</v>
      </c>
      <c r="E6274" s="2" t="s">
        <v>199</v>
      </c>
    </row>
    <row r="6275" spans="1:5" x14ac:dyDescent="0.2">
      <c r="A6275">
        <v>6214</v>
      </c>
      <c r="B6275" s="138">
        <f>'Acct Summary 7-8'!K82</f>
        <v>419</v>
      </c>
      <c r="D6275" s="2" t="str">
        <f t="shared" si="97"/>
        <v>Error?</v>
      </c>
      <c r="E6275" s="2" t="s">
        <v>199</v>
      </c>
    </row>
    <row r="6276" spans="1:5" x14ac:dyDescent="0.2">
      <c r="A6276">
        <v>6215</v>
      </c>
      <c r="B6276" s="138">
        <f>'Acct Summary 7-8'!C83</f>
        <v>0.40372857089962111</v>
      </c>
      <c r="D6276" s="2" t="str">
        <f t="shared" si="97"/>
        <v>Error?</v>
      </c>
      <c r="E6276" s="2" t="s">
        <v>199</v>
      </c>
    </row>
    <row r="6277" spans="1:5" x14ac:dyDescent="0.2">
      <c r="A6277">
        <v>6216</v>
      </c>
      <c r="B6277" s="138">
        <f>'Acct Summary 7-8'!D83</f>
        <v>-0.17139978502409359</v>
      </c>
      <c r="D6277" s="2" t="str">
        <f t="shared" si="97"/>
        <v>Error?</v>
      </c>
      <c r="E6277" s="2" t="s">
        <v>199</v>
      </c>
    </row>
    <row r="6278" spans="1:5" x14ac:dyDescent="0.2">
      <c r="A6278">
        <v>6217</v>
      </c>
      <c r="B6278" s="138">
        <f>'Acct Summary 7-8'!E83</f>
        <v>6.3833367755161364E-3</v>
      </c>
      <c r="D6278" s="2" t="str">
        <f t="shared" si="97"/>
        <v>Error?</v>
      </c>
      <c r="E6278" s="2" t="s">
        <v>199</v>
      </c>
    </row>
    <row r="6279" spans="1:5" x14ac:dyDescent="0.2">
      <c r="A6279">
        <v>6218</v>
      </c>
      <c r="B6279" s="138">
        <f>'Acct Summary 7-8'!F83</f>
        <v>0.35550169399737147</v>
      </c>
      <c r="D6279" s="2" t="str">
        <f t="shared" si="97"/>
        <v>Error?</v>
      </c>
      <c r="E6279" s="2" t="s">
        <v>199</v>
      </c>
    </row>
    <row r="6280" spans="1:5" x14ac:dyDescent="0.2">
      <c r="A6280">
        <v>6219</v>
      </c>
      <c r="B6280" s="138">
        <f>'Acct Summary 7-8'!G83</f>
        <v>0.23437351960792757</v>
      </c>
      <c r="D6280" s="2" t="str">
        <f t="shared" si="97"/>
        <v>Error?</v>
      </c>
      <c r="E6280" s="2" t="s">
        <v>199</v>
      </c>
    </row>
    <row r="6281" spans="1:5" x14ac:dyDescent="0.2">
      <c r="A6281">
        <v>6220</v>
      </c>
      <c r="B6281" s="138">
        <f>'Acct Summary 7-8'!H83</f>
        <v>3.0211480362537764E-3</v>
      </c>
      <c r="D6281" s="2" t="str">
        <f t="shared" si="97"/>
        <v>Error?</v>
      </c>
      <c r="E6281" s="2" t="s">
        <v>199</v>
      </c>
    </row>
    <row r="6282" spans="1:5" x14ac:dyDescent="0.2">
      <c r="A6282">
        <v>6221</v>
      </c>
      <c r="B6282" s="138">
        <f>'Acct Summary 7-8'!I83</f>
        <v>0.74889109801034059</v>
      </c>
      <c r="D6282" s="2" t="str">
        <f t="shared" si="97"/>
        <v>Error?</v>
      </c>
      <c r="E6282" s="2" t="s">
        <v>199</v>
      </c>
    </row>
    <row r="6283" spans="1:5" x14ac:dyDescent="0.2">
      <c r="A6283">
        <v>6222</v>
      </c>
      <c r="B6283" s="138">
        <f>'Acct Summary 7-8'!J83</f>
        <v>0.4648833488767069</v>
      </c>
      <c r="D6283" s="2" t="str">
        <f t="shared" si="97"/>
        <v>Error?</v>
      </c>
      <c r="E6283" s="2" t="s">
        <v>199</v>
      </c>
    </row>
    <row r="6284" spans="1:5" x14ac:dyDescent="0.2">
      <c r="A6284">
        <v>6223</v>
      </c>
      <c r="B6284" s="138">
        <f>'Acct Summary 7-8'!K83</f>
        <v>5.8071848320212886E-3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100700</v>
      </c>
      <c r="D6287" s="2" t="str">
        <f t="shared" si="97"/>
        <v>Error?</v>
      </c>
      <c r="E6287" s="2" t="s">
        <v>199</v>
      </c>
    </row>
    <row r="6288" spans="1:5" x14ac:dyDescent="0.2">
      <c r="A6288">
        <v>6227</v>
      </c>
      <c r="B6288" s="138">
        <f>'Acct Summary 7-8'!E40</f>
        <v>1787</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151635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151635</v>
      </c>
      <c r="D6301" s="2" t="str">
        <f t="shared" si="97"/>
        <v>Error?</v>
      </c>
      <c r="E6301" s="2" t="s">
        <v>199</v>
      </c>
    </row>
    <row r="6302" spans="1:5" x14ac:dyDescent="0.2">
      <c r="A6302">
        <v>6241</v>
      </c>
      <c r="B6302" s="138">
        <f>'Revenues 9-14'!J14</f>
        <v>87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614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614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4160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4160</v>
      </c>
      <c r="D6351" s="2" t="str">
        <f t="shared" si="98"/>
        <v>Error?</v>
      </c>
      <c r="E6351" s="2" t="s">
        <v>199</v>
      </c>
    </row>
    <row r="6352" spans="1:5" x14ac:dyDescent="0.2">
      <c r="A6352">
        <v>6291</v>
      </c>
      <c r="B6352" s="138">
        <f>'Revenues 9-14'!J109</f>
        <v>156496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4000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74690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101925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74279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65603</v>
      </c>
      <c r="D6983" s="2" t="str">
        <f t="shared" si="108"/>
        <v>Error?</v>
      </c>
    </row>
    <row r="6984" spans="1:4" x14ac:dyDescent="0.2">
      <c r="A6984">
        <v>6923</v>
      </c>
      <c r="B6984" s="138">
        <f>'Expenditures 15-22'!K86</f>
        <v>65603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824</v>
      </c>
      <c r="D6987" s="2" t="str">
        <f t="shared" si="108"/>
        <v>Error?</v>
      </c>
    </row>
    <row r="6988" spans="1:4" x14ac:dyDescent="0.2">
      <c r="A6988">
        <v>6927</v>
      </c>
      <c r="B6988" s="138">
        <f>'Expenditures 15-22'!K88</f>
        <v>824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66427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95183</v>
      </c>
      <c r="D7042" s="2" t="str">
        <f t="shared" si="109"/>
        <v>Error?</v>
      </c>
    </row>
    <row r="7043" spans="1:5" x14ac:dyDescent="0.2">
      <c r="A7043">
        <v>6982</v>
      </c>
      <c r="B7043" s="138">
        <f>'Revenues 9-14'!H9</f>
        <v>0</v>
      </c>
      <c r="D7043" s="2" t="str">
        <f t="shared" si="109"/>
        <v>Error?</v>
      </c>
    </row>
    <row r="7044" spans="1:5" x14ac:dyDescent="0.2">
      <c r="A7044">
        <v>6983</v>
      </c>
      <c r="B7044" s="138">
        <f>'Revenues 9-14'!D106</f>
        <v>650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156496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4376</v>
      </c>
      <c r="D7073" s="2" t="str">
        <f t="shared" si="109"/>
        <v>Error?</v>
      </c>
    </row>
    <row r="7074" spans="1:4" x14ac:dyDescent="0.2">
      <c r="A7074">
        <v>7013</v>
      </c>
      <c r="B7074" s="138">
        <f>'Expenditures 15-22'!K216</f>
        <v>4376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809</v>
      </c>
      <c r="D7079" s="2" t="str">
        <f t="shared" si="109"/>
        <v>Error?</v>
      </c>
    </row>
    <row r="7080" spans="1:4" x14ac:dyDescent="0.2">
      <c r="A7080">
        <v>7019</v>
      </c>
      <c r="B7080" s="138">
        <f>'Expenditures 15-22'!K226</f>
        <v>809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24454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24454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15507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15507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51243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51243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3979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3979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95183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95183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95183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95183</v>
      </c>
      <c r="D7224" s="2" t="str">
        <f t="shared" si="111"/>
        <v>Error?</v>
      </c>
    </row>
    <row r="7225" spans="1:4" x14ac:dyDescent="0.2">
      <c r="A7225">
        <v>7164</v>
      </c>
      <c r="B7225" s="138">
        <f>'Expenditures 15-22'!K343</f>
        <v>61313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14506</v>
      </c>
      <c r="D7246" s="2" t="str">
        <f t="shared" si="112"/>
        <v>Error?</v>
      </c>
    </row>
    <row r="7247" spans="1:4" x14ac:dyDescent="0.2">
      <c r="A7247">
        <f t="shared" si="113"/>
        <v>7186</v>
      </c>
      <c r="B7247" s="138">
        <f>'Expenditures 15-22'!E7</f>
        <v>2673</v>
      </c>
      <c r="D7247" s="2" t="str">
        <f t="shared" si="112"/>
        <v>Error?</v>
      </c>
    </row>
    <row r="7248" spans="1:4" x14ac:dyDescent="0.2">
      <c r="A7248">
        <f t="shared" si="113"/>
        <v>7187</v>
      </c>
      <c r="B7248" s="138">
        <f>'Expenditures 15-22'!F7</f>
        <v>10056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56281</v>
      </c>
      <c r="D7263" s="2" t="str">
        <f t="shared" si="112"/>
        <v>Error?</v>
      </c>
    </row>
    <row r="7264" spans="1:4" x14ac:dyDescent="0.2">
      <c r="A7264">
        <f t="shared" si="113"/>
        <v>7203</v>
      </c>
      <c r="B7264" s="138">
        <f>'Expenditures 15-22'!D17</f>
        <v>14465</v>
      </c>
      <c r="D7264" s="2" t="str">
        <f t="shared" si="112"/>
        <v>Error?</v>
      </c>
    </row>
    <row r="7265" spans="1:5" x14ac:dyDescent="0.2">
      <c r="A7265">
        <f t="shared" si="113"/>
        <v>7204</v>
      </c>
      <c r="B7265" s="138">
        <f>'Expenditures 15-22'!E17</f>
        <v>3215</v>
      </c>
      <c r="D7265" s="2" t="str">
        <f t="shared" si="112"/>
        <v>Error?</v>
      </c>
    </row>
    <row r="7266" spans="1:5" x14ac:dyDescent="0.2">
      <c r="A7266">
        <f t="shared" si="113"/>
        <v>7205</v>
      </c>
      <c r="B7266" s="138">
        <f>'Expenditures 15-22'!F17</f>
        <v>318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163330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260509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247</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6846</v>
      </c>
      <c r="D7714" s="2" t="str">
        <f t="shared" si="126"/>
        <v>Error?</v>
      </c>
      <c r="E7714" s="2" t="s">
        <v>881</v>
      </c>
    </row>
    <row r="7715" spans="1:6" x14ac:dyDescent="0.2">
      <c r="A7715">
        <v>7654</v>
      </c>
      <c r="B7715" s="138">
        <f>'Rest Tax Levies-Tort Im 25'!J10</f>
        <v>223931</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224178</v>
      </c>
      <c r="D7718" s="2" t="str">
        <f t="shared" si="126"/>
        <v>Error?</v>
      </c>
      <c r="E7718" s="2" t="s">
        <v>881</v>
      </c>
    </row>
    <row r="7719" spans="1:6" x14ac:dyDescent="0.2">
      <c r="A7719">
        <v>7658</v>
      </c>
      <c r="B7719" s="138">
        <f>'Rest Tax Levies-Tort Im 25'!K12</f>
        <v>6846</v>
      </c>
      <c r="D7719" s="2" t="str">
        <f t="shared" si="126"/>
        <v>Error?</v>
      </c>
      <c r="E7719" s="2" t="s">
        <v>881</v>
      </c>
    </row>
    <row r="7720" spans="1:6" x14ac:dyDescent="0.2">
      <c r="A7720">
        <v>7659</v>
      </c>
      <c r="B7720" s="138">
        <f>'Rest Tax Levies-Tort Im 25'!H14</f>
        <v>7279</v>
      </c>
      <c r="D7720" s="2" t="str">
        <f t="shared" si="126"/>
        <v>Error?</v>
      </c>
      <c r="E7720" s="2" t="s">
        <v>881</v>
      </c>
    </row>
    <row r="7721" spans="1:6" x14ac:dyDescent="0.2">
      <c r="A7721">
        <v>7660</v>
      </c>
      <c r="B7721" s="138">
        <f>'Rest Tax Levies-Tort Im 25'!K14</f>
        <v>6846</v>
      </c>
      <c r="D7721" s="2" t="str">
        <f t="shared" si="126"/>
        <v>Error?</v>
      </c>
      <c r="E7721" s="2" t="s">
        <v>881</v>
      </c>
    </row>
    <row r="7722" spans="1:6" x14ac:dyDescent="0.2">
      <c r="A7722">
        <v>7661</v>
      </c>
      <c r="B7722" s="138">
        <f>'Rest Tax Levies-Tort Im 25'!J15</f>
        <v>124607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251452</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233235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233235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126845</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90840</v>
      </c>
      <c r="D7797" s="2" t="str">
        <f t="shared" si="127"/>
        <v>Error?</v>
      </c>
      <c r="E7797" s="4" t="s">
        <v>2020</v>
      </c>
    </row>
    <row r="7798" spans="1:5" x14ac:dyDescent="0.2">
      <c r="A7798">
        <v>7737</v>
      </c>
      <c r="B7798" s="138">
        <f>'Contracts Paid in CY 29'!F141</f>
        <v>90840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7" sqref="G7:L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Carrier Mills-Stonefort CUSD 2</v>
      </c>
      <c r="B7" s="2424"/>
      <c r="C7" s="2424"/>
      <c r="D7" s="2425"/>
      <c r="E7" s="2426">
        <f>COVER!A13</f>
        <v>20083002026</v>
      </c>
      <c r="F7" s="2427"/>
      <c r="G7" s="2433">
        <f>COVER!T23</f>
        <v>65.027214000000001</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Kemper CPA Group LLP</v>
      </c>
      <c r="H9" s="2439"/>
      <c r="I9" s="2439"/>
      <c r="J9" s="2439"/>
      <c r="K9" s="2439"/>
      <c r="L9" s="2440"/>
    </row>
    <row r="10" spans="1:29" ht="13.5" customHeight="1" x14ac:dyDescent="0.2">
      <c r="A10" s="2413" t="str">
        <f>COVER!A38</f>
        <v>Bryce Jerrell</v>
      </c>
      <c r="B10" s="2414"/>
      <c r="C10" s="2414"/>
      <c r="D10" s="2414"/>
      <c r="E10" s="2414"/>
      <c r="F10" s="2415"/>
      <c r="G10" s="2407" t="str">
        <f>COVER!T17</f>
        <v>713 South Commercial</v>
      </c>
      <c r="H10" s="2408"/>
      <c r="I10" s="2408"/>
      <c r="J10" s="2408"/>
      <c r="K10" s="2408"/>
      <c r="L10" s="2409"/>
    </row>
    <row r="11" spans="1:29" ht="13.5" customHeight="1" x14ac:dyDescent="0.2">
      <c r="A11" s="1185" t="s">
        <v>1599</v>
      </c>
      <c r="B11" s="1186"/>
      <c r="C11" s="1187"/>
      <c r="D11" s="1192"/>
      <c r="E11" s="1187"/>
      <c r="F11" s="1191"/>
      <c r="G11" s="2407" t="str">
        <f>COVER!T19</f>
        <v>Harrisburg</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mdsmith@kempercpa.com</v>
      </c>
      <c r="J13" s="2420"/>
      <c r="K13" s="2420"/>
      <c r="L13" s="2421"/>
    </row>
    <row r="14" spans="1:29" ht="13.5" customHeight="1" x14ac:dyDescent="0.2">
      <c r="A14" s="2407" t="str">
        <f>COVER!A19</f>
        <v>Route 45</v>
      </c>
      <c r="B14" s="2408"/>
      <c r="C14" s="2408"/>
      <c r="D14" s="2408"/>
      <c r="E14" s="2408"/>
      <c r="F14" s="2409"/>
      <c r="G14" s="1196" t="s">
        <v>1247</v>
      </c>
      <c r="H14" s="1194"/>
      <c r="I14" s="1194"/>
      <c r="J14" s="1194"/>
      <c r="K14" s="1194"/>
      <c r="L14" s="1195"/>
    </row>
    <row r="15" spans="1:29" ht="13.5" customHeight="1" x14ac:dyDescent="0.2">
      <c r="A15" s="2407" t="str">
        <f>COVER!A21</f>
        <v xml:space="preserve">Carrier Mills </v>
      </c>
      <c r="B15" s="2408"/>
      <c r="C15" s="2408"/>
      <c r="D15" s="2408"/>
      <c r="E15" s="2408"/>
      <c r="F15" s="2409"/>
      <c r="G15" s="2404" t="str">
        <f>COVER!T15</f>
        <v>Michelle Smith, CPA</v>
      </c>
      <c r="H15" s="2405"/>
      <c r="I15" s="2405"/>
      <c r="J15" s="2405"/>
      <c r="K15" s="2405"/>
      <c r="L15" s="2406"/>
    </row>
    <row r="16" spans="1:29" ht="12.2" customHeight="1" x14ac:dyDescent="0.2">
      <c r="A16" s="2429">
        <f>COVER!A25</f>
        <v>62917</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 252-7456</v>
      </c>
      <c r="H18" s="2424"/>
      <c r="I18" s="2424"/>
      <c r="J18" s="2424"/>
      <c r="K18" s="2423" t="str">
        <f>COVER!X21</f>
        <v>(618) 253-7223</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Carrier Mills-Stonefort CUSD 2</v>
      </c>
      <c r="B1" s="2422"/>
      <c r="C1" s="2422"/>
      <c r="D1" s="2422"/>
    </row>
    <row r="2" spans="1:11" s="1215" customFormat="1" ht="12.75" x14ac:dyDescent="0.2">
      <c r="A2" s="2446">
        <f>'Single Audit Cover'!E7</f>
        <v>20083002026</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Carrier Mills-Stonefort CUSD 2</v>
      </c>
      <c r="B1" s="2449"/>
      <c r="C1" s="2449"/>
      <c r="D1" s="2449"/>
      <c r="E1" s="2449"/>
    </row>
    <row r="2" spans="1:5" x14ac:dyDescent="0.2">
      <c r="A2" s="2450">
        <f>'Single Audit Cover'!E7</f>
        <v>20083002026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406300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17940.7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-33395</v>
      </c>
    </row>
    <row r="19" spans="1:4" ht="13.5" thickBot="1" x14ac:dyDescent="0.25">
      <c r="A19" s="1265" t="s">
        <v>1297</v>
      </c>
      <c r="D19" s="1266">
        <f>SUM(D10:D17)</f>
        <v>390845.7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390845.7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390845.7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Carrier Mills-Stonefort CUSD 2</v>
      </c>
      <c r="B1" s="2462"/>
      <c r="C1" s="2462"/>
      <c r="D1" s="2462"/>
      <c r="E1" s="2462"/>
      <c r="F1" s="2462"/>
    </row>
    <row r="2" spans="1:7" ht="13.5" customHeight="1" x14ac:dyDescent="0.2">
      <c r="A2" s="2463">
        <f>'Single Audit Cover'!E7</f>
        <v>20083002026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69" t="s">
        <v>1332</v>
      </c>
      <c r="D15" s="2459" t="s">
        <v>1331</v>
      </c>
      <c r="E15" s="2459"/>
      <c r="F15" s="2459"/>
    </row>
    <row r="16" spans="1:7" ht="13.5" customHeight="1" x14ac:dyDescent="0.2">
      <c r="A16" s="1282"/>
      <c r="B16" s="1276" t="s">
        <v>1330</v>
      </c>
      <c r="C16" s="1869"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6">
        <f>+C33+C34</f>
        <v>0</v>
      </c>
      <c r="F34" s="2457"/>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8"/>
      <c r="C50" s="1868"/>
      <c r="D50" s="1868"/>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Carrier Mills-Stonefort CUSD 2</v>
      </c>
      <c r="C1" s="2466"/>
      <c r="D1" s="2466"/>
      <c r="E1" s="2466"/>
      <c r="F1" s="2466"/>
      <c r="G1" s="2466"/>
      <c r="H1" s="2466"/>
      <c r="I1" s="2466"/>
      <c r="J1" s="2466"/>
      <c r="K1" s="2466"/>
      <c r="L1" s="2466"/>
      <c r="M1" s="2466"/>
    </row>
    <row r="2" spans="2:14" ht="15" x14ac:dyDescent="0.2">
      <c r="B2" s="2463">
        <f>'Single Audit Cover'!E7</f>
        <v>20083002026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2119</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27" right="0.2" top="0.35" bottom="0.35" header="0.19" footer="0.17"/>
  <pageSetup scale="50"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Carrier Mills-Stonefort CUSD 2</v>
      </c>
      <c r="C1" s="2481"/>
      <c r="D1" s="2481"/>
      <c r="E1" s="2481"/>
      <c r="F1" s="2481"/>
      <c r="G1" s="2481"/>
      <c r="H1" s="2481"/>
      <c r="I1" s="2481"/>
      <c r="J1" s="1422"/>
    </row>
    <row r="2" spans="2:10" s="317" customFormat="1" ht="12.75" customHeight="1" x14ac:dyDescent="0.2">
      <c r="B2" s="2482">
        <f>'Single Audit Cover'!E7</f>
        <v>20083002026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Carrier Mills-Stonefort CUSD 2</v>
      </c>
      <c r="C1" s="2480"/>
      <c r="D1" s="2480"/>
      <c r="E1" s="2480"/>
      <c r="F1" s="2480"/>
      <c r="G1" s="2480"/>
      <c r="H1" s="2480"/>
      <c r="I1" s="2480"/>
      <c r="J1" s="2480"/>
      <c r="K1" s="2480"/>
      <c r="L1" s="1374"/>
      <c r="M1" s="1374"/>
    </row>
    <row r="2" spans="1:13" ht="12" customHeight="1" x14ac:dyDescent="0.2">
      <c r="B2" s="2482">
        <f>'Single Audit Cover'!E7</f>
        <v>20083002026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2157</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2158</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2161</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2159</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2160</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2156</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2155</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Carrier Mills-Stonefort CUSD 2</v>
      </c>
      <c r="C1" s="2504"/>
      <c r="D1" s="2504"/>
      <c r="E1" s="2504"/>
      <c r="F1" s="2504"/>
      <c r="G1" s="2504"/>
      <c r="H1" s="2504"/>
      <c r="I1" s="2504"/>
      <c r="J1" s="2504"/>
      <c r="K1" s="2504"/>
      <c r="L1" s="1465"/>
    </row>
    <row r="2" spans="1:12" ht="12.75" customHeight="1" x14ac:dyDescent="0.2">
      <c r="B2" s="2505">
        <f>'Single Audit Cover'!E7</f>
        <v>20083002026</v>
      </c>
      <c r="C2" s="2505"/>
      <c r="D2" s="2505"/>
      <c r="E2" s="2505"/>
      <c r="F2" s="2505"/>
      <c r="G2" s="2505"/>
      <c r="H2" s="2505"/>
      <c r="I2" s="2505"/>
      <c r="J2" s="2505"/>
      <c r="K2" s="2505"/>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0"/>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Carrier Mills-Stonefort CUSD 2</v>
      </c>
      <c r="C1" s="2480"/>
      <c r="D1" s="2480"/>
      <c r="E1" s="1491"/>
    </row>
    <row r="2" spans="2:5" s="1282" customFormat="1" ht="12.75" customHeight="1" x14ac:dyDescent="0.2">
      <c r="B2" s="2482">
        <f>'Single Audit Cover'!E7</f>
        <v>20083002026</v>
      </c>
      <c r="C2" s="2482"/>
      <c r="D2" s="2482"/>
      <c r="E2" s="1492"/>
    </row>
    <row r="3" spans="2:5" ht="12.75" customHeight="1" x14ac:dyDescent="0.2">
      <c r="B3" s="2496" t="s">
        <v>1869</v>
      </c>
      <c r="C3" s="2496"/>
      <c r="D3" s="2496"/>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960" t="s">
        <v>2152</v>
      </c>
      <c r="C7" s="2508" t="s">
        <v>2154</v>
      </c>
      <c r="D7" s="1959" t="s">
        <v>2153</v>
      </c>
      <c r="E7" s="324"/>
    </row>
    <row r="8" spans="2:5" ht="13.5" customHeight="1" x14ac:dyDescent="0.2">
      <c r="B8" s="1496"/>
      <c r="C8" s="2508"/>
      <c r="D8" s="324"/>
      <c r="E8" s="324"/>
    </row>
    <row r="9" spans="2:5" ht="13.5" customHeight="1" x14ac:dyDescent="0.2">
      <c r="B9" s="1497"/>
      <c r="C9" s="2508"/>
      <c r="D9" s="323"/>
      <c r="E9" s="323"/>
    </row>
    <row r="10" spans="2:5" ht="13.5" customHeight="1" x14ac:dyDescent="0.2">
      <c r="B10" s="1496"/>
      <c r="C10" s="2508"/>
      <c r="D10" s="323"/>
      <c r="E10" s="323"/>
    </row>
    <row r="11" spans="2:5" ht="13.5" customHeight="1" x14ac:dyDescent="0.2">
      <c r="B11" s="1496"/>
      <c r="C11" s="2508"/>
      <c r="D11" s="323"/>
      <c r="E11" s="323"/>
    </row>
    <row r="12" spans="2:5" ht="13.5" customHeight="1" x14ac:dyDescent="0.2">
      <c r="B12" s="1496"/>
      <c r="C12" s="2508"/>
      <c r="D12" s="323"/>
      <c r="E12" s="323"/>
    </row>
    <row r="13" spans="2:5" ht="13.5" customHeight="1" x14ac:dyDescent="0.2">
      <c r="B13" s="1496"/>
      <c r="C13" s="2508"/>
      <c r="D13" s="323"/>
      <c r="E13" s="323"/>
    </row>
    <row r="14" spans="2:5" ht="13.5" customHeight="1" x14ac:dyDescent="0.2">
      <c r="B14" s="1496"/>
      <c r="C14" s="2508"/>
      <c r="D14" s="323"/>
      <c r="E14" s="323"/>
    </row>
    <row r="15" spans="2:5" ht="13.5" customHeight="1" x14ac:dyDescent="0.2">
      <c r="B15" s="1496"/>
      <c r="C15" s="2508"/>
      <c r="D15" s="323"/>
      <c r="E15" s="323"/>
    </row>
    <row r="16" spans="2:5" ht="13.5" customHeight="1" x14ac:dyDescent="0.2">
      <c r="B16" s="1496"/>
      <c r="C16" s="2508"/>
      <c r="D16" s="323"/>
      <c r="E16" s="323"/>
    </row>
    <row r="17" spans="2:5" ht="13.5" customHeight="1" x14ac:dyDescent="0.2">
      <c r="B17" s="1496"/>
      <c r="C17" s="2508"/>
      <c r="D17" s="323"/>
      <c r="E17" s="323"/>
    </row>
    <row r="18" spans="2:5" ht="13.5" customHeight="1" x14ac:dyDescent="0.2">
      <c r="B18" s="1496"/>
      <c r="C18" s="2508"/>
      <c r="D18" s="323"/>
      <c r="E18" s="323"/>
    </row>
    <row r="19" spans="2:5" ht="13.5" customHeight="1" x14ac:dyDescent="0.2">
      <c r="B19" s="1496"/>
      <c r="C19" s="2508"/>
      <c r="D19" s="323"/>
      <c r="E19" s="323"/>
    </row>
    <row r="20" spans="2:5" ht="13.5" customHeight="1" x14ac:dyDescent="0.2">
      <c r="B20" s="1496"/>
      <c r="C20" s="2508"/>
      <c r="D20" s="323"/>
      <c r="E20" s="323"/>
    </row>
    <row r="21" spans="2:5" ht="13.5" customHeight="1" x14ac:dyDescent="0.2">
      <c r="B21" s="1496"/>
      <c r="C21" s="2508"/>
      <c r="D21" s="323"/>
      <c r="E21" s="323"/>
    </row>
    <row r="22" spans="2:5" ht="13.5" customHeight="1" x14ac:dyDescent="0.2">
      <c r="B22" s="1496"/>
      <c r="C22" s="2508"/>
      <c r="D22" s="323"/>
      <c r="E22" s="323"/>
    </row>
    <row r="23" spans="2:5" ht="13.5" customHeight="1" x14ac:dyDescent="0.2">
      <c r="B23" s="1496"/>
      <c r="C23" s="2508"/>
      <c r="D23" s="323"/>
      <c r="E23" s="323"/>
    </row>
    <row r="24" spans="2:5" ht="13.5" customHeight="1" x14ac:dyDescent="0.2">
      <c r="B24" s="1496"/>
      <c r="C24" s="2508"/>
      <c r="D24" s="323"/>
      <c r="E24" s="323"/>
    </row>
    <row r="25" spans="2:5" ht="13.5" customHeight="1" x14ac:dyDescent="0.2">
      <c r="B25" s="1496"/>
      <c r="C25" s="2508"/>
      <c r="D25" s="323"/>
      <c r="E25" s="323"/>
    </row>
    <row r="26" spans="2:5" ht="13.5" customHeight="1" x14ac:dyDescent="0.2">
      <c r="B26" s="1496"/>
      <c r="C26" s="2508"/>
      <c r="D26" s="323"/>
      <c r="E26" s="323"/>
    </row>
    <row r="27" spans="2:5" ht="13.5" customHeight="1" x14ac:dyDescent="0.2">
      <c r="B27" s="1496"/>
      <c r="C27" s="2508"/>
      <c r="D27" s="323"/>
      <c r="E27" s="323"/>
    </row>
    <row r="28" spans="2:5" ht="13.5" customHeight="1" x14ac:dyDescent="0.2">
      <c r="B28" s="1496"/>
      <c r="C28" s="2508"/>
      <c r="D28" s="323"/>
      <c r="E28" s="323"/>
    </row>
    <row r="29" spans="2:5" ht="13.5" customHeight="1" x14ac:dyDescent="0.2">
      <c r="B29" s="1496"/>
      <c r="C29" s="2508"/>
      <c r="D29" s="323"/>
      <c r="E29" s="323"/>
    </row>
    <row r="30" spans="2:5" ht="13.5" customHeight="1" x14ac:dyDescent="0.2">
      <c r="B30" s="1496"/>
      <c r="C30" s="2508"/>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5">
    <mergeCell ref="B1:D1"/>
    <mergeCell ref="B2:D2"/>
    <mergeCell ref="B3:D3"/>
    <mergeCell ref="B4:D4"/>
    <mergeCell ref="C7:C30"/>
  </mergeCells>
  <pageMargins left="0.25" right="0.27" top="0.68" bottom="0.53" header="0.26" footer="0.27"/>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E30" sqref="E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18832094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2.4614199999999999E-2</v>
      </c>
      <c r="E10" s="356" t="s">
        <v>1062</v>
      </c>
      <c r="F10" s="355">
        <v>4.5666999999999999E-3</v>
      </c>
      <c r="G10" s="356" t="s">
        <v>1062</v>
      </c>
      <c r="H10" s="355">
        <v>1.96473E-3</v>
      </c>
      <c r="I10" s="356" t="s">
        <v>1063</v>
      </c>
      <c r="J10" s="1754">
        <f>ROUND(D10+F10+H10,5)</f>
        <v>3.1150000000000001E-2</v>
      </c>
      <c r="K10" s="222"/>
      <c r="L10" s="355">
        <v>4.7791000000000001E-4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4326673</v>
      </c>
      <c r="E16" s="356"/>
      <c r="F16" s="1755">
        <f>SUM('Acct Summary 7-8'!C17,'Acct Summary 7-8'!D17,'Acct Summary 7-8'!F17)</f>
        <v>3892826</v>
      </c>
      <c r="G16" s="356"/>
      <c r="H16" s="1755">
        <f>SUM(D16-F16)</f>
        <v>433847</v>
      </c>
      <c r="I16" s="222"/>
      <c r="J16" s="1755">
        <f>SUM('Acct Summary 7-8'!C81,'Acct Summary 7-8'!D81,'Acct Summary 7-8'!F81,'Acct Summary 7-8'!I81)</f>
        <v>1938625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2598828.9720000001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453300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91" right="0.2" top="0.59" bottom="0.52" header="0.28000000000000003" footer="0.17"/>
  <pageSetup scale="78"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E30" sqref="E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Carrier Mills-Stonefort CUSD 2</v>
      </c>
      <c r="E7" s="391"/>
      <c r="G7" s="252"/>
      <c r="H7" s="387"/>
      <c r="I7" s="387"/>
      <c r="J7" s="387"/>
      <c r="K7" s="387"/>
      <c r="L7" s="329"/>
      <c r="M7" s="329"/>
      <c r="N7" s="329"/>
      <c r="O7" s="329"/>
      <c r="P7" s="329"/>
    </row>
    <row r="8" spans="1:18" ht="12.75" x14ac:dyDescent="0.2">
      <c r="A8" s="329"/>
      <c r="B8" s="329"/>
      <c r="C8" s="389" t="s">
        <v>1187</v>
      </c>
      <c r="D8" s="392">
        <f>COVER!A13</f>
        <v>20083002026</v>
      </c>
      <c r="E8" s="393"/>
      <c r="G8" s="329"/>
      <c r="H8" s="329"/>
      <c r="I8" s="329"/>
      <c r="J8" s="329"/>
      <c r="K8" s="329"/>
      <c r="L8" s="329"/>
      <c r="M8" s="329"/>
      <c r="N8" s="329"/>
      <c r="O8" s="329"/>
      <c r="P8" s="329"/>
    </row>
    <row r="9" spans="1:18" ht="12.75" x14ac:dyDescent="0.2">
      <c r="A9" s="329"/>
      <c r="B9" s="329"/>
      <c r="C9" s="389" t="s">
        <v>737</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1938625</v>
      </c>
      <c r="I12" s="404"/>
      <c r="J12" s="404"/>
      <c r="K12" s="405">
        <f>TRUNC((H12/H13*100000),5)/100000</f>
        <v>0.45893457339999999</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4224186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-102487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3892826</v>
      </c>
      <c r="I17" s="404"/>
      <c r="J17" s="416"/>
      <c r="K17" s="405">
        <f>TRUNC((H17/H18*100000),5)/100000</f>
        <v>0.92155648440000004</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4224186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-102487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1942412</v>
      </c>
      <c r="I24" s="422"/>
      <c r="J24" s="422"/>
      <c r="K24" s="423">
        <f>TRUNC(((H24/H25*100000)/100000),2)</f>
        <v>179.62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10813.405559999999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498626.76889000001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453300</v>
      </c>
      <c r="I32" s="420"/>
      <c r="J32" s="420"/>
      <c r="K32" s="423">
        <f>TRUNC(100-((((H32/H33*100))*100)/100),2)</f>
        <v>82.55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2598828.9720000001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E30" sqref="E30"/>
      <selection pane="bottomLeft" activeCell="E30" sqref="E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349548</v>
      </c>
      <c r="D4" s="466">
        <v>356319</v>
      </c>
      <c r="E4" s="466">
        <v>261462</v>
      </c>
      <c r="F4" s="466">
        <v>151417</v>
      </c>
      <c r="G4" s="466">
        <v>116101</v>
      </c>
      <c r="H4" s="466">
        <v>331</v>
      </c>
      <c r="I4" s="466">
        <v>620659</v>
      </c>
      <c r="J4" s="467">
        <v>131889</v>
      </c>
      <c r="K4" s="466">
        <v>72152</v>
      </c>
      <c r="L4" s="466">
        <v>67793</v>
      </c>
      <c r="M4" s="468"/>
      <c r="N4" s="469"/>
    </row>
    <row r="5" spans="1:14" x14ac:dyDescent="0.2">
      <c r="A5" s="463" t="s">
        <v>1049</v>
      </c>
      <c r="B5" s="470">
        <v>120</v>
      </c>
      <c r="C5" s="465">
        <v>464469</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814017</v>
      </c>
      <c r="D13" s="1759">
        <f t="shared" ref="D13:L13" si="0">SUM(D4:D12)</f>
        <v>356319</v>
      </c>
      <c r="E13" s="1759">
        <f t="shared" si="0"/>
        <v>261462</v>
      </c>
      <c r="F13" s="1759">
        <f t="shared" si="0"/>
        <v>151417</v>
      </c>
      <c r="G13" s="1759">
        <f t="shared" si="0"/>
        <v>116101</v>
      </c>
      <c r="H13" s="1759">
        <f t="shared" si="0"/>
        <v>331</v>
      </c>
      <c r="I13" s="1759">
        <f t="shared" si="0"/>
        <v>620659</v>
      </c>
      <c r="J13" s="1759">
        <f t="shared" si="0"/>
        <v>131889</v>
      </c>
      <c r="K13" s="1759">
        <f t="shared" si="0"/>
        <v>72152</v>
      </c>
      <c r="L13" s="1759">
        <f t="shared" si="0"/>
        <v>67793</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106338</v>
      </c>
      <c r="N16" s="484"/>
    </row>
    <row r="17" spans="1:14" s="485" customFormat="1" ht="12.75" customHeight="1" x14ac:dyDescent="0.2">
      <c r="A17" s="482" t="s">
        <v>1470</v>
      </c>
      <c r="B17" s="483">
        <v>230</v>
      </c>
      <c r="C17" s="477"/>
      <c r="D17" s="477"/>
      <c r="E17" s="477"/>
      <c r="F17" s="477"/>
      <c r="G17" s="477"/>
      <c r="H17" s="477"/>
      <c r="I17" s="477"/>
      <c r="J17" s="477"/>
      <c r="K17" s="477"/>
      <c r="L17" s="477"/>
      <c r="M17" s="467">
        <v>7137145</v>
      </c>
      <c r="N17" s="484"/>
    </row>
    <row r="18" spans="1:14" s="485" customFormat="1" ht="12.75" customHeight="1" x14ac:dyDescent="0.2">
      <c r="A18" s="482" t="s">
        <v>1471</v>
      </c>
      <c r="B18" s="483">
        <v>240</v>
      </c>
      <c r="C18" s="477"/>
      <c r="D18" s="477"/>
      <c r="E18" s="477"/>
      <c r="F18" s="477"/>
      <c r="G18" s="477"/>
      <c r="H18" s="477"/>
      <c r="I18" s="477"/>
      <c r="J18" s="477"/>
      <c r="K18" s="477"/>
      <c r="L18" s="477"/>
      <c r="M18" s="467">
        <v>100958</v>
      </c>
      <c r="N18" s="484"/>
    </row>
    <row r="19" spans="1:14" s="485" customFormat="1" ht="12.75" customHeight="1" x14ac:dyDescent="0.2">
      <c r="A19" s="482" t="s">
        <v>1472</v>
      </c>
      <c r="B19" s="483">
        <v>250</v>
      </c>
      <c r="C19" s="477"/>
      <c r="D19" s="477"/>
      <c r="E19" s="477"/>
      <c r="F19" s="477"/>
      <c r="G19" s="477"/>
      <c r="H19" s="477"/>
      <c r="I19" s="477"/>
      <c r="J19" s="477"/>
      <c r="K19" s="477"/>
      <c r="L19" s="477"/>
      <c r="M19" s="467">
        <v>350326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453300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7694767</v>
      </c>
      <c r="N23" s="1710">
        <f>SUM(N21:N22)</f>
        <v>453300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3787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67793</v>
      </c>
      <c r="M33" s="468"/>
      <c r="N33" s="469"/>
    </row>
    <row r="34" spans="1:14" ht="13.5" customHeight="1" thickBot="1" x14ac:dyDescent="0.25">
      <c r="A34" s="1760" t="s">
        <v>675</v>
      </c>
      <c r="B34" s="1761"/>
      <c r="C34" s="1762">
        <f>SUM(C25:C33)</f>
        <v>3787</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67793</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453300</v>
      </c>
    </row>
    <row r="37" spans="1:14" ht="13.5" thickBot="1" x14ac:dyDescent="0.25">
      <c r="A37" s="1758" t="s">
        <v>674</v>
      </c>
      <c r="B37" s="1763"/>
      <c r="C37" s="477"/>
      <c r="D37" s="477"/>
      <c r="E37" s="477"/>
      <c r="F37" s="477"/>
      <c r="G37" s="477"/>
      <c r="H37" s="477"/>
      <c r="I37" s="477"/>
      <c r="J37" s="477"/>
      <c r="K37" s="477"/>
      <c r="L37" s="480"/>
      <c r="M37" s="468"/>
      <c r="N37" s="1710">
        <f>SUM(N36:N36)</f>
        <v>453300</v>
      </c>
    </row>
    <row r="38" spans="1:14" s="329" customFormat="1" ht="13.5" customHeight="1" thickTop="1" x14ac:dyDescent="0.2">
      <c r="A38" s="496" t="s">
        <v>440</v>
      </c>
      <c r="B38" s="483">
        <v>714</v>
      </c>
      <c r="C38" s="466"/>
      <c r="D38" s="466">
        <v>233235</v>
      </c>
      <c r="E38" s="466"/>
      <c r="F38" s="466"/>
      <c r="G38" s="466"/>
      <c r="H38" s="466"/>
      <c r="I38" s="466"/>
      <c r="J38" s="467"/>
      <c r="K38" s="466"/>
      <c r="L38" s="481"/>
      <c r="M38" s="497"/>
      <c r="N38" s="497"/>
    </row>
    <row r="39" spans="1:14" s="329" customFormat="1" ht="13.5" customHeight="1" x14ac:dyDescent="0.2">
      <c r="A39" s="496" t="s">
        <v>360</v>
      </c>
      <c r="B39" s="483">
        <v>730</v>
      </c>
      <c r="C39" s="466">
        <v>810230</v>
      </c>
      <c r="D39" s="466">
        <v>123084</v>
      </c>
      <c r="E39" s="466">
        <v>261462</v>
      </c>
      <c r="F39" s="466">
        <v>151417</v>
      </c>
      <c r="G39" s="466">
        <v>116101</v>
      </c>
      <c r="H39" s="466">
        <v>331</v>
      </c>
      <c r="I39" s="466">
        <v>620659</v>
      </c>
      <c r="J39" s="467">
        <v>131889</v>
      </c>
      <c r="K39" s="466">
        <v>72152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7694767</v>
      </c>
      <c r="N40" s="497"/>
    </row>
    <row r="41" spans="1:14" ht="13.5" customHeight="1" thickBot="1" x14ac:dyDescent="0.25">
      <c r="A41" s="1758" t="s">
        <v>676</v>
      </c>
      <c r="B41" s="1728"/>
      <c r="C41" s="1710">
        <f>(SUM(C34,C37,C38,C39))</f>
        <v>814017</v>
      </c>
      <c r="D41" s="1710">
        <f t="shared" ref="D41:L41" si="2">SUM(D34,D37,D38:D39)</f>
        <v>356319</v>
      </c>
      <c r="E41" s="1710">
        <f t="shared" si="2"/>
        <v>261462</v>
      </c>
      <c r="F41" s="1710">
        <f t="shared" si="2"/>
        <v>151417</v>
      </c>
      <c r="G41" s="1710">
        <f t="shared" si="2"/>
        <v>116101</v>
      </c>
      <c r="H41" s="1710">
        <f t="shared" si="2"/>
        <v>331</v>
      </c>
      <c r="I41" s="1710">
        <f t="shared" si="2"/>
        <v>620659</v>
      </c>
      <c r="J41" s="1710">
        <f t="shared" si="2"/>
        <v>131889</v>
      </c>
      <c r="K41" s="1710">
        <f t="shared" si="2"/>
        <v>72152</v>
      </c>
      <c r="L41" s="1710">
        <f t="shared" si="2"/>
        <v>67793</v>
      </c>
      <c r="M41" s="1710">
        <f>SUM(M40)</f>
        <v>7694767</v>
      </c>
      <c r="N41" s="1710">
        <f>SUM(N37)</f>
        <v>453300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gridLinesSet="0"/>
  <pageMargins left="0.25" right="0.2" top="1" bottom="0.37" header="0.5" footer="0.16"/>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accompanying notes are an integral part of this financial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E30" sqref="E30"/>
      <selection pane="bottomLeft" activeCell="E30" sqref="E3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2" t="s">
        <v>1579</v>
      </c>
      <c r="B4" s="1953">
        <v>1000</v>
      </c>
      <c r="C4" s="1764">
        <f>'Revenues 9-14'!C109</f>
        <v>577602</v>
      </c>
      <c r="D4" s="1764">
        <f>'Revenues 9-14'!D109</f>
        <v>334109</v>
      </c>
      <c r="E4" s="1764">
        <f>'Revenues 9-14'!E109</f>
        <v>1669</v>
      </c>
      <c r="F4" s="1764">
        <f>'Revenues 9-14'!F109</f>
        <v>47364</v>
      </c>
      <c r="G4" s="1764">
        <f>'Revenues 9-14'!G109</f>
        <v>128486</v>
      </c>
      <c r="H4" s="1764">
        <f>'Revenues 9-14'!H109</f>
        <v>1</v>
      </c>
      <c r="I4" s="1764">
        <f>'Revenues 9-14'!I109</f>
        <v>11491</v>
      </c>
      <c r="J4" s="1764">
        <f>'Revenues 9-14'!J109</f>
        <v>156496</v>
      </c>
      <c r="K4" s="1764">
        <f>'Revenues 9-14'!K109</f>
        <v>419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2707827</v>
      </c>
      <c r="D6" s="1765">
        <f>'Revenues 9-14'!D173</f>
        <v>35000</v>
      </c>
      <c r="E6" s="1765">
        <f>'Revenues 9-14'!E173</f>
        <v>0</v>
      </c>
      <c r="F6" s="1765">
        <f>'Revenues 9-14'!F173</f>
        <v>206980</v>
      </c>
      <c r="G6" s="1765">
        <f>'Revenues 9-14'!G173</f>
        <v>21000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406300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3691729</v>
      </c>
      <c r="D8" s="1710">
        <f t="shared" ref="D8:K8" si="0">SUM(D4:D7)</f>
        <v>369109</v>
      </c>
      <c r="E8" s="1710">
        <f t="shared" si="0"/>
        <v>1669</v>
      </c>
      <c r="F8" s="1710">
        <f t="shared" si="0"/>
        <v>254344</v>
      </c>
      <c r="G8" s="1710">
        <f t="shared" si="0"/>
        <v>149486</v>
      </c>
      <c r="H8" s="1710">
        <f t="shared" si="0"/>
        <v>1</v>
      </c>
      <c r="I8" s="1710">
        <f t="shared" si="0"/>
        <v>11491</v>
      </c>
      <c r="J8" s="1710">
        <f t="shared" si="0"/>
        <v>156496</v>
      </c>
      <c r="K8" s="1710">
        <f t="shared" si="0"/>
        <v>419</v>
      </c>
      <c r="L8" s="347"/>
    </row>
    <row r="9" spans="1:13" ht="15.75" thickTop="1" x14ac:dyDescent="0.2">
      <c r="A9" s="514" t="s">
        <v>1752</v>
      </c>
      <c r="B9" s="515">
        <v>3998</v>
      </c>
      <c r="C9" s="481">
        <v>1540484</v>
      </c>
      <c r="D9" s="516"/>
      <c r="E9" s="481"/>
      <c r="F9" s="481"/>
      <c r="G9" s="517"/>
      <c r="H9" s="481"/>
      <c r="I9" s="509" t="s">
        <v>1231</v>
      </c>
      <c r="J9" s="478"/>
      <c r="K9" s="481"/>
      <c r="L9" s="347"/>
    </row>
    <row r="10" spans="1:13" s="519" customFormat="1" ht="13.5" thickBot="1" x14ac:dyDescent="0.25">
      <c r="A10" s="1758" t="s">
        <v>1235</v>
      </c>
      <c r="B10" s="1731"/>
      <c r="C10" s="1710">
        <f>SUM(C8:C9)</f>
        <v>5232213</v>
      </c>
      <c r="D10" s="1710">
        <f t="shared" ref="D10:K10" si="1">SUM(D8:D9)</f>
        <v>369109</v>
      </c>
      <c r="E10" s="1710">
        <f t="shared" si="1"/>
        <v>1669</v>
      </c>
      <c r="F10" s="1710">
        <f t="shared" si="1"/>
        <v>254344</v>
      </c>
      <c r="G10" s="1710">
        <f t="shared" si="1"/>
        <v>149486</v>
      </c>
      <c r="H10" s="1710">
        <f t="shared" si="1"/>
        <v>1</v>
      </c>
      <c r="I10" s="1710">
        <f t="shared" si="1"/>
        <v>11491</v>
      </c>
      <c r="J10" s="1710">
        <f t="shared" si="1"/>
        <v>156496</v>
      </c>
      <c r="K10" s="1710">
        <f t="shared" si="1"/>
        <v>419</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2339582</v>
      </c>
      <c r="D12" s="520" t="s">
        <v>1231</v>
      </c>
      <c r="E12" s="468" t="s">
        <v>1231</v>
      </c>
      <c r="F12" s="468" t="s">
        <v>1231</v>
      </c>
      <c r="G12" s="1764">
        <f>'Expenditures 15-22'!K229</f>
        <v>58434</v>
      </c>
      <c r="H12" s="521"/>
      <c r="I12" s="468" t="s">
        <v>1231</v>
      </c>
      <c r="J12" s="468" t="s">
        <v>1231</v>
      </c>
      <c r="K12" s="521" t="s">
        <v>1231</v>
      </c>
      <c r="L12" s="347"/>
    </row>
    <row r="13" spans="1:13" ht="15.75" customHeight="1" x14ac:dyDescent="0.2">
      <c r="A13" s="1598" t="s">
        <v>477</v>
      </c>
      <c r="B13" s="1600">
        <v>2000</v>
      </c>
      <c r="C13" s="1765">
        <f>'Expenditures 15-22'!K74</f>
        <v>940924</v>
      </c>
      <c r="D13" s="1765">
        <f>'Expenditures 15-22'!K129</f>
        <v>328005</v>
      </c>
      <c r="E13" s="469" t="s">
        <v>1231</v>
      </c>
      <c r="F13" s="1765">
        <f>'Expenditures 15-22'!K184</f>
        <v>200515</v>
      </c>
      <c r="G13" s="1765">
        <f>'Expenditures 15-22'!K279</f>
        <v>63841</v>
      </c>
      <c r="H13" s="1765">
        <f>'Expenditures 15-22'!K303</f>
        <v>0</v>
      </c>
      <c r="I13" s="468" t="s">
        <v>1231</v>
      </c>
      <c r="J13" s="1765">
        <f>'Expenditures 15-22'!K330</f>
        <v>95183</v>
      </c>
      <c r="K13" s="1769">
        <f>'Expenditures 15-22'!K352</f>
        <v>0</v>
      </c>
      <c r="L13" s="347"/>
    </row>
    <row r="14" spans="1:13" ht="15.75" customHeight="1" x14ac:dyDescent="0.2">
      <c r="A14" s="1598" t="s">
        <v>469</v>
      </c>
      <c r="B14" s="1600">
        <v>3000</v>
      </c>
      <c r="C14" s="1765">
        <f>'Expenditures 15-22'!K75</f>
        <v>2027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81773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102487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3364306</v>
      </c>
      <c r="D17" s="1710">
        <f t="shared" si="2"/>
        <v>328005</v>
      </c>
      <c r="E17" s="1710">
        <f t="shared" si="2"/>
        <v>102487</v>
      </c>
      <c r="F17" s="1710">
        <f t="shared" si="2"/>
        <v>200515</v>
      </c>
      <c r="G17" s="1710">
        <f t="shared" si="2"/>
        <v>122275</v>
      </c>
      <c r="H17" s="1710">
        <f t="shared" si="2"/>
        <v>0</v>
      </c>
      <c r="I17" s="468"/>
      <c r="J17" s="1710">
        <f>SUM(J12:J16)</f>
        <v>95183</v>
      </c>
      <c r="K17" s="1710">
        <f>SUM(K12:K16)</f>
        <v>0</v>
      </c>
      <c r="L17" s="347"/>
    </row>
    <row r="18" spans="1:12" ht="15" customHeight="1" thickTop="1" x14ac:dyDescent="0.2">
      <c r="A18" s="1766" t="s">
        <v>1753</v>
      </c>
      <c r="B18" s="1767">
        <v>4180</v>
      </c>
      <c r="C18" s="1764">
        <f t="shared" ref="C18:H18" si="3">C9</f>
        <v>1540484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4904790</v>
      </c>
      <c r="D19" s="1710">
        <f t="shared" si="4"/>
        <v>328005</v>
      </c>
      <c r="E19" s="1710">
        <f t="shared" si="4"/>
        <v>102487</v>
      </c>
      <c r="F19" s="1710">
        <f t="shared" si="4"/>
        <v>200515</v>
      </c>
      <c r="G19" s="1710">
        <f t="shared" si="4"/>
        <v>122275</v>
      </c>
      <c r="H19" s="1710">
        <f t="shared" si="4"/>
        <v>0</v>
      </c>
      <c r="I19" s="468"/>
      <c r="J19" s="1710">
        <f>SUM(J17:J18)</f>
        <v>95183</v>
      </c>
      <c r="K19" s="1710">
        <f>SUM(K17:K18)</f>
        <v>0</v>
      </c>
      <c r="L19" s="347"/>
    </row>
    <row r="20" spans="1:12" ht="16.5" thickTop="1" thickBot="1" x14ac:dyDescent="0.25">
      <c r="A20" s="2146" t="s">
        <v>1754</v>
      </c>
      <c r="B20" s="2147"/>
      <c r="C20" s="1768">
        <f>C8-C17</f>
        <v>327423</v>
      </c>
      <c r="D20" s="1768">
        <f t="shared" ref="D20:K20" si="5">D8-D17</f>
        <v>41104</v>
      </c>
      <c r="E20" s="1768">
        <f t="shared" si="5"/>
        <v>-100818</v>
      </c>
      <c r="F20" s="1768">
        <f t="shared" si="5"/>
        <v>53829</v>
      </c>
      <c r="G20" s="1768">
        <f t="shared" si="5"/>
        <v>27211</v>
      </c>
      <c r="H20" s="1768">
        <f t="shared" si="5"/>
        <v>1</v>
      </c>
      <c r="I20" s="1768">
        <f t="shared" si="5"/>
        <v>11491</v>
      </c>
      <c r="J20" s="1768">
        <f t="shared" si="5"/>
        <v>61313</v>
      </c>
      <c r="K20" s="1768">
        <f t="shared" si="5"/>
        <v>419</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453300</v>
      </c>
      <c r="J33" s="467"/>
      <c r="K33" s="467"/>
      <c r="L33" s="524"/>
    </row>
    <row r="34" spans="1:12" s="485" customFormat="1" x14ac:dyDescent="0.2">
      <c r="A34" s="1511" t="s">
        <v>1058</v>
      </c>
      <c r="B34" s="525">
        <v>7220</v>
      </c>
      <c r="C34" s="467"/>
      <c r="D34" s="467"/>
      <c r="E34" s="467"/>
      <c r="F34" s="467"/>
      <c r="G34" s="477"/>
      <c r="H34" s="478"/>
      <c r="I34" s="478">
        <v>11169</v>
      </c>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100700</v>
      </c>
      <c r="F39" s="477"/>
      <c r="G39" s="477"/>
      <c r="H39" s="477"/>
      <c r="I39" s="477"/>
      <c r="J39" s="477"/>
      <c r="K39" s="477"/>
      <c r="L39" s="524"/>
    </row>
    <row r="40" spans="1:12" s="485" customFormat="1" ht="13.5" customHeight="1" x14ac:dyDescent="0.2">
      <c r="A40" s="1511" t="s">
        <v>663</v>
      </c>
      <c r="B40" s="483">
        <v>7700</v>
      </c>
      <c r="C40" s="477"/>
      <c r="D40" s="477"/>
      <c r="E40" s="1765">
        <f>SUM(C66:D69)</f>
        <v>1787</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v>310</v>
      </c>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310</v>
      </c>
      <c r="E44" s="1725">
        <f t="shared" si="6"/>
        <v>102487</v>
      </c>
      <c r="F44" s="1725">
        <f t="shared" si="6"/>
        <v>0</v>
      </c>
      <c r="G44" s="1725">
        <f t="shared" si="6"/>
        <v>0</v>
      </c>
      <c r="H44" s="1725">
        <f t="shared" si="6"/>
        <v>0</v>
      </c>
      <c r="I44" s="1725">
        <f t="shared" si="6"/>
        <v>464469</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v>100700</v>
      </c>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v>1787</v>
      </c>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310</v>
      </c>
      <c r="D75" s="531"/>
      <c r="E75" s="530"/>
      <c r="F75" s="532"/>
      <c r="G75" s="532"/>
      <c r="H75" s="532"/>
      <c r="I75" s="530">
        <v>11154</v>
      </c>
      <c r="J75" s="530"/>
      <c r="K75" s="532"/>
      <c r="L75" s="524"/>
    </row>
    <row r="76" spans="1:12" s="485" customFormat="1" ht="14.25" thickTop="1" thickBot="1" x14ac:dyDescent="0.25">
      <c r="A76" s="2136" t="s">
        <v>460</v>
      </c>
      <c r="B76" s="2137"/>
      <c r="C76" s="1725">
        <f t="shared" ref="C76:K76" si="7">SUM(C47:C75)</f>
        <v>310</v>
      </c>
      <c r="D76" s="1725">
        <f t="shared" si="7"/>
        <v>102487</v>
      </c>
      <c r="E76" s="1725">
        <f t="shared" si="7"/>
        <v>0</v>
      </c>
      <c r="F76" s="1725">
        <f t="shared" si="7"/>
        <v>0</v>
      </c>
      <c r="G76" s="1725">
        <f t="shared" si="7"/>
        <v>0</v>
      </c>
      <c r="H76" s="1725">
        <f t="shared" si="7"/>
        <v>0</v>
      </c>
      <c r="I76" s="1725">
        <f t="shared" si="7"/>
        <v>11154</v>
      </c>
      <c r="J76" s="1725">
        <f t="shared" si="7"/>
        <v>0</v>
      </c>
      <c r="K76" s="1725">
        <f t="shared" si="7"/>
        <v>0</v>
      </c>
      <c r="L76" s="524"/>
    </row>
    <row r="77" spans="1:12" ht="14.25" thickTop="1" thickBot="1" x14ac:dyDescent="0.25">
      <c r="A77" s="2138" t="s">
        <v>1239</v>
      </c>
      <c r="B77" s="2139"/>
      <c r="C77" s="1725">
        <f t="shared" ref="C77:K77" si="8">C44-C76</f>
        <v>-310</v>
      </c>
      <c r="D77" s="1725">
        <f t="shared" si="8"/>
        <v>-102177</v>
      </c>
      <c r="E77" s="1725">
        <f t="shared" si="8"/>
        <v>102487</v>
      </c>
      <c r="F77" s="1725">
        <f t="shared" si="8"/>
        <v>0</v>
      </c>
      <c r="G77" s="1725">
        <f t="shared" si="8"/>
        <v>0</v>
      </c>
      <c r="H77" s="1725">
        <f t="shared" si="8"/>
        <v>0</v>
      </c>
      <c r="I77" s="1725">
        <f t="shared" si="8"/>
        <v>453315</v>
      </c>
      <c r="J77" s="1725">
        <f t="shared" si="8"/>
        <v>0</v>
      </c>
      <c r="K77" s="1725">
        <f t="shared" si="8"/>
        <v>0</v>
      </c>
      <c r="L77" s="347"/>
    </row>
    <row r="78" spans="1:12" ht="21.75" customHeight="1" thickTop="1" thickBot="1" x14ac:dyDescent="0.25">
      <c r="A78" s="2142" t="s">
        <v>618</v>
      </c>
      <c r="B78" s="2143"/>
      <c r="C78" s="1724">
        <f t="shared" ref="C78:K78" si="9">C20+C77</f>
        <v>327113</v>
      </c>
      <c r="D78" s="1724">
        <f t="shared" si="9"/>
        <v>-61073</v>
      </c>
      <c r="E78" s="1724">
        <f t="shared" si="9"/>
        <v>1669</v>
      </c>
      <c r="F78" s="1724">
        <f t="shared" si="9"/>
        <v>53829</v>
      </c>
      <c r="G78" s="1724">
        <f t="shared" si="9"/>
        <v>27211</v>
      </c>
      <c r="H78" s="1724">
        <f t="shared" si="9"/>
        <v>1</v>
      </c>
      <c r="I78" s="1724">
        <f t="shared" si="9"/>
        <v>464806</v>
      </c>
      <c r="J78" s="1724">
        <f t="shared" si="9"/>
        <v>61313</v>
      </c>
      <c r="K78" s="1724">
        <f t="shared" si="9"/>
        <v>419</v>
      </c>
      <c r="L78" s="533"/>
    </row>
    <row r="79" spans="1:12" ht="13.5" thickTop="1" x14ac:dyDescent="0.2">
      <c r="A79" s="1516" t="s">
        <v>2073</v>
      </c>
      <c r="B79" s="534"/>
      <c r="C79" s="478">
        <v>483117</v>
      </c>
      <c r="D79" s="535">
        <v>417392</v>
      </c>
      <c r="E79" s="535">
        <v>259793</v>
      </c>
      <c r="F79" s="535">
        <v>97588</v>
      </c>
      <c r="G79" s="535">
        <v>88890</v>
      </c>
      <c r="H79" s="535">
        <v>330</v>
      </c>
      <c r="I79" s="535">
        <v>155853</v>
      </c>
      <c r="J79" s="535">
        <v>70576</v>
      </c>
      <c r="K79" s="535">
        <v>71733</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10">
        <f>(SUM(C78:C80))</f>
        <v>810230</v>
      </c>
      <c r="D81" s="1710">
        <f>SUM(D78:D80)</f>
        <v>356319</v>
      </c>
      <c r="E81" s="1710">
        <f t="shared" ref="E81:K81" si="10">SUM(E78:E80)</f>
        <v>261462</v>
      </c>
      <c r="F81" s="1710">
        <f t="shared" si="10"/>
        <v>151417</v>
      </c>
      <c r="G81" s="1710">
        <f t="shared" si="10"/>
        <v>116101</v>
      </c>
      <c r="H81" s="1710">
        <f t="shared" si="10"/>
        <v>331</v>
      </c>
      <c r="I81" s="1710">
        <f t="shared" si="10"/>
        <v>620659</v>
      </c>
      <c r="J81" s="1710">
        <f t="shared" si="10"/>
        <v>131889</v>
      </c>
      <c r="K81" s="1710">
        <f t="shared" si="10"/>
        <v>72152</v>
      </c>
      <c r="L81" s="347"/>
    </row>
    <row r="82" spans="1:12" ht="0.75" customHeight="1" thickTop="1" thickBot="1" x14ac:dyDescent="0.25">
      <c r="A82" s="536" t="s">
        <v>361</v>
      </c>
      <c r="B82" s="537"/>
      <c r="C82" s="538">
        <f>(C81-C79)</f>
        <v>327113</v>
      </c>
      <c r="D82" s="538">
        <f t="shared" ref="D82:K82" si="11">(D81-D79)</f>
        <v>-61073</v>
      </c>
      <c r="E82" s="538">
        <f t="shared" si="11"/>
        <v>1669</v>
      </c>
      <c r="F82" s="538">
        <f t="shared" si="11"/>
        <v>53829</v>
      </c>
      <c r="G82" s="538">
        <f t="shared" si="11"/>
        <v>27211</v>
      </c>
      <c r="H82" s="538">
        <f t="shared" si="11"/>
        <v>1</v>
      </c>
      <c r="I82" s="538">
        <f t="shared" si="11"/>
        <v>464806</v>
      </c>
      <c r="J82" s="538">
        <f t="shared" si="11"/>
        <v>61313</v>
      </c>
      <c r="K82" s="538">
        <f t="shared" si="11"/>
        <v>419</v>
      </c>
    </row>
    <row r="83" spans="1:12" ht="14.25" hidden="1" thickTop="1" thickBot="1" x14ac:dyDescent="0.25">
      <c r="A83" s="539" t="s">
        <v>362</v>
      </c>
      <c r="B83" s="464"/>
      <c r="C83" s="540">
        <f>C82/C81</f>
        <v>0.40372857089962111</v>
      </c>
      <c r="D83" s="540">
        <f t="shared" ref="D83:K83" si="12">D82/D81</f>
        <v>-0.17139978502409359</v>
      </c>
      <c r="E83" s="540">
        <f t="shared" si="12"/>
        <v>6.3833367755161364E-3</v>
      </c>
      <c r="F83" s="540">
        <f t="shared" si="12"/>
        <v>0.35550169399737147</v>
      </c>
      <c r="G83" s="540">
        <f t="shared" si="12"/>
        <v>0.23437351960792757</v>
      </c>
      <c r="H83" s="540">
        <f t="shared" si="12"/>
        <v>3.0211480362537764E-3</v>
      </c>
      <c r="I83" s="540">
        <f t="shared" si="12"/>
        <v>0.74889109801034059</v>
      </c>
      <c r="J83" s="540">
        <f t="shared" si="12"/>
        <v>0.4648833488767069</v>
      </c>
      <c r="K83" s="540">
        <f t="shared" si="12"/>
        <v>5.8071848320212886E-3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5" right="0.2" top="1" bottom="0.5" header="0.5" footer="0.16"/>
  <pageSetup scale="7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accompanying notes are an integral part of this financial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E30" sqref="E3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457716</v>
      </c>
      <c r="D5" s="481">
        <v>84917</v>
      </c>
      <c r="E5" s="466"/>
      <c r="F5" s="548">
        <v>36392</v>
      </c>
      <c r="G5" s="466">
        <v>56794</v>
      </c>
      <c r="H5" s="466"/>
      <c r="I5" s="466">
        <v>9098</v>
      </c>
      <c r="J5" s="467">
        <v>151635</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7279</v>
      </c>
      <c r="D7" s="466"/>
      <c r="E7" s="468"/>
      <c r="F7" s="467"/>
      <c r="G7" s="467"/>
      <c r="H7" s="467"/>
      <c r="I7" s="468"/>
      <c r="J7" s="468"/>
      <c r="K7" s="468"/>
    </row>
    <row r="8" spans="1:12" x14ac:dyDescent="0.2">
      <c r="A8" s="463" t="s">
        <v>433</v>
      </c>
      <c r="B8" s="470">
        <v>1150</v>
      </c>
      <c r="C8" s="475"/>
      <c r="D8" s="475"/>
      <c r="E8" s="477"/>
      <c r="F8" s="477"/>
      <c r="G8" s="481">
        <v>52386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464995</v>
      </c>
      <c r="D12" s="1729">
        <f t="shared" si="0"/>
        <v>84917</v>
      </c>
      <c r="E12" s="1729">
        <f t="shared" si="0"/>
        <v>0</v>
      </c>
      <c r="F12" s="1729">
        <f t="shared" si="0"/>
        <v>36392</v>
      </c>
      <c r="G12" s="1729">
        <f t="shared" si="0"/>
        <v>109180</v>
      </c>
      <c r="H12" s="1729">
        <f t="shared" si="0"/>
        <v>0</v>
      </c>
      <c r="I12" s="1729">
        <f t="shared" si="0"/>
        <v>9098</v>
      </c>
      <c r="J12" s="1729">
        <f t="shared" si="0"/>
        <v>151635</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267</v>
      </c>
      <c r="D14" s="466">
        <v>49</v>
      </c>
      <c r="E14" s="466"/>
      <c r="F14" s="466">
        <v>21</v>
      </c>
      <c r="G14" s="466">
        <v>62</v>
      </c>
      <c r="H14" s="466"/>
      <c r="I14" s="466">
        <v>5</v>
      </c>
      <c r="J14" s="467">
        <v>87</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42541</v>
      </c>
      <c r="D16" s="466">
        <v>9100</v>
      </c>
      <c r="E16" s="466"/>
      <c r="F16" s="466">
        <v>10100</v>
      </c>
      <c r="G16" s="466">
        <v>18555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42808</v>
      </c>
      <c r="D18" s="1732">
        <f t="shared" ref="D18:K18" si="1">SUM(D14:D17)</f>
        <v>9149</v>
      </c>
      <c r="E18" s="1732">
        <f t="shared" si="1"/>
        <v>0</v>
      </c>
      <c r="F18" s="1732">
        <f t="shared" si="1"/>
        <v>10121</v>
      </c>
      <c r="G18" s="1732">
        <f t="shared" si="1"/>
        <v>18617</v>
      </c>
      <c r="H18" s="1732">
        <f t="shared" si="1"/>
        <v>0</v>
      </c>
      <c r="I18" s="1732">
        <f t="shared" si="1"/>
        <v>5</v>
      </c>
      <c r="J18" s="1732">
        <f t="shared" si="1"/>
        <v>87</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2513</v>
      </c>
      <c r="D65" s="466">
        <v>2120</v>
      </c>
      <c r="E65" s="466">
        <v>1669</v>
      </c>
      <c r="F65" s="467">
        <v>851</v>
      </c>
      <c r="G65" s="466">
        <v>689</v>
      </c>
      <c r="H65" s="466">
        <v>1</v>
      </c>
      <c r="I65" s="466">
        <v>2388</v>
      </c>
      <c r="J65" s="467">
        <v>614</v>
      </c>
      <c r="K65" s="466">
        <v>419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2513</v>
      </c>
      <c r="D67" s="1710">
        <f t="shared" ref="D67:K67" si="2">SUM(D65:D66)</f>
        <v>2120</v>
      </c>
      <c r="E67" s="1710">
        <f t="shared" si="2"/>
        <v>1669</v>
      </c>
      <c r="F67" s="1710">
        <f t="shared" si="2"/>
        <v>851</v>
      </c>
      <c r="G67" s="1710">
        <f t="shared" si="2"/>
        <v>689</v>
      </c>
      <c r="H67" s="1710">
        <f t="shared" si="2"/>
        <v>1</v>
      </c>
      <c r="I67" s="1710">
        <f t="shared" si="2"/>
        <v>2388</v>
      </c>
      <c r="J67" s="1710">
        <f t="shared" si="2"/>
        <v>614</v>
      </c>
      <c r="K67" s="1710">
        <f t="shared" si="2"/>
        <v>419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3549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3606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7155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26958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26958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8426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8426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18564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v>4160</v>
      </c>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4183</v>
      </c>
      <c r="D106" s="489">
        <v>650</v>
      </c>
      <c r="E106" s="467"/>
      <c r="F106" s="467"/>
      <c r="G106" s="467"/>
      <c r="H106" s="467"/>
      <c r="I106" s="521"/>
      <c r="J106" s="467"/>
      <c r="K106" s="467"/>
    </row>
    <row r="107" spans="1:12" ht="12.75" customHeight="1" x14ac:dyDescent="0.2">
      <c r="A107" s="463" t="s">
        <v>80</v>
      </c>
      <c r="B107" s="470">
        <v>1999</v>
      </c>
      <c r="C107" s="551"/>
      <c r="D107" s="466">
        <v>237273</v>
      </c>
      <c r="E107" s="466"/>
      <c r="F107" s="466"/>
      <c r="G107" s="466"/>
      <c r="H107" s="466"/>
      <c r="I107" s="466"/>
      <c r="J107" s="467"/>
      <c r="K107" s="466"/>
    </row>
    <row r="108" spans="1:12" ht="12.75" customHeight="1" thickBot="1" x14ac:dyDescent="0.25">
      <c r="A108" s="1730" t="s">
        <v>508</v>
      </c>
      <c r="B108" s="1734"/>
      <c r="C108" s="1729">
        <f>SUM(C95:C107)</f>
        <v>24747</v>
      </c>
      <c r="D108" s="1729">
        <f t="shared" ref="D108:K108" si="3">SUM(D95:D107)</f>
        <v>237923</v>
      </c>
      <c r="E108" s="1729">
        <f t="shared" si="3"/>
        <v>0</v>
      </c>
      <c r="F108" s="1729">
        <f t="shared" si="3"/>
        <v>0</v>
      </c>
      <c r="G108" s="1729">
        <f t="shared" si="3"/>
        <v>0</v>
      </c>
      <c r="H108" s="1729">
        <f t="shared" si="3"/>
        <v>0</v>
      </c>
      <c r="I108" s="1729">
        <f t="shared" si="3"/>
        <v>0</v>
      </c>
      <c r="J108" s="1729">
        <f t="shared" si="3"/>
        <v>4160</v>
      </c>
      <c r="K108" s="1710">
        <f t="shared" si="3"/>
        <v>0</v>
      </c>
    </row>
    <row r="109" spans="1:12" ht="14.25" thickTop="1" thickBot="1" x14ac:dyDescent="0.25">
      <c r="A109" s="1735" t="s">
        <v>266</v>
      </c>
      <c r="B109" s="1736" t="s">
        <v>591</v>
      </c>
      <c r="C109" s="1737">
        <f t="shared" ref="C109:K109" si="4">SUM(C12,C18,C40,C63,C67,C75,C82,C93,C108,)</f>
        <v>577602</v>
      </c>
      <c r="D109" s="1737">
        <f t="shared" si="4"/>
        <v>334109</v>
      </c>
      <c r="E109" s="1737">
        <f t="shared" si="4"/>
        <v>1669</v>
      </c>
      <c r="F109" s="1737">
        <f t="shared" si="4"/>
        <v>47364</v>
      </c>
      <c r="G109" s="1737">
        <f t="shared" si="4"/>
        <v>128486</v>
      </c>
      <c r="H109" s="1737">
        <f t="shared" si="4"/>
        <v>1</v>
      </c>
      <c r="I109" s="1737">
        <f t="shared" si="4"/>
        <v>11491</v>
      </c>
      <c r="J109" s="1737">
        <f t="shared" si="4"/>
        <v>156496</v>
      </c>
      <c r="K109" s="1724">
        <f t="shared" si="4"/>
        <v>419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2473787</v>
      </c>
      <c r="D117" s="481">
        <v>35000</v>
      </c>
      <c r="E117" s="466"/>
      <c r="F117" s="481">
        <v>86000</v>
      </c>
      <c r="G117" s="481">
        <v>21000</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2473787</v>
      </c>
      <c r="D121" s="1729">
        <f t="shared" si="5"/>
        <v>35000</v>
      </c>
      <c r="E121" s="1729">
        <f t="shared" si="5"/>
        <v>0</v>
      </c>
      <c r="F121" s="1729">
        <f t="shared" si="5"/>
        <v>86000</v>
      </c>
      <c r="G121" s="1729">
        <f t="shared" si="5"/>
        <v>21000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30426</v>
      </c>
      <c r="D125" s="561"/>
      <c r="E125" s="468"/>
      <c r="F125" s="466"/>
      <c r="G125" s="468"/>
      <c r="H125" s="468"/>
      <c r="I125" s="468"/>
      <c r="J125" s="468"/>
      <c r="K125" s="468"/>
    </row>
    <row r="126" spans="1:11" ht="12.75" customHeight="1" x14ac:dyDescent="0.2">
      <c r="A126" s="463" t="s">
        <v>922</v>
      </c>
      <c r="B126" s="562">
        <v>3110</v>
      </c>
      <c r="C126" s="551">
        <v>39933</v>
      </c>
      <c r="D126" s="466"/>
      <c r="E126" s="468"/>
      <c r="F126" s="466"/>
      <c r="G126" s="468"/>
      <c r="H126" s="468"/>
      <c r="I126" s="468"/>
      <c r="J126" s="468"/>
      <c r="K126" s="468"/>
    </row>
    <row r="127" spans="1:11" ht="12.75" customHeight="1" x14ac:dyDescent="0.2">
      <c r="A127" s="463" t="s">
        <v>107</v>
      </c>
      <c r="B127" s="562">
        <v>3120</v>
      </c>
      <c r="C127" s="466">
        <v>9591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79950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150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4000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4150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2968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6846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63203</v>
      </c>
      <c r="G151" s="467"/>
      <c r="H151" s="468"/>
      <c r="I151" s="468"/>
      <c r="J151" s="468"/>
      <c r="K151" s="468"/>
    </row>
    <row r="152" spans="1:11" ht="12.75" customHeight="1" x14ac:dyDescent="0.2">
      <c r="A152" s="463" t="s">
        <v>1117</v>
      </c>
      <c r="B152" s="562">
        <v>3510</v>
      </c>
      <c r="C152" s="551"/>
      <c r="D152" s="466"/>
      <c r="E152" s="561"/>
      <c r="F152" s="466">
        <v>57777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120980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140126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234040</v>
      </c>
      <c r="D172" s="1744">
        <f t="shared" si="6"/>
        <v>0</v>
      </c>
      <c r="E172" s="1744">
        <f t="shared" si="6"/>
        <v>0</v>
      </c>
      <c r="F172" s="1744">
        <f t="shared" si="6"/>
        <v>120980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2707827</v>
      </c>
      <c r="D173" s="1737">
        <f>SUM(D121,D172)</f>
        <v>35000</v>
      </c>
      <c r="E173" s="1737">
        <f>SUM(E121,E172)</f>
        <v>0</v>
      </c>
      <c r="F173" s="1737">
        <f t="shared" ref="F173:K173" si="7">SUM(F121,F172)</f>
        <v>206980</v>
      </c>
      <c r="G173" s="1737">
        <f t="shared" si="7"/>
        <v>21000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125948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47188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173136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145111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145111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113</v>
      </c>
      <c r="D215" s="466"/>
      <c r="E215" s="468"/>
      <c r="F215" s="466"/>
      <c r="G215" s="466"/>
      <c r="H215" s="468"/>
      <c r="I215" s="468"/>
      <c r="J215" s="468"/>
      <c r="K215" s="468"/>
    </row>
    <row r="216" spans="1:11" ht="12.75" customHeight="1" thickBot="1" x14ac:dyDescent="0.25">
      <c r="A216" s="1730" t="s">
        <v>944</v>
      </c>
      <c r="B216" s="1731"/>
      <c r="C216" s="1729">
        <f>SUM(C213:C215)</f>
        <v>113</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3638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3638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37683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5813</v>
      </c>
      <c r="D270" s="576"/>
      <c r="E270" s="468"/>
      <c r="F270" s="576"/>
      <c r="G270" s="576"/>
      <c r="H270" s="468"/>
      <c r="I270" s="468"/>
      <c r="J270" s="468"/>
      <c r="K270" s="468"/>
    </row>
    <row r="271" spans="1:11" ht="12.75" customHeight="1" thickTop="1" thickBot="1" x14ac:dyDescent="0.25">
      <c r="A271" s="463" t="s">
        <v>395</v>
      </c>
      <c r="B271" s="470">
        <v>4992</v>
      </c>
      <c r="C271" s="575">
        <v>33395</v>
      </c>
      <c r="D271" s="576"/>
      <c r="E271" s="468"/>
      <c r="F271" s="576"/>
      <c r="G271" s="576"/>
      <c r="H271" s="468"/>
      <c r="I271" s="468"/>
      <c r="J271" s="468"/>
      <c r="K271" s="468"/>
    </row>
    <row r="272" spans="1:11" s="594" customFormat="1" ht="12.75" customHeight="1" thickTop="1" thickBot="1" x14ac:dyDescent="0.25">
      <c r="A272" s="563" t="s">
        <v>77</v>
      </c>
      <c r="B272" s="557">
        <v>4999</v>
      </c>
      <c r="C272" s="575">
        <v>7411</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406300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406300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3691729</v>
      </c>
      <c r="D275" s="1737">
        <f t="shared" si="12"/>
        <v>369109</v>
      </c>
      <c r="E275" s="1737">
        <f t="shared" si="12"/>
        <v>1669</v>
      </c>
      <c r="F275" s="1737">
        <f t="shared" si="12"/>
        <v>254344</v>
      </c>
      <c r="G275" s="1737">
        <f t="shared" si="12"/>
        <v>149486</v>
      </c>
      <c r="H275" s="1737">
        <f t="shared" si="12"/>
        <v>1</v>
      </c>
      <c r="I275" s="1737">
        <f t="shared" si="12"/>
        <v>11491</v>
      </c>
      <c r="J275" s="1737">
        <f t="shared" si="12"/>
        <v>156496</v>
      </c>
      <c r="K275" s="1724">
        <f t="shared" si="12"/>
        <v>419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gridLines="1"/>
  <pageMargins left="0.25" right="0.2" top="1" bottom="0.5" header="0.5" footer="0.16"/>
  <pageSetup scale="67" firstPageNumber="9" orientation="landscape" useFirstPageNumber="1" r:id="rId1"/>
  <headerFooter alignWithMargins="0">
    <oddHeader>&amp;L&amp;8Page &amp;P&amp;C&amp;"Arial,Bold"&amp;9STATEMENT OF REVENUES RECEIVED/REVENUES
FOR THE YEAR ENDING JUNE 30, 2018&amp;R&amp;8Page &amp;P</oddHeader>
    <oddFooter>&amp;L&amp;8The accompnaying notes are an integral part of this financial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7" activePane="bottomLeft" state="frozen"/>
      <selection activeCell="E30" sqref="E30"/>
      <selection pane="bottomLeft" activeCell="E30" sqref="E3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952987</v>
      </c>
      <c r="D5" s="466">
        <v>239757</v>
      </c>
      <c r="E5" s="466">
        <v>12882</v>
      </c>
      <c r="F5" s="466">
        <v>43303</v>
      </c>
      <c r="G5" s="466">
        <v>2325</v>
      </c>
      <c r="H5" s="466"/>
      <c r="I5" s="467"/>
      <c r="J5" s="467"/>
      <c r="K5" s="1693">
        <f>SUM(C5:J5)</f>
        <v>1251254</v>
      </c>
      <c r="L5" s="466">
        <v>1253134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74690</v>
      </c>
      <c r="D7" s="467">
        <v>14506</v>
      </c>
      <c r="E7" s="467">
        <v>2673</v>
      </c>
      <c r="F7" s="467">
        <v>10056</v>
      </c>
      <c r="G7" s="467"/>
      <c r="H7" s="467"/>
      <c r="I7" s="467"/>
      <c r="J7" s="467"/>
      <c r="K7" s="1693">
        <f t="shared" ref="K7:K32" si="0">SUM(C7:J7)</f>
        <v>101925</v>
      </c>
      <c r="L7" s="466">
        <v>96624</v>
      </c>
    </row>
    <row r="8" spans="1:14" x14ac:dyDescent="0.2">
      <c r="A8" s="1526" t="s">
        <v>166</v>
      </c>
      <c r="B8" s="615">
        <v>1200</v>
      </c>
      <c r="C8" s="466">
        <v>426207</v>
      </c>
      <c r="D8" s="466">
        <v>80863</v>
      </c>
      <c r="E8" s="466">
        <v>1947</v>
      </c>
      <c r="F8" s="466">
        <v>162</v>
      </c>
      <c r="G8" s="466"/>
      <c r="H8" s="466"/>
      <c r="I8" s="467"/>
      <c r="J8" s="467"/>
      <c r="K8" s="1693">
        <f t="shared" si="0"/>
        <v>509179</v>
      </c>
      <c r="L8" s="466">
        <v>509178</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77719</v>
      </c>
      <c r="D10" s="466">
        <v>7690</v>
      </c>
      <c r="E10" s="466">
        <v>18954</v>
      </c>
      <c r="F10" s="466">
        <v>49347</v>
      </c>
      <c r="G10" s="466">
        <v>8396</v>
      </c>
      <c r="H10" s="466"/>
      <c r="I10" s="467"/>
      <c r="J10" s="467"/>
      <c r="K10" s="1693">
        <f t="shared" si="0"/>
        <v>162106</v>
      </c>
      <c r="L10" s="466">
        <v>151164</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114987</v>
      </c>
      <c r="D13" s="466">
        <v>29437</v>
      </c>
      <c r="E13" s="466">
        <v>3052</v>
      </c>
      <c r="F13" s="466">
        <v>3747</v>
      </c>
      <c r="G13" s="466">
        <v>12922</v>
      </c>
      <c r="H13" s="466"/>
      <c r="I13" s="467"/>
      <c r="J13" s="467"/>
      <c r="K13" s="1693">
        <f t="shared" si="0"/>
        <v>164145</v>
      </c>
      <c r="L13" s="466">
        <v>163820</v>
      </c>
    </row>
    <row r="14" spans="1:14" x14ac:dyDescent="0.2">
      <c r="A14" s="1526" t="s">
        <v>1020</v>
      </c>
      <c r="B14" s="615">
        <v>1500</v>
      </c>
      <c r="C14" s="466">
        <v>35694</v>
      </c>
      <c r="D14" s="466">
        <v>3321</v>
      </c>
      <c r="E14" s="466">
        <v>25266</v>
      </c>
      <c r="F14" s="466">
        <v>11913</v>
      </c>
      <c r="G14" s="466"/>
      <c r="H14" s="466"/>
      <c r="I14" s="467"/>
      <c r="J14" s="467"/>
      <c r="K14" s="1693">
        <f t="shared" si="0"/>
        <v>76194</v>
      </c>
      <c r="L14" s="466">
        <v>76316</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56281</v>
      </c>
      <c r="D17" s="467">
        <v>14465</v>
      </c>
      <c r="E17" s="467">
        <v>3215</v>
      </c>
      <c r="F17" s="467">
        <v>318</v>
      </c>
      <c r="G17" s="467"/>
      <c r="H17" s="467"/>
      <c r="I17" s="467"/>
      <c r="J17" s="467"/>
      <c r="K17" s="1693">
        <f t="shared" si="0"/>
        <v>74279</v>
      </c>
      <c r="L17" s="466">
        <v>74238</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v>500</v>
      </c>
      <c r="D19" s="466"/>
      <c r="E19" s="466"/>
      <c r="F19" s="466"/>
      <c r="G19" s="466"/>
      <c r="H19" s="466"/>
      <c r="I19" s="467"/>
      <c r="J19" s="467"/>
      <c r="K19" s="1693">
        <f t="shared" si="0"/>
        <v>500</v>
      </c>
      <c r="L19" s="466">
        <v>500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1739065</v>
      </c>
      <c r="D33" s="1692">
        <f t="shared" ref="D33:L33" si="1">SUM(D5:D32)</f>
        <v>390039</v>
      </c>
      <c r="E33" s="1692">
        <f t="shared" si="1"/>
        <v>67989</v>
      </c>
      <c r="F33" s="1692">
        <f t="shared" si="1"/>
        <v>118846</v>
      </c>
      <c r="G33" s="1692">
        <f t="shared" si="1"/>
        <v>23643</v>
      </c>
      <c r="H33" s="1692">
        <f t="shared" si="1"/>
        <v>0</v>
      </c>
      <c r="I33" s="1692">
        <f t="shared" si="1"/>
        <v>0</v>
      </c>
      <c r="J33" s="1692">
        <f t="shared" si="1"/>
        <v>0</v>
      </c>
      <c r="K33" s="1692">
        <f t="shared" si="1"/>
        <v>2339582</v>
      </c>
      <c r="L33" s="1692">
        <f t="shared" si="1"/>
        <v>2324974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79261</v>
      </c>
      <c r="D37" s="466">
        <v>13579</v>
      </c>
      <c r="E37" s="466"/>
      <c r="F37" s="466"/>
      <c r="G37" s="466"/>
      <c r="H37" s="466"/>
      <c r="I37" s="467"/>
      <c r="J37" s="467"/>
      <c r="K37" s="1693">
        <f t="shared" si="2"/>
        <v>92840</v>
      </c>
      <c r="L37" s="466">
        <v>92840</v>
      </c>
    </row>
    <row r="38" spans="1:14" x14ac:dyDescent="0.2">
      <c r="A38" s="1526" t="s">
        <v>207</v>
      </c>
      <c r="B38" s="615">
        <v>2130</v>
      </c>
      <c r="C38" s="466">
        <v>29579</v>
      </c>
      <c r="D38" s="466">
        <v>6600</v>
      </c>
      <c r="E38" s="466">
        <v>140</v>
      </c>
      <c r="F38" s="466">
        <v>2088</v>
      </c>
      <c r="G38" s="466">
        <v>980</v>
      </c>
      <c r="H38" s="466"/>
      <c r="I38" s="467"/>
      <c r="J38" s="467"/>
      <c r="K38" s="1693">
        <f t="shared" si="2"/>
        <v>39387</v>
      </c>
      <c r="L38" s="466">
        <v>38267</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48280</v>
      </c>
      <c r="D40" s="466">
        <v>13372</v>
      </c>
      <c r="E40" s="466"/>
      <c r="F40" s="466"/>
      <c r="G40" s="466"/>
      <c r="H40" s="466"/>
      <c r="I40" s="467"/>
      <c r="J40" s="467"/>
      <c r="K40" s="1693">
        <f t="shared" si="2"/>
        <v>61652</v>
      </c>
      <c r="L40" s="466">
        <v>62831</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157120</v>
      </c>
      <c r="D42" s="1692">
        <f t="shared" ref="D42:L42" si="3">SUM(D36:D41)</f>
        <v>33551</v>
      </c>
      <c r="E42" s="1692">
        <f t="shared" si="3"/>
        <v>140</v>
      </c>
      <c r="F42" s="1692">
        <f t="shared" si="3"/>
        <v>2088</v>
      </c>
      <c r="G42" s="1692">
        <f t="shared" si="3"/>
        <v>980</v>
      </c>
      <c r="H42" s="1692">
        <f t="shared" si="3"/>
        <v>0</v>
      </c>
      <c r="I42" s="1692">
        <f t="shared" si="3"/>
        <v>0</v>
      </c>
      <c r="J42" s="1692">
        <f t="shared" si="3"/>
        <v>0</v>
      </c>
      <c r="K42" s="1692">
        <f t="shared" si="3"/>
        <v>193879</v>
      </c>
      <c r="L42" s="1692">
        <f t="shared" si="3"/>
        <v>193938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0</v>
      </c>
    </row>
    <row r="45" spans="1:14" x14ac:dyDescent="0.2">
      <c r="A45" s="1526" t="s">
        <v>869</v>
      </c>
      <c r="B45" s="615">
        <v>2220</v>
      </c>
      <c r="C45" s="466">
        <v>65339</v>
      </c>
      <c r="D45" s="466">
        <v>16095</v>
      </c>
      <c r="E45" s="466">
        <v>417</v>
      </c>
      <c r="F45" s="466">
        <v>426</v>
      </c>
      <c r="G45" s="466"/>
      <c r="H45" s="466"/>
      <c r="I45" s="467"/>
      <c r="J45" s="467"/>
      <c r="K45" s="1694">
        <f>SUM(C45:J45)</f>
        <v>82277</v>
      </c>
      <c r="L45" s="466">
        <v>82277</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65339</v>
      </c>
      <c r="D47" s="1692">
        <f t="shared" ref="D47:K47" si="4">SUM(D44:D46)</f>
        <v>16095</v>
      </c>
      <c r="E47" s="1692">
        <f t="shared" si="4"/>
        <v>417</v>
      </c>
      <c r="F47" s="1692">
        <f t="shared" si="4"/>
        <v>426</v>
      </c>
      <c r="G47" s="1692">
        <f t="shared" si="4"/>
        <v>0</v>
      </c>
      <c r="H47" s="1692">
        <f t="shared" si="4"/>
        <v>0</v>
      </c>
      <c r="I47" s="1692">
        <f t="shared" si="4"/>
        <v>0</v>
      </c>
      <c r="J47" s="1692">
        <f t="shared" si="4"/>
        <v>0</v>
      </c>
      <c r="K47" s="1692">
        <f t="shared" si="4"/>
        <v>82277</v>
      </c>
      <c r="L47" s="1692">
        <f>SUM(L44:L46)</f>
        <v>82277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15643</v>
      </c>
      <c r="F49" s="481"/>
      <c r="G49" s="481"/>
      <c r="H49" s="481"/>
      <c r="I49" s="467"/>
      <c r="J49" s="467"/>
      <c r="K49" s="1694">
        <f>SUM(C49:J49)</f>
        <v>15643</v>
      </c>
      <c r="L49" s="481">
        <v>15643</v>
      </c>
    </row>
    <row r="50" spans="1:14" x14ac:dyDescent="0.2">
      <c r="A50" s="1526" t="s">
        <v>872</v>
      </c>
      <c r="B50" s="615">
        <v>2320</v>
      </c>
      <c r="C50" s="466">
        <v>63549</v>
      </c>
      <c r="D50" s="466">
        <v>27106</v>
      </c>
      <c r="E50" s="466">
        <v>6879</v>
      </c>
      <c r="F50" s="466">
        <v>2600</v>
      </c>
      <c r="G50" s="466"/>
      <c r="H50" s="466"/>
      <c r="I50" s="467"/>
      <c r="J50" s="467"/>
      <c r="K50" s="1694">
        <f>SUM(C50:J50)</f>
        <v>100134</v>
      </c>
      <c r="L50" s="466">
        <v>100121</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63549</v>
      </c>
      <c r="D53" s="1692">
        <f t="shared" ref="D53:L53" si="5">SUM(D49:D52)</f>
        <v>27106</v>
      </c>
      <c r="E53" s="1692">
        <f t="shared" si="5"/>
        <v>22522</v>
      </c>
      <c r="F53" s="1692">
        <f t="shared" si="5"/>
        <v>2600</v>
      </c>
      <c r="G53" s="1692">
        <f t="shared" si="5"/>
        <v>0</v>
      </c>
      <c r="H53" s="1692">
        <f t="shared" si="5"/>
        <v>0</v>
      </c>
      <c r="I53" s="1692">
        <f t="shared" si="5"/>
        <v>0</v>
      </c>
      <c r="J53" s="1692">
        <f t="shared" si="5"/>
        <v>0</v>
      </c>
      <c r="K53" s="1692">
        <f t="shared" si="5"/>
        <v>115777</v>
      </c>
      <c r="L53" s="1692">
        <f t="shared" si="5"/>
        <v>115764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160003</v>
      </c>
      <c r="D55" s="481">
        <v>31034</v>
      </c>
      <c r="E55" s="481">
        <v>1686</v>
      </c>
      <c r="F55" s="481">
        <v>79</v>
      </c>
      <c r="G55" s="481"/>
      <c r="H55" s="481"/>
      <c r="I55" s="467"/>
      <c r="J55" s="467"/>
      <c r="K55" s="1694">
        <f>SUM(C55:J55)</f>
        <v>192802</v>
      </c>
      <c r="L55" s="481">
        <v>192735</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160003</v>
      </c>
      <c r="D57" s="1696">
        <f t="shared" ref="D57:K57" si="6">SUM(D55:D56)</f>
        <v>31034</v>
      </c>
      <c r="E57" s="1696">
        <f t="shared" si="6"/>
        <v>1686</v>
      </c>
      <c r="F57" s="1696">
        <f t="shared" si="6"/>
        <v>79</v>
      </c>
      <c r="G57" s="1696">
        <f t="shared" si="6"/>
        <v>0</v>
      </c>
      <c r="H57" s="1696">
        <f t="shared" si="6"/>
        <v>0</v>
      </c>
      <c r="I57" s="1696">
        <f t="shared" si="6"/>
        <v>0</v>
      </c>
      <c r="J57" s="1696">
        <f t="shared" si="6"/>
        <v>0</v>
      </c>
      <c r="K57" s="1696">
        <f t="shared" si="6"/>
        <v>192802</v>
      </c>
      <c r="L57" s="1692">
        <f>SUM(L55:L56)</f>
        <v>192735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38875</v>
      </c>
      <c r="D60" s="466">
        <v>102</v>
      </c>
      <c r="E60" s="466">
        <v>5959</v>
      </c>
      <c r="F60" s="466">
        <v>1467</v>
      </c>
      <c r="G60" s="466"/>
      <c r="H60" s="466"/>
      <c r="I60" s="467"/>
      <c r="J60" s="467"/>
      <c r="K60" s="1694">
        <f t="shared" si="7"/>
        <v>46403</v>
      </c>
      <c r="L60" s="466">
        <v>46403</v>
      </c>
      <c r="M60" s="610"/>
      <c r="N60" s="610"/>
    </row>
    <row r="61" spans="1:14" s="343" customFormat="1" x14ac:dyDescent="0.2">
      <c r="A61" s="1526" t="s">
        <v>206</v>
      </c>
      <c r="B61" s="615">
        <v>2540</v>
      </c>
      <c r="C61" s="466">
        <v>137920</v>
      </c>
      <c r="D61" s="466">
        <v>18811</v>
      </c>
      <c r="E61" s="466"/>
      <c r="F61" s="466"/>
      <c r="G61" s="466"/>
      <c r="H61" s="466"/>
      <c r="I61" s="467"/>
      <c r="J61" s="467"/>
      <c r="K61" s="1694">
        <f t="shared" si="7"/>
        <v>156731</v>
      </c>
      <c r="L61" s="466">
        <v>155910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75053</v>
      </c>
      <c r="D63" s="466">
        <v>7404</v>
      </c>
      <c r="E63" s="466">
        <v>2598</v>
      </c>
      <c r="F63" s="466">
        <v>68000</v>
      </c>
      <c r="G63" s="466"/>
      <c r="H63" s="466"/>
      <c r="I63" s="467"/>
      <c r="J63" s="467"/>
      <c r="K63" s="1694">
        <f t="shared" si="7"/>
        <v>153055</v>
      </c>
      <c r="L63" s="466">
        <v>153068</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251848</v>
      </c>
      <c r="D65" s="1692">
        <f t="shared" ref="D65:L65" si="8">SUM(D59:D64)</f>
        <v>26317</v>
      </c>
      <c r="E65" s="1692">
        <f t="shared" si="8"/>
        <v>8557</v>
      </c>
      <c r="F65" s="1692">
        <f t="shared" si="8"/>
        <v>69467</v>
      </c>
      <c r="G65" s="1692">
        <f t="shared" si="8"/>
        <v>0</v>
      </c>
      <c r="H65" s="1692">
        <f t="shared" si="8"/>
        <v>0</v>
      </c>
      <c r="I65" s="1692">
        <f t="shared" si="8"/>
        <v>0</v>
      </c>
      <c r="J65" s="1692">
        <f t="shared" si="8"/>
        <v>0</v>
      </c>
      <c r="K65" s="1692">
        <f t="shared" si="8"/>
        <v>356189</v>
      </c>
      <c r="L65" s="1692">
        <f t="shared" si="8"/>
        <v>355381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697859</v>
      </c>
      <c r="D74" s="1699">
        <f t="shared" ref="D74:K74" si="10">SUM(D42,D47,D53,D57,D65,D72,D73)</f>
        <v>134103</v>
      </c>
      <c r="E74" s="1699">
        <f t="shared" si="10"/>
        <v>33322</v>
      </c>
      <c r="F74" s="1699">
        <f t="shared" si="10"/>
        <v>74660</v>
      </c>
      <c r="G74" s="1699">
        <f t="shared" si="10"/>
        <v>980</v>
      </c>
      <c r="H74" s="1699">
        <f t="shared" si="10"/>
        <v>0</v>
      </c>
      <c r="I74" s="1699">
        <f t="shared" si="10"/>
        <v>0</v>
      </c>
      <c r="J74" s="1699">
        <f t="shared" si="10"/>
        <v>0</v>
      </c>
      <c r="K74" s="1699">
        <f t="shared" si="10"/>
        <v>940924</v>
      </c>
      <c r="L74" s="1699">
        <f>SUM(L42,L47,L53,L57,L65,L72,L73)</f>
        <v>940095</v>
      </c>
    </row>
    <row r="75" spans="1:14" s="259" customFormat="1" ht="15.75" customHeight="1" thickTop="1" thickBot="1" x14ac:dyDescent="0.25">
      <c r="A75" s="1632" t="s">
        <v>49</v>
      </c>
      <c r="B75" s="1633" t="s">
        <v>596</v>
      </c>
      <c r="C75" s="573"/>
      <c r="D75" s="573"/>
      <c r="E75" s="573"/>
      <c r="F75" s="573"/>
      <c r="G75" s="573"/>
      <c r="H75" s="573">
        <v>2027</v>
      </c>
      <c r="I75" s="531"/>
      <c r="J75" s="531"/>
      <c r="K75" s="1692">
        <f>SUM(C75:J75)</f>
        <v>2027</v>
      </c>
      <c r="L75" s="576">
        <v>2027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15346</v>
      </c>
      <c r="F79" s="617"/>
      <c r="G79" s="617"/>
      <c r="H79" s="466"/>
      <c r="I79" s="477"/>
      <c r="J79" s="477"/>
      <c r="K79" s="1693">
        <f t="shared" si="11"/>
        <v>15346</v>
      </c>
      <c r="L79" s="466">
        <v>15346</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15346</v>
      </c>
      <c r="F84" s="617"/>
      <c r="G84" s="617"/>
      <c r="H84" s="1692">
        <f>SUM(H78:H83)</f>
        <v>0</v>
      </c>
      <c r="I84" s="477"/>
      <c r="J84" s="477"/>
      <c r="K84" s="1692">
        <f>SUM(K78:K83)</f>
        <v>15346</v>
      </c>
      <c r="L84" s="1692">
        <f>SUM(L78:L83)</f>
        <v>15346</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v>65603</v>
      </c>
      <c r="I86" s="477"/>
      <c r="J86" s="477"/>
      <c r="K86" s="1699">
        <f t="shared" ref="K86:K98" si="12">H86</f>
        <v>65603</v>
      </c>
      <c r="L86" s="530">
        <v>65603</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v>824</v>
      </c>
      <c r="I88" s="477"/>
      <c r="J88" s="477"/>
      <c r="K88" s="1699">
        <f t="shared" si="12"/>
        <v>824</v>
      </c>
      <c r="L88" s="530">
        <v>824</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66427</v>
      </c>
      <c r="I92" s="477"/>
      <c r="J92" s="477"/>
      <c r="K92" s="1699">
        <f t="shared" si="12"/>
        <v>66427</v>
      </c>
      <c r="L92" s="1692">
        <f>SUM(L85:L91)</f>
        <v>66427</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15346</v>
      </c>
      <c r="F102" s="617"/>
      <c r="G102" s="617"/>
      <c r="H102" s="1699">
        <f>SUM(H84,H92,H100,H101)</f>
        <v>66427</v>
      </c>
      <c r="I102" s="477"/>
      <c r="J102" s="477"/>
      <c r="K102" s="1699">
        <f>SUM(K84,K92,K100,K101)</f>
        <v>81773</v>
      </c>
      <c r="L102" s="1699">
        <f>SUM(L84,L92,L100,L101)</f>
        <v>81773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2436924</v>
      </c>
      <c r="D114" s="1692">
        <f t="shared" ref="D114:K114" si="13">SUM(D33,D74,D75,D102,D112,D113)</f>
        <v>524142</v>
      </c>
      <c r="E114" s="1692">
        <f t="shared" si="13"/>
        <v>116657</v>
      </c>
      <c r="F114" s="1692">
        <f t="shared" si="13"/>
        <v>193506</v>
      </c>
      <c r="G114" s="1692">
        <f t="shared" si="13"/>
        <v>24623</v>
      </c>
      <c r="H114" s="1692">
        <f>SUM(H33,H74,H75,H102,H112,H113)</f>
        <v>68454</v>
      </c>
      <c r="I114" s="1692">
        <f t="shared" si="13"/>
        <v>0</v>
      </c>
      <c r="J114" s="1692">
        <f t="shared" si="13"/>
        <v>0</v>
      </c>
      <c r="K114" s="1692">
        <f t="shared" si="13"/>
        <v>3364306</v>
      </c>
      <c r="L114" s="1692">
        <f>SUM(L33,L74,L75,L102,L112,L113)</f>
        <v>3348869</v>
      </c>
    </row>
    <row r="115" spans="1:14" ht="13.5" thickTop="1" x14ac:dyDescent="0.2">
      <c r="A115" s="2201" t="s">
        <v>1053</v>
      </c>
      <c r="B115" s="2202"/>
      <c r="C115" s="619"/>
      <c r="D115" s="619"/>
      <c r="E115" s="619"/>
      <c r="F115" s="619"/>
      <c r="G115" s="619"/>
      <c r="H115" s="619"/>
      <c r="I115" s="619"/>
      <c r="J115" s="619"/>
      <c r="K115" s="1706">
        <f>'Revenues 9-14'!C275-'Expenditures 15-22'!K114</f>
        <v>327423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v>124607</v>
      </c>
      <c r="H123" s="466"/>
      <c r="I123" s="467"/>
      <c r="J123" s="467"/>
      <c r="K123" s="1692">
        <f>SUM(C123:J123)</f>
        <v>124607</v>
      </c>
      <c r="L123" s="466">
        <v>141363</v>
      </c>
    </row>
    <row r="124" spans="1:14" ht="14.25" thickTop="1" thickBot="1" x14ac:dyDescent="0.25">
      <c r="A124" s="1526" t="s">
        <v>206</v>
      </c>
      <c r="B124" s="615">
        <v>2540</v>
      </c>
      <c r="C124" s="466"/>
      <c r="D124" s="466"/>
      <c r="E124" s="466">
        <v>85241</v>
      </c>
      <c r="F124" s="466">
        <v>104611</v>
      </c>
      <c r="G124" s="466">
        <v>13546</v>
      </c>
      <c r="H124" s="466"/>
      <c r="I124" s="467"/>
      <c r="J124" s="467"/>
      <c r="K124" s="1692">
        <f>SUM(C124:J124)</f>
        <v>203398</v>
      </c>
      <c r="L124" s="466">
        <v>184814</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0</v>
      </c>
      <c r="D127" s="1692">
        <f t="shared" ref="D127:L127" si="14">SUM(D122:D126)</f>
        <v>0</v>
      </c>
      <c r="E127" s="1692">
        <f t="shared" si="14"/>
        <v>85241</v>
      </c>
      <c r="F127" s="1692">
        <f t="shared" si="14"/>
        <v>104611</v>
      </c>
      <c r="G127" s="1692">
        <f t="shared" si="14"/>
        <v>138153</v>
      </c>
      <c r="H127" s="1692">
        <f t="shared" si="14"/>
        <v>0</v>
      </c>
      <c r="I127" s="1692">
        <f t="shared" si="14"/>
        <v>0</v>
      </c>
      <c r="J127" s="1692">
        <f t="shared" si="14"/>
        <v>0</v>
      </c>
      <c r="K127" s="1692">
        <f t="shared" si="14"/>
        <v>328005</v>
      </c>
      <c r="L127" s="1692">
        <f t="shared" si="14"/>
        <v>326177</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0</v>
      </c>
      <c r="D129" s="1699">
        <f t="shared" ref="D129:L129" si="15">SUM(D120,D127,D128)</f>
        <v>0</v>
      </c>
      <c r="E129" s="1699">
        <f t="shared" si="15"/>
        <v>85241</v>
      </c>
      <c r="F129" s="1699">
        <f t="shared" si="15"/>
        <v>104611</v>
      </c>
      <c r="G129" s="1699">
        <f t="shared" si="15"/>
        <v>138153</v>
      </c>
      <c r="H129" s="1699">
        <f t="shared" si="15"/>
        <v>0</v>
      </c>
      <c r="I129" s="1699">
        <f t="shared" si="15"/>
        <v>0</v>
      </c>
      <c r="J129" s="1699">
        <f t="shared" si="15"/>
        <v>0</v>
      </c>
      <c r="K129" s="1699">
        <f t="shared" si="15"/>
        <v>328005</v>
      </c>
      <c r="L129" s="1699">
        <f t="shared" si="15"/>
        <v>326177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3"/>
      <c r="C151" s="1692">
        <f>SUM(C129,C130,C139,C149,C150)</f>
        <v>0</v>
      </c>
      <c r="D151" s="1692">
        <f t="shared" ref="D151:K151" si="16">SUM(D129,D130,D139,D149,D150)</f>
        <v>0</v>
      </c>
      <c r="E151" s="1692">
        <f t="shared" si="16"/>
        <v>85241</v>
      </c>
      <c r="F151" s="1692">
        <f t="shared" si="16"/>
        <v>104611</v>
      </c>
      <c r="G151" s="1692">
        <f t="shared" si="16"/>
        <v>138153</v>
      </c>
      <c r="H151" s="1692">
        <f t="shared" si="16"/>
        <v>0</v>
      </c>
      <c r="I151" s="1692">
        <f t="shared" si="16"/>
        <v>0</v>
      </c>
      <c r="J151" s="1692">
        <f t="shared" si="16"/>
        <v>0</v>
      </c>
      <c r="K151" s="1692">
        <f t="shared" si="16"/>
        <v>328005</v>
      </c>
      <c r="L151" s="1692">
        <f>SUM(L129,L130,L139,L149,L150)</f>
        <v>326177</v>
      </c>
    </row>
    <row r="152" spans="1:14" ht="12.75" customHeight="1" thickTop="1" x14ac:dyDescent="0.2">
      <c r="A152" s="2194" t="s">
        <v>1240</v>
      </c>
      <c r="B152" s="2195"/>
      <c r="C152" s="619"/>
      <c r="D152" s="619"/>
      <c r="E152" s="619"/>
      <c r="F152" s="619"/>
      <c r="G152" s="619"/>
      <c r="H152" s="619"/>
      <c r="I152" s="619"/>
      <c r="J152" s="617"/>
      <c r="K152" s="1706">
        <f>'Revenues 9-14'!D275-'Expenditures 15-22'!K151</f>
        <v>41104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1787</v>
      </c>
      <c r="I169" s="617"/>
      <c r="J169" s="617"/>
      <c r="K169" s="1693">
        <f>SUM(C169:H169)</f>
        <v>1787</v>
      </c>
      <c r="L169" s="657">
        <v>1787</v>
      </c>
    </row>
    <row r="170" spans="1:14" ht="33.75" customHeight="1" x14ac:dyDescent="0.2">
      <c r="A170" s="670" t="s">
        <v>1769</v>
      </c>
      <c r="B170" s="672" t="s">
        <v>31</v>
      </c>
      <c r="C170" s="617"/>
      <c r="D170" s="617"/>
      <c r="E170" s="617"/>
      <c r="F170" s="617"/>
      <c r="G170" s="617"/>
      <c r="H170" s="569">
        <v>100700</v>
      </c>
      <c r="I170" s="617"/>
      <c r="J170" s="617"/>
      <c r="K170" s="1693">
        <f>SUM(C170:J170)</f>
        <v>100700</v>
      </c>
      <c r="L170" s="569">
        <v>100700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102487</v>
      </c>
      <c r="I172" s="639"/>
      <c r="J172" s="617"/>
      <c r="K172" s="1699">
        <f>SUM(K168,K169,K170,K171)</f>
        <v>102487</v>
      </c>
      <c r="L172" s="1699">
        <f>SUM(L168,L169,L170,L171)</f>
        <v>102487</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102487</v>
      </c>
      <c r="I174" s="639"/>
      <c r="J174" s="617"/>
      <c r="K174" s="1699">
        <f>SUM(K160,K172,K173)</f>
        <v>102487</v>
      </c>
      <c r="L174" s="1699">
        <f>SUM(L160,L172,L173)</f>
        <v>102487</v>
      </c>
    </row>
    <row r="175" spans="1:14" ht="13.5" thickTop="1" x14ac:dyDescent="0.2">
      <c r="A175" s="2201" t="s">
        <v>1053</v>
      </c>
      <c r="B175" s="2202"/>
      <c r="C175" s="617"/>
      <c r="D175" s="617"/>
      <c r="E175" s="617"/>
      <c r="F175" s="617"/>
      <c r="G175" s="617"/>
      <c r="H175" s="619"/>
      <c r="I175" s="617"/>
      <c r="J175" s="617"/>
      <c r="K175" s="1706">
        <f>'Revenues 9-14'!E275-'Expenditures 15-22'!K174</f>
        <v>-100818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8561</v>
      </c>
      <c r="D182" s="466">
        <v>4038</v>
      </c>
      <c r="E182" s="466">
        <v>166641</v>
      </c>
      <c r="F182" s="466">
        <v>21275</v>
      </c>
      <c r="G182" s="466"/>
      <c r="H182" s="466"/>
      <c r="I182" s="467"/>
      <c r="J182" s="467"/>
      <c r="K182" s="1693">
        <f>SUM(C182:J182)</f>
        <v>200515</v>
      </c>
      <c r="L182" s="466">
        <v>200815</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8561</v>
      </c>
      <c r="D184" s="1699">
        <f t="shared" ref="D184:J184" si="17">SUM(D180,D182,D183)</f>
        <v>4038</v>
      </c>
      <c r="E184" s="1699">
        <f t="shared" si="17"/>
        <v>166641</v>
      </c>
      <c r="F184" s="1699">
        <f t="shared" si="17"/>
        <v>21275</v>
      </c>
      <c r="G184" s="1699">
        <f t="shared" si="17"/>
        <v>0</v>
      </c>
      <c r="H184" s="1699">
        <f t="shared" si="17"/>
        <v>0</v>
      </c>
      <c r="I184" s="1699">
        <f t="shared" si="17"/>
        <v>0</v>
      </c>
      <c r="J184" s="1699">
        <f t="shared" si="17"/>
        <v>0</v>
      </c>
      <c r="K184" s="1699">
        <f>SUM(K180,K182,K183)</f>
        <v>200515</v>
      </c>
      <c r="L184" s="1699">
        <f>SUM(L180, L182:L183)</f>
        <v>200815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8561</v>
      </c>
      <c r="D210" s="1692">
        <f>SUM(D184,D185)</f>
        <v>4038</v>
      </c>
      <c r="E210" s="1692">
        <f>SUM(E184,E185,E196)</f>
        <v>166641</v>
      </c>
      <c r="F210" s="1692">
        <f>SUM(F184,F185)</f>
        <v>21275</v>
      </c>
      <c r="G210" s="1692">
        <f>SUM(G184,G185)</f>
        <v>0</v>
      </c>
      <c r="H210" s="1692">
        <f>SUM(H184,H185,H196,H208,H209)</f>
        <v>0</v>
      </c>
      <c r="I210" s="1692">
        <f>SUM(I184,I185)</f>
        <v>0</v>
      </c>
      <c r="J210" s="1692">
        <f>SUM(J184,J185)</f>
        <v>0</v>
      </c>
      <c r="K210" s="1693">
        <f>SUM(K184,K185,K196,K208,K209)</f>
        <v>200515</v>
      </c>
      <c r="L210" s="1692">
        <f>SUM(L184,L185,L196,L208,L209)</f>
        <v>200815</v>
      </c>
    </row>
    <row r="211" spans="1:14" ht="13.5" thickTop="1" x14ac:dyDescent="0.2">
      <c r="A211" s="2201" t="s">
        <v>1053</v>
      </c>
      <c r="B211" s="2202"/>
      <c r="C211" s="619"/>
      <c r="D211" s="619"/>
      <c r="E211" s="619"/>
      <c r="F211" s="619"/>
      <c r="G211" s="619"/>
      <c r="H211" s="619"/>
      <c r="I211" s="617"/>
      <c r="J211" s="617"/>
      <c r="K211" s="1706">
        <f>'Revenues 9-14'!F275-'Expenditures 15-22'!K210</f>
        <v>53829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13504</v>
      </c>
      <c r="E215" s="617"/>
      <c r="F215" s="617"/>
      <c r="G215" s="617"/>
      <c r="H215" s="617"/>
      <c r="I215" s="617"/>
      <c r="J215" s="617"/>
      <c r="K215" s="1693">
        <f>D215</f>
        <v>13504</v>
      </c>
      <c r="L215" s="466">
        <v>13585</v>
      </c>
    </row>
    <row r="216" spans="1:14" x14ac:dyDescent="0.2">
      <c r="A216" s="1526" t="s">
        <v>165</v>
      </c>
      <c r="B216" s="615" t="s">
        <v>1024</v>
      </c>
      <c r="C216" s="617"/>
      <c r="D216" s="467">
        <v>4376</v>
      </c>
      <c r="E216" s="617"/>
      <c r="F216" s="617"/>
      <c r="G216" s="617"/>
      <c r="H216" s="617"/>
      <c r="I216" s="617"/>
      <c r="J216" s="617"/>
      <c r="K216" s="1693">
        <f t="shared" ref="K216:K228" si="19">D216</f>
        <v>4376</v>
      </c>
      <c r="L216" s="466">
        <v>4458</v>
      </c>
    </row>
    <row r="217" spans="1:14" x14ac:dyDescent="0.2">
      <c r="A217" s="1526" t="s">
        <v>166</v>
      </c>
      <c r="B217" s="615">
        <v>1200</v>
      </c>
      <c r="C217" s="617"/>
      <c r="D217" s="466">
        <v>24470</v>
      </c>
      <c r="E217" s="617"/>
      <c r="F217" s="617"/>
      <c r="G217" s="617"/>
      <c r="H217" s="617"/>
      <c r="I217" s="617"/>
      <c r="J217" s="617"/>
      <c r="K217" s="1693">
        <f t="shared" si="19"/>
        <v>24470</v>
      </c>
      <c r="L217" s="466">
        <v>24474</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11979</v>
      </c>
      <c r="E219" s="617"/>
      <c r="F219" s="617"/>
      <c r="G219" s="617"/>
      <c r="H219" s="617"/>
      <c r="I219" s="617"/>
      <c r="J219" s="617"/>
      <c r="K219" s="1693">
        <f t="shared" si="19"/>
        <v>11979</v>
      </c>
      <c r="L219" s="466">
        <v>11979</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1518</v>
      </c>
      <c r="E222" s="617"/>
      <c r="F222" s="617"/>
      <c r="G222" s="617"/>
      <c r="H222" s="617"/>
      <c r="I222" s="617"/>
      <c r="J222" s="617"/>
      <c r="K222" s="1693">
        <f t="shared" si="19"/>
        <v>1518</v>
      </c>
      <c r="L222" s="466">
        <v>1528</v>
      </c>
    </row>
    <row r="223" spans="1:14" x14ac:dyDescent="0.2">
      <c r="A223" s="1526" t="s">
        <v>1020</v>
      </c>
      <c r="B223" s="615">
        <v>1500</v>
      </c>
      <c r="C223" s="617"/>
      <c r="D223" s="466">
        <v>1696</v>
      </c>
      <c r="E223" s="617"/>
      <c r="F223" s="617"/>
      <c r="G223" s="617"/>
      <c r="H223" s="617"/>
      <c r="I223" s="617"/>
      <c r="J223" s="617"/>
      <c r="K223" s="1693">
        <f t="shared" si="19"/>
        <v>1696</v>
      </c>
      <c r="L223" s="466">
        <v>1696</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809</v>
      </c>
      <c r="E226" s="617"/>
      <c r="F226" s="617"/>
      <c r="G226" s="617"/>
      <c r="H226" s="617"/>
      <c r="I226" s="617"/>
      <c r="J226" s="617"/>
      <c r="K226" s="1693">
        <f t="shared" si="19"/>
        <v>809</v>
      </c>
      <c r="L226" s="466">
        <v>810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v>82</v>
      </c>
      <c r="E228" s="617"/>
      <c r="F228" s="617"/>
      <c r="G228" s="617"/>
      <c r="H228" s="617"/>
      <c r="I228" s="617"/>
      <c r="J228" s="617"/>
      <c r="K228" s="1693">
        <f t="shared" si="19"/>
        <v>82</v>
      </c>
      <c r="L228" s="466">
        <v>83</v>
      </c>
    </row>
    <row r="229" spans="1:12" ht="12.75" customHeight="1" thickBot="1" x14ac:dyDescent="0.25">
      <c r="A229" s="1690" t="s">
        <v>739</v>
      </c>
      <c r="B229" s="1697" t="s">
        <v>591</v>
      </c>
      <c r="C229" s="617"/>
      <c r="D229" s="1692">
        <f>SUM(D215:D228)</f>
        <v>58434</v>
      </c>
      <c r="E229" s="617"/>
      <c r="F229" s="617"/>
      <c r="G229" s="617"/>
      <c r="H229" s="617"/>
      <c r="I229" s="617"/>
      <c r="J229" s="617"/>
      <c r="K229" s="1692">
        <f>SUM(K215:K228)</f>
        <v>58434</v>
      </c>
      <c r="L229" s="1692">
        <f>SUM(L215:L228)</f>
        <v>58613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5027</v>
      </c>
      <c r="E233" s="617"/>
      <c r="F233" s="617"/>
      <c r="G233" s="617"/>
      <c r="H233" s="617"/>
      <c r="I233" s="617"/>
      <c r="J233" s="617"/>
      <c r="K233" s="1693">
        <f t="shared" si="20"/>
        <v>5027</v>
      </c>
      <c r="L233" s="466">
        <v>5038</v>
      </c>
    </row>
    <row r="234" spans="1:12" x14ac:dyDescent="0.2">
      <c r="A234" s="1526" t="s">
        <v>207</v>
      </c>
      <c r="B234" s="615">
        <v>2130</v>
      </c>
      <c r="C234" s="617"/>
      <c r="D234" s="466">
        <v>4442</v>
      </c>
      <c r="E234" s="617"/>
      <c r="F234" s="617"/>
      <c r="G234" s="617"/>
      <c r="H234" s="617"/>
      <c r="I234" s="617"/>
      <c r="J234" s="617"/>
      <c r="K234" s="1693">
        <f t="shared" si="20"/>
        <v>4442</v>
      </c>
      <c r="L234" s="466">
        <v>4442</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v>676</v>
      </c>
      <c r="E236" s="617"/>
      <c r="F236" s="617"/>
      <c r="G236" s="617"/>
      <c r="H236" s="617"/>
      <c r="I236" s="617"/>
      <c r="J236" s="617"/>
      <c r="K236" s="1693">
        <f t="shared" si="20"/>
        <v>676</v>
      </c>
      <c r="L236" s="466">
        <v>649</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10145</v>
      </c>
      <c r="E238" s="617"/>
      <c r="F238" s="617"/>
      <c r="G238" s="617"/>
      <c r="H238" s="617"/>
      <c r="I238" s="617"/>
      <c r="J238" s="617"/>
      <c r="K238" s="1692">
        <f>SUM(K232:K237)</f>
        <v>10145</v>
      </c>
      <c r="L238" s="1692">
        <f>SUM(L232:L237)</f>
        <v>10129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v>681</v>
      </c>
      <c r="E241" s="617"/>
      <c r="F241" s="617"/>
      <c r="G241" s="617"/>
      <c r="H241" s="617"/>
      <c r="I241" s="617"/>
      <c r="J241" s="617"/>
      <c r="K241" s="1694">
        <f>D241</f>
        <v>681</v>
      </c>
      <c r="L241" s="466">
        <v>694</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681</v>
      </c>
      <c r="E243" s="617"/>
      <c r="F243" s="617"/>
      <c r="G243" s="617"/>
      <c r="H243" s="617"/>
      <c r="I243" s="617"/>
      <c r="J243" s="617"/>
      <c r="K243" s="1692">
        <f>SUM(K240:K242)</f>
        <v>681</v>
      </c>
      <c r="L243" s="1692">
        <f>SUM(L240:L242)</f>
        <v>694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921</v>
      </c>
      <c r="E246" s="617"/>
      <c r="F246" s="617"/>
      <c r="G246" s="617"/>
      <c r="H246" s="617"/>
      <c r="I246" s="617"/>
      <c r="J246" s="617"/>
      <c r="K246" s="1694">
        <f t="shared" ref="K246:K256" si="21">D246</f>
        <v>921</v>
      </c>
      <c r="L246" s="466">
        <v>921</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921</v>
      </c>
      <c r="E257" s="617"/>
      <c r="F257" s="617"/>
      <c r="G257" s="617"/>
      <c r="H257" s="617"/>
      <c r="I257" s="617"/>
      <c r="J257" s="617"/>
      <c r="K257" s="1692">
        <f>SUM(K245:K256)</f>
        <v>921</v>
      </c>
      <c r="L257" s="1692">
        <f>SUM(L245:L256)</f>
        <v>921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11295</v>
      </c>
      <c r="E259" s="617"/>
      <c r="F259" s="617"/>
      <c r="G259" s="617"/>
      <c r="H259" s="617"/>
      <c r="I259" s="617"/>
      <c r="J259" s="617"/>
      <c r="K259" s="1694">
        <f>D259</f>
        <v>11295</v>
      </c>
      <c r="L259" s="481">
        <v>11298</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11295</v>
      </c>
      <c r="E261" s="617"/>
      <c r="F261" s="617"/>
      <c r="G261" s="617"/>
      <c r="H261" s="617"/>
      <c r="I261" s="617"/>
      <c r="J261" s="617"/>
      <c r="K261" s="1692">
        <f>SUM(K259:K260)</f>
        <v>11295</v>
      </c>
      <c r="L261" s="1692">
        <f>SUM(L259:L260)</f>
        <v>11298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6304</v>
      </c>
      <c r="E264" s="617"/>
      <c r="F264" s="617"/>
      <c r="G264" s="617"/>
      <c r="H264" s="617"/>
      <c r="I264" s="617"/>
      <c r="J264" s="617"/>
      <c r="K264" s="1694">
        <f t="shared" ref="K264:K269" si="22">D264</f>
        <v>6304</v>
      </c>
      <c r="L264" s="466">
        <v>6304</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21676</v>
      </c>
      <c r="E266" s="617"/>
      <c r="F266" s="617"/>
      <c r="G266" s="617"/>
      <c r="H266" s="617"/>
      <c r="I266" s="617"/>
      <c r="J266" s="617"/>
      <c r="K266" s="1694">
        <f t="shared" si="22"/>
        <v>21676</v>
      </c>
      <c r="L266" s="466">
        <v>21631</v>
      </c>
    </row>
    <row r="267" spans="1:14" x14ac:dyDescent="0.2">
      <c r="A267" s="1526" t="s">
        <v>1010</v>
      </c>
      <c r="B267" s="615">
        <v>2550</v>
      </c>
      <c r="C267" s="617"/>
      <c r="D267" s="466">
        <v>823</v>
      </c>
      <c r="E267" s="617"/>
      <c r="F267" s="617"/>
      <c r="G267" s="617"/>
      <c r="H267" s="617"/>
      <c r="I267" s="617"/>
      <c r="J267" s="617"/>
      <c r="K267" s="1694">
        <f t="shared" si="22"/>
        <v>823</v>
      </c>
      <c r="L267" s="466">
        <v>822</v>
      </c>
    </row>
    <row r="268" spans="1:14" x14ac:dyDescent="0.2">
      <c r="A268" s="1526" t="s">
        <v>102</v>
      </c>
      <c r="B268" s="615">
        <v>2560</v>
      </c>
      <c r="C268" s="617"/>
      <c r="D268" s="466">
        <v>11996</v>
      </c>
      <c r="E268" s="617"/>
      <c r="F268" s="617"/>
      <c r="G268" s="617"/>
      <c r="H268" s="617"/>
      <c r="I268" s="617"/>
      <c r="J268" s="617"/>
      <c r="K268" s="1694">
        <f t="shared" si="22"/>
        <v>11996</v>
      </c>
      <c r="L268" s="466">
        <v>12005</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40799</v>
      </c>
      <c r="E270" s="617"/>
      <c r="F270" s="617"/>
      <c r="G270" s="617"/>
      <c r="H270" s="617"/>
      <c r="I270" s="617"/>
      <c r="J270" s="617"/>
      <c r="K270" s="1692">
        <f>SUM(K263:K269)</f>
        <v>40799</v>
      </c>
      <c r="L270" s="1692">
        <f>SUM(L263:L269)</f>
        <v>40762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63841</v>
      </c>
      <c r="E279" s="617"/>
      <c r="F279" s="617"/>
      <c r="G279" s="617"/>
      <c r="H279" s="617"/>
      <c r="I279" s="617"/>
      <c r="J279" s="617"/>
      <c r="K279" s="1699">
        <f>SUM(K238,K243,K257,K261,K270,K277,K278)</f>
        <v>63841</v>
      </c>
      <c r="L279" s="1699">
        <f>SUM(L238,L243,L257,L261,L270,L277,L278)</f>
        <v>63804</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122275</v>
      </c>
      <c r="E295" s="617"/>
      <c r="F295" s="617"/>
      <c r="G295" s="617"/>
      <c r="H295" s="1692">
        <f>H293</f>
        <v>0</v>
      </c>
      <c r="I295" s="617"/>
      <c r="J295" s="617"/>
      <c r="K295" s="1692">
        <f>SUM(K229,K279,K280,K285,K293,K294)</f>
        <v>122275</v>
      </c>
      <c r="L295" s="1692">
        <f>SUM(L229,L279,L280,L285,L293,L294)</f>
        <v>122417</v>
      </c>
    </row>
    <row r="296" spans="1:14" ht="13.5" thickTop="1" x14ac:dyDescent="0.2">
      <c r="A296" s="2201" t="s">
        <v>1053</v>
      </c>
      <c r="B296" s="2202"/>
      <c r="C296" s="617"/>
      <c r="D296" s="619"/>
      <c r="E296" s="617"/>
      <c r="F296" s="617"/>
      <c r="G296" s="617"/>
      <c r="H296" s="688"/>
      <c r="I296" s="617"/>
      <c r="J296" s="617"/>
      <c r="K296" s="1706">
        <f>'Revenues 9-14'!G275-'Expenditures 15-22'!K295</f>
        <v>27211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24454</v>
      </c>
      <c r="F320" s="467"/>
      <c r="G320" s="467"/>
      <c r="H320" s="467"/>
      <c r="I320" s="467"/>
      <c r="J320" s="467"/>
      <c r="K320" s="1693">
        <f t="shared" ref="K320:K327" si="24">SUM(C320:J320)</f>
        <v>24454</v>
      </c>
      <c r="L320" s="467">
        <v>24455</v>
      </c>
      <c r="M320" s="666"/>
      <c r="N320" s="666"/>
    </row>
    <row r="321" spans="1:14" s="675" customFormat="1" x14ac:dyDescent="0.2">
      <c r="A321" s="1541" t="s">
        <v>318</v>
      </c>
      <c r="B321" s="698" t="s">
        <v>301</v>
      </c>
      <c r="C321" s="467"/>
      <c r="D321" s="467"/>
      <c r="E321" s="467">
        <v>15507</v>
      </c>
      <c r="F321" s="467"/>
      <c r="G321" s="467"/>
      <c r="H321" s="467"/>
      <c r="I321" s="467"/>
      <c r="J321" s="467"/>
      <c r="K321" s="1693">
        <f t="shared" si="24"/>
        <v>15507</v>
      </c>
      <c r="L321" s="467">
        <v>15507</v>
      </c>
      <c r="M321" s="666"/>
      <c r="N321" s="666"/>
    </row>
    <row r="322" spans="1:14" s="675" customFormat="1" x14ac:dyDescent="0.2">
      <c r="A322" s="1541" t="s">
        <v>256</v>
      </c>
      <c r="B322" s="698" t="s">
        <v>302</v>
      </c>
      <c r="C322" s="467"/>
      <c r="D322" s="467"/>
      <c r="E322" s="467">
        <v>51243</v>
      </c>
      <c r="F322" s="467"/>
      <c r="G322" s="467"/>
      <c r="H322" s="467"/>
      <c r="I322" s="467"/>
      <c r="J322" s="467"/>
      <c r="K322" s="1693">
        <f t="shared" si="24"/>
        <v>51243</v>
      </c>
      <c r="L322" s="467">
        <v>51243</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3979</v>
      </c>
      <c r="F327" s="467"/>
      <c r="G327" s="467"/>
      <c r="H327" s="467"/>
      <c r="I327" s="467"/>
      <c r="J327" s="467"/>
      <c r="K327" s="1693">
        <f t="shared" si="24"/>
        <v>3979</v>
      </c>
      <c r="L327" s="467">
        <v>5674</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95183</v>
      </c>
      <c r="F330" s="1692">
        <f t="shared" si="25"/>
        <v>0</v>
      </c>
      <c r="G330" s="1692">
        <f t="shared" si="25"/>
        <v>0</v>
      </c>
      <c r="H330" s="1692">
        <f t="shared" si="25"/>
        <v>0</v>
      </c>
      <c r="I330" s="1692">
        <f t="shared" si="25"/>
        <v>0</v>
      </c>
      <c r="J330" s="1692">
        <f t="shared" si="25"/>
        <v>0</v>
      </c>
      <c r="K330" s="1692">
        <f>SUM(K319:K329)</f>
        <v>95183</v>
      </c>
      <c r="L330" s="1692">
        <f>SUM(L319:L329)</f>
        <v>96879</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95183</v>
      </c>
      <c r="F342" s="1692">
        <f>SUM(F330)</f>
        <v>0</v>
      </c>
      <c r="G342" s="1692">
        <f>SUM(G330)</f>
        <v>0</v>
      </c>
      <c r="H342" s="1692">
        <f>SUM(H330,H334,H340)</f>
        <v>0</v>
      </c>
      <c r="I342" s="1692">
        <f>SUM(I330)</f>
        <v>0</v>
      </c>
      <c r="J342" s="1692">
        <f>SUM(J330)</f>
        <v>0</v>
      </c>
      <c r="K342" s="1692">
        <f>SUM(K330,K334,K340)</f>
        <v>95183</v>
      </c>
      <c r="L342" s="1699">
        <f>SUM(L330,L340,L341)</f>
        <v>96879</v>
      </c>
    </row>
    <row r="343" spans="1:14" ht="12.75" customHeight="1" thickTop="1" x14ac:dyDescent="0.2">
      <c r="A343" s="2187" t="s">
        <v>1053</v>
      </c>
      <c r="B343" s="2188"/>
      <c r="C343" s="617"/>
      <c r="D343" s="617"/>
      <c r="E343" s="617"/>
      <c r="F343" s="617"/>
      <c r="G343" s="617"/>
      <c r="H343" s="617"/>
      <c r="I343" s="617"/>
      <c r="J343" s="617"/>
      <c r="K343" s="1706">
        <f>'Revenues 9-14'!J275-'Expenditures 15-22'!K342</f>
        <v>61313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1" t="s">
        <v>1053</v>
      </c>
      <c r="B368" s="2202"/>
      <c r="C368" s="655"/>
      <c r="D368" s="655"/>
      <c r="E368" s="627"/>
      <c r="F368" s="627"/>
      <c r="G368" s="627"/>
      <c r="H368" s="627"/>
      <c r="I368" s="627"/>
      <c r="J368" s="624"/>
      <c r="K368" s="1693">
        <f>'Revenues 9-14'!K275-'Expenditures 15-22'!K367</f>
        <v>419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25" right="0.2" top="1" bottom="0.5" header="0.5" footer="0.16"/>
  <pageSetup scale="5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accompanying notes are an integral part of this financial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21dc803-237d-4c68-8692-8d731fd29118"/>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2018-10-18T14:57:20Z</cp:lastPrinted>
  <dcterms:created xsi:type="dcterms:W3CDTF">2003-10-29T19:06:34Z</dcterms:created>
  <dcterms:modified xsi:type="dcterms:W3CDTF">2018-10-26T16:16:23Z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