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372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E32" i="181"/>
  <c r="F32" i="181" s="1"/>
  <c r="G32" i="181" s="1"/>
  <c r="E31" i="181"/>
  <c r="F31" i="181" s="1"/>
  <c r="G31" i="181" s="1"/>
  <c r="E30" i="181"/>
  <c r="F30" i="181" s="1"/>
  <c r="G30" i="181" s="1"/>
  <c r="E29" i="181"/>
  <c r="F29" i="181" s="1"/>
  <c r="G29" i="181" s="1"/>
  <c r="F28" i="181"/>
  <c r="G28" i="181" s="1"/>
  <c r="E28" i="181"/>
  <c r="E27" i="181"/>
  <c r="F27" i="181" s="1"/>
  <c r="G27" i="181" s="1"/>
  <c r="E26" i="181"/>
  <c r="F26" i="181" s="1"/>
  <c r="G26" i="181" s="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B5286" i="106" s="1"/>
  <c r="D5286" i="106" s="1"/>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s="1"/>
  <c r="B5103" i="106"/>
  <c r="D5103" i="106" s="1"/>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s="1"/>
  <c r="B5115" i="106"/>
  <c r="D5115" i="106" s="1"/>
  <c r="B5116" i="106"/>
  <c r="D5116" i="106" s="1"/>
  <c r="B5117" i="106"/>
  <c r="D5117" i="106" s="1"/>
  <c r="B5118" i="106"/>
  <c r="D5118" i="106" s="1"/>
  <c r="B5119" i="106"/>
  <c r="D5119" i="106" s="1"/>
  <c r="B5122" i="106"/>
  <c r="D5122" i="106"/>
  <c r="B5123" i="106"/>
  <c r="D5123" i="106"/>
  <c r="B5124" i="106"/>
  <c r="D5124" i="106"/>
  <c r="B5126" i="106"/>
  <c r="D5126" i="106" s="1"/>
  <c r="B5127" i="106"/>
  <c r="D5127" i="106" s="1"/>
  <c r="D5128" i="106"/>
  <c r="D5129" i="106"/>
  <c r="D5130" i="106"/>
  <c r="D5131" i="106"/>
  <c r="B5133" i="106"/>
  <c r="D5133" i="106" s="1"/>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5" i="127"/>
  <c r="B66" i="127"/>
  <c r="D26" i="108"/>
  <c r="E26" i="108"/>
  <c r="F26" i="108"/>
  <c r="G26" i="108"/>
  <c r="D27" i="108"/>
  <c r="E27" i="108"/>
  <c r="F27" i="108"/>
  <c r="G27" i="108"/>
  <c r="F31" i="108"/>
  <c r="F36" i="108"/>
  <c r="F37" i="108"/>
  <c r="G28" i="108"/>
  <c r="E30" i="108"/>
  <c r="G30" i="108"/>
  <c r="D31" i="108"/>
  <c r="D36" i="108"/>
  <c r="D37" i="108"/>
  <c r="E31" i="108"/>
  <c r="G31" i="108"/>
  <c r="E33" i="108"/>
  <c r="G33" i="108"/>
  <c r="E34" i="108"/>
  <c r="G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c r="D5112" i="106" s="1"/>
  <c r="C108" i="5"/>
  <c r="B5120" i="106" s="1"/>
  <c r="D5120" i="106" s="1"/>
  <c r="D108" i="5"/>
  <c r="B5355" i="106"/>
  <c r="D5355" i="106" s="1"/>
  <c r="E108" i="5"/>
  <c r="B5526" i="106"/>
  <c r="D5526" i="106" s="1"/>
  <c r="F108" i="5"/>
  <c r="B5587" i="106"/>
  <c r="D5587" i="106" s="1"/>
  <c r="G108" i="5"/>
  <c r="B5737" i="106"/>
  <c r="D5737" i="106" s="1"/>
  <c r="H108" i="5"/>
  <c r="B5886" i="106" s="1"/>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B5770" i="106"/>
  <c r="D5770" i="106" s="1"/>
  <c r="F136" i="34"/>
  <c r="F131" i="34"/>
  <c r="F130" i="34"/>
  <c r="F128" i="34"/>
  <c r="F127" i="34"/>
  <c r="F111" i="34"/>
  <c r="B5847" i="106"/>
  <c r="D5847" i="106" s="1"/>
  <c r="B5752" i="106"/>
  <c r="D5752" i="106" s="1"/>
  <c r="B5599" i="106"/>
  <c r="D5599" i="106" s="1"/>
  <c r="K274" i="5"/>
  <c r="H173" i="5"/>
  <c r="B5906" i="106" s="1"/>
  <c r="D5906" i="106" s="1"/>
  <c r="D109" i="5"/>
  <c r="B5356" i="106" s="1"/>
  <c r="D5356" i="106" s="1"/>
  <c r="F106" i="34"/>
  <c r="D7" i="7"/>
  <c r="B1763" i="106" s="1"/>
  <c r="D1763" i="106" s="1"/>
  <c r="H6" i="4"/>
  <c r="B2656" i="106" s="1"/>
  <c r="D2656" i="106" s="1"/>
  <c r="B1746" i="106"/>
  <c r="D1746" i="106" s="1"/>
  <c r="D17" i="7"/>
  <c r="B4104" i="106" s="1"/>
  <c r="D4104" i="106" s="1"/>
  <c r="D12" i="7"/>
  <c r="B1769" i="106" s="1"/>
  <c r="D1769" i="106" s="1"/>
  <c r="D15" i="7"/>
  <c r="B1772" i="106" s="1"/>
  <c r="D1772" i="106" s="1"/>
  <c r="I173" i="5" l="1"/>
  <c r="B4216" i="106" s="1"/>
  <c r="D4216" i="106" s="1"/>
  <c r="L312" i="29"/>
  <c r="B7235" i="106"/>
  <c r="D7235" i="106" s="1"/>
  <c r="G352" i="29"/>
  <c r="B3621" i="106"/>
  <c r="D3621" i="106" s="1"/>
  <c r="C367" i="29"/>
  <c r="K41" i="3"/>
  <c r="L15" i="11"/>
  <c r="B3459" i="106" s="1"/>
  <c r="D3459" i="106" s="1"/>
  <c r="K285" i="29"/>
  <c r="K24" i="12"/>
  <c r="B7733" i="106" s="1"/>
  <c r="D7733" i="106" s="1"/>
  <c r="K26" i="12"/>
  <c r="B7743" i="106" s="1"/>
  <c r="D7743" i="106" s="1"/>
  <c r="F19" i="7"/>
  <c r="B1807" i="106" s="1"/>
  <c r="D1807" i="106" s="1"/>
  <c r="L342" i="29"/>
  <c r="F34" i="34"/>
  <c r="F28" i="108"/>
  <c r="E28" i="108"/>
  <c r="B1329" i="106"/>
  <c r="D1329" i="106" s="1"/>
  <c r="F61" i="34"/>
  <c r="G29" i="108"/>
  <c r="E29" i="108"/>
  <c r="E38" i="108"/>
  <c r="K184" i="29"/>
  <c r="F13" i="4" s="1"/>
  <c r="B2596" i="106" s="1"/>
  <c r="D2596" i="106" s="1"/>
  <c r="G38" i="108"/>
  <c r="B1410" i="106"/>
  <c r="D1410" i="106" s="1"/>
  <c r="C342" i="29"/>
  <c r="B7216" i="106" s="1"/>
  <c r="D7216" i="106" s="1"/>
  <c r="K350" i="29"/>
  <c r="D11" i="7"/>
  <c r="B1768" i="106" s="1"/>
  <c r="D1768" i="106" s="1"/>
  <c r="H109" i="5"/>
  <c r="G109" i="5"/>
  <c r="B6024" i="106" s="1"/>
  <c r="D6024" i="106" s="1"/>
  <c r="D4" i="4"/>
  <c r="B2564" i="106" s="1"/>
  <c r="D2564" i="106" s="1"/>
  <c r="C172" i="5"/>
  <c r="C109" i="5"/>
  <c r="B5121" i="106" s="1"/>
  <c r="D5121" i="106" s="1"/>
  <c r="L13" i="11"/>
  <c r="B2060" i="106" s="1"/>
  <c r="D2060"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F275" i="5"/>
  <c r="J7" i="4"/>
  <c r="B2657" i="106"/>
  <c r="D2657" i="106" s="1"/>
  <c r="D274" i="5"/>
  <c r="B7270" i="106"/>
  <c r="B3649" i="106" l="1"/>
  <c r="D3649" i="106" s="1"/>
  <c r="G367" i="29"/>
  <c r="B3650" i="106" s="1"/>
  <c r="D3650" i="106" s="1"/>
  <c r="H367" i="29"/>
  <c r="B3660" i="106" s="1"/>
  <c r="D3660" i="106" s="1"/>
  <c r="F73" i="34"/>
  <c r="G15" i="4"/>
  <c r="B6032" i="106" s="1"/>
  <c r="D6032" i="106" s="1"/>
  <c r="B3568" i="106"/>
  <c r="D3568" i="106" s="1"/>
  <c r="D52" i="36"/>
  <c r="C114" i="29"/>
  <c r="B757" i="106" s="1"/>
  <c r="D757" i="106" s="1"/>
  <c r="B1381" i="106"/>
  <c r="D1381" i="106" s="1"/>
  <c r="B3670" i="106"/>
  <c r="D3670" i="106" s="1"/>
  <c r="K352" i="29"/>
  <c r="B6025" i="106"/>
  <c r="D6025" i="106" s="1"/>
  <c r="H4" i="4"/>
  <c r="D19" i="7"/>
  <c r="B1775" i="106" s="1"/>
  <c r="D1775" i="106" s="1"/>
  <c r="G4" i="4"/>
  <c r="B2603" i="106" s="1"/>
  <c r="D2603" i="106" s="1"/>
  <c r="B5214" i="106"/>
  <c r="D5214" i="106" s="1"/>
  <c r="C173" i="5"/>
  <c r="C4" i="4"/>
  <c r="B2551" i="106" s="1"/>
  <c r="D2551" i="106" s="1"/>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D7" i="4"/>
  <c r="D275" i="5"/>
  <c r="B5507" i="106"/>
  <c r="D5507" i="106" s="1"/>
  <c r="B7298" i="106"/>
  <c r="B7299" i="106"/>
  <c r="B1145" i="106" l="1"/>
  <c r="D1145" i="106" s="1"/>
  <c r="E41" i="108"/>
  <c r="E44" i="108" s="1"/>
  <c r="E45" i="108" s="1"/>
  <c r="G41" i="108"/>
  <c r="G44" i="108" s="1"/>
  <c r="G45" i="108" s="1"/>
  <c r="J17" i="4"/>
  <c r="B6227" i="106" s="1"/>
  <c r="D6227" i="106" s="1"/>
  <c r="K13" i="4"/>
  <c r="B3572" i="106" s="1"/>
  <c r="D3572" i="106" s="1"/>
  <c r="B3672" i="106"/>
  <c r="D3672" i="106" s="1"/>
  <c r="K367" i="29"/>
  <c r="B3678" i="106" s="1"/>
  <c r="D3678" i="106" s="1"/>
  <c r="B2655" i="106"/>
  <c r="D2655" i="106" s="1"/>
  <c r="H8" i="4"/>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D8" i="4"/>
  <c r="B2567" i="106"/>
  <c r="D2567" i="106" s="1"/>
  <c r="F76" i="34" l="1"/>
  <c r="J19" i="4"/>
  <c r="B6229" i="106" s="1"/>
  <c r="D6229" i="106" s="1"/>
  <c r="J20" i="4"/>
  <c r="K368" i="29"/>
  <c r="B3681" i="106" s="1"/>
  <c r="D3681" i="106" s="1"/>
  <c r="H10" i="4"/>
  <c r="B4127" i="106" s="1"/>
  <c r="D4127" i="106" s="1"/>
  <c r="B2658" i="106"/>
  <c r="D2658"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<sst xmlns="http://schemas.openxmlformats.org/spreadsheetml/2006/main" count="5090" uniqueCount="2151">
  <si>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</si>
  <si>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</si>
  <si>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</si>
  <si>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</si>
  <si>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</si>
  <si>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</si>
  <si>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</si>
  <si>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</si>
  <si>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</si>
  <si>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</si>
  <si>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</si>
  <si>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</si>
  <si>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</si>
  <si>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</si>
  <si>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</si>
  <si>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</si>
  <si>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</si>
  <si>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</si>
  <si>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</si>
  <si>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</si>
  <si>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</si>
  <si>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</si>
  <si>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</si>
  <si>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</si>
  <si>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</si>
  <si>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</si>
  <si>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</si>
  <si>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</si>
  <si>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</si>
  <si>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</si>
  <si>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</si>
  <si>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</si>
  <si>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</si>
  <si>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</si>
  <si>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</si>
  <si>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</si>
  <si>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</si>
  <si>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</si>
  <si>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</si>
  <si>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</si>
  <si>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</si>
  <si>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</si>
  <si>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</si>
  <si>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</si>
  <si>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</si>
  <si>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</si>
  <si>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</si>
  <si>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</si>
  <si>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</si>
  <si>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</si>
  <si>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</si>
  <si>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</si>
  <si>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</si>
  <si>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</si>
  <si>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</si>
  <si>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</si>
  <si>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</si>
  <si>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</si>
  <si>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</si>
  <si>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</si>
  <si>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</si>
  <si>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</si>
  <si>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</si>
  <si>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</si>
  <si>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</si>
  <si>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</si>
  <si>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</si>
  <si>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</si>
  <si>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</si>
  <si>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</si>
  <si>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</si>
  <si>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</si>
  <si>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</si>
  <si>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</si>
  <si>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</si>
  <si>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</si>
  <si>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</si>
  <si>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</si>
  <si>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</si>
  <si>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</si>
  <si>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</si>
  <si>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</si>
  <si>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</si>
  <si>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</si>
  <si>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</si>
  <si>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</si>
  <si>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</si>
  <si>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</si>
  <si>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</si>
  <si>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</si>
  <si>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</si>
  <si>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</si>
  <si>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</si>
  <si>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</si>
  <si>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</si>
  <si>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</si>
  <si>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</si>
  <si>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</si>
  <si>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</si>
  <si>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</si>
  <si>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</si>
  <si>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</si>
  <si>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</si>
  <si>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</si>
  <si>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</si>
  <si>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</si>
  <si>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</si>
  <si>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</si>
  <si>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</si>
  <si>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</si>
  <si>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</si>
  <si>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</si>
  <si>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</si>
  <si>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</si>
  <si>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</si>
  <si>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</si>
  <si>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</si>
  <si>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</si>
  <si>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</si>
  <si>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</si>
  <si>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</si>
  <si>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</si>
  <si>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</si>
  <si>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</si>
  <si>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</si>
  <si>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</si>
  <si>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</si>
  <si>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</si>
  <si>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</si>
  <si>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</si>
  <si>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</si>
  <si>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</si>
  <si>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</si>
  <si>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</si>
  <si>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</si>
  <si>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</si>
  <si>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</si>
  <si>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</si>
  <si>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</si>
  <si>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</si>
  <si>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</si>
  <si>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</si>
  <si>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</si>
  <si>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</si>
  <si>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</si>
  <si>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</si>
  <si>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</si>
  <si>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</si>
  <si>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</si>
  <si>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</si>
  <si>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</si>
  <si>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</si>
  <si>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</si>
  <si>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</si>
  <si>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</si>
  <si>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</si>
  <si>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</si>
  <si>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</si>
  <si>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</si>
  <si>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</si>
  <si>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</si>
  <si>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</si>
  <si>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</si>
  <si>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</si>
  <si>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</si>
  <si>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</si>
  <si>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</si>
  <si>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</si>
  <si>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</si>
  <si>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</si>
  <si>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</si>
  <si>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</si>
  <si>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</si>
  <si>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</si>
  <si>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</si>
  <si>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</si>
  <si>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</si>
  <si>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</si>
  <si>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</si>
  <si>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</si>
  <si>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</si>
  <si>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</si>
  <si>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</si>
  <si>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</si>
  <si>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</si>
  <si>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</si>
  <si>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</si>
  <si>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</si>
  <si>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</si>
  <si>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</si>
  <si>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</si>
  <si>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</si>
  <si>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</si>
  <si>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</si>
  <si>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</si>
  <si>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</si>
  <si>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</si>
  <si>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</si>
  <si>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</si>
  <si>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</si>
  <si>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</si>
  <si>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</si>
  <si>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</si>
  <si>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</si>
  <si>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</si>
  <si>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</si>
  <si>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</si>
  <si>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</si>
  <si>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</si>
  <si>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</si>
  <si>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</si>
  <si>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</si>
  <si>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</si>
  <si>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</si>
  <si>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</si>
  <si>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</si>
  <si>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</si>
  <si>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</si>
  <si>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</si>
  <si>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</si>
  <si>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</si>
  <si>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</si>
  <si>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</si>
  <si>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</si>
  <si>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</si>
  <si>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</si>
  <si>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</si>
  <si>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</si>
  <si>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</si>
  <si>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</si>
  <si>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</si>
  <si>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</si>
  <si>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</si>
  <si>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</si>
  <si>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</si>
  <si>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</si>
  <si>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</si>
  <si>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</si>
  <si>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</si>
  <si>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</si>
  <si>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</si>
  <si>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</si>
  <si>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</si>
  <si>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</si>
  <si>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</si>
  <si>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</si>
  <si>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</si>
  <si>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</si>
  <si>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</si>
  <si>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</si>
  <si>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</si>
  <si>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</si>
  <si>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</si>
  <si>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</si>
  <si>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</si>
  <si>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</si>
  <si>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</si>
  <si>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</si>
  <si>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</si>
  <si>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</si>
  <si>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</si>
  <si>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</si>
  <si>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</si>
  <si>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</si>
  <si>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</si>
  <si>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</si>
  <si>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</si>
  <si>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</si>
  <si>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</si>
  <si>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</si>
  <si>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</si>
  <si>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</si>
  <si>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</si>
  <si>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</si>
  <si>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</si>
  <si>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</si>
  <si>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</si>
  <si>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</si>
  <si>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</si>
  <si>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</si>
  <si>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</si>
  <si>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</si>
  <si>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</si>
  <si>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</si>
  <si>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</si>
  <si>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</si>
  <si>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</si>
  <si>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</si>
  <si>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</si>
  <si>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</si>
  <si>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</si>
  <si>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</si>
  <si>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</si>
  <si>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</si>
  <si>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</si>
  <si>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</si>
  <si>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</si>
  <si>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</si>
  <si>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</si>
  <si>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</si>
  <si>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</si>
  <si>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</si>
  <si>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</si>
  <si>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</si>
  <si>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</si>
  <si>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</si>
  <si>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</si>
  <si>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</si>
  <si>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</si>
  <si>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</si>
  <si>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</si>
  <si>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</si>
  <si>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</si>
  <si>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</si>
  <si>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</si>
  <si>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</si>
  <si>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</si>
  <si>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</si>
  <si>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</si>
  <si>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</si>
  <si>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</si>
  <si>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</si>
  <si>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</si>
  <si>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</si>
  <si>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</si>
  <si>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</si>
  <si>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</si>
  <si>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</si>
  <si>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</si>
  <si>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</si>
  <si>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</si>
  <si>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</si>
  <si>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</si>
  <si>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</si>
  <si>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</si>
  <si>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</si>
  <si>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</si>
  <si>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</si>
  <si>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</si>
  <si>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</si>
  <si>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</si>
  <si>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</si>
  <si>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</si>
  <si>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</si>
  <si>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</si>
  <si>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</si>
  <si>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</si>
  <si>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</si>
  <si>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</si>
  <si>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</si>
  <si>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</si>
  <si>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</si>
  <si>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</si>
  <si>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</si>
  <si>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</si>
  <si>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</si>
  <si>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</si>
  <si>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</si>
  <si>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</si>
  <si>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</si>
  <si>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</si>
  <si>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</si>
  <si>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</si>
  <si>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</si>
  <si>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</si>
  <si>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</si>
  <si>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</si>
  <si>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</si>
  <si>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</si>
  <si>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</si>
  <si>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</si>
  <si>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</si>
  <si>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</si>
  <si>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</si>
  <si>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</si>
  <si>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</si>
  <si>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</si>
  <si>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</si>
  <si>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</si>
  <si>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</si>
  <si>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</si>
  <si>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</si>
  <si>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</si>
  <si>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</si>
  <si>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</si>
  <si>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</si>
  <si>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</si>
  <si>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</si>
  <si>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</si>
  <si>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</si>
  <si>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</si>
  <si>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</si>
  <si>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</si>
  <si>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</si>
  <si>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</si>
  <si>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</si>
  <si>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</si>
  <si>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</si>
  <si>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</si>
  <si>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</si>
  <si>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</si>
  <si>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</si>
  <si>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</si>
  <si>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</si>
  <si>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</si>
  <si>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</si>
  <si>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</si>
  <si>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</si>
  <si>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</si>
  <si>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</si>
  <si>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</si>
  <si>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</si>
  <si>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</si>
  <si>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</si>
  <si>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</si>
  <si>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</si>
  <si>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</si>
  <si>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</si>
  <si>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</si>
  <si>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</si>
  <si>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</si>
  <si>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</si>
  <si>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</si>
  <si>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</si>
  <si>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</si>
  <si>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</si>
  <si>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</si>
  <si>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</si>
  <si>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</si>
  <si>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</si>
  <si>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</si>
  <si>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</si>
  <si>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</si>
  <si>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</si>
  <si>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</si>
  <si>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</si>
  <si>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</si>
  <si>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</si>
  <si>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</si>
  <si>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</si>
  <si>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</si>
  <si>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</si>
  <si>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</si>
  <si>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</si>
  <si>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</si>
  <si>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</si>
  <si>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</si>
  <si>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</si>
  <si>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</si>
  <si>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</si>
  <si>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</si>
  <si>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</si>
  <si>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</si>
  <si>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</si>
  <si>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</si>
  <si>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</si>
  <si>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</si>
  <si>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</si>
  <si>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</si>
  <si>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</si>
  <si>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</si>
  <si>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</si>
  <si>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</si>
  <si>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</si>
  <si>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</si>
  <si>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</si>
  <si>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</si>
  <si>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</si>
  <si>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</si>
  <si>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</si>
  <si>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</si>
  <si>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</si>
  <si>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</si>
  <si>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</si>
  <si>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</si>
  <si>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</si>
  <si>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</si>
  <si>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</si>
  <si>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</si>
  <si>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</si>
  <si>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</si>
  <si>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</si>
  <si>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</si>
  <si>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</si>
  <si>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</si>
  <si>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</si>
  <si>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</si>
  <si>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</si>
  <si>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</si>
  <si>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</si>
  <si>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</si>
  <si>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</si>
  <si>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</si>
  <si>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</si>
  <si>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</si>
  <si>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</si>
  <si>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</si>
  <si>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</si>
  <si>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</si>
  <si>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</si>
  <si>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</si>
  <si>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</si>
  <si>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</si>
  <si>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</si>
  <si>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</si>
  <si>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</si>
  <si>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</si>
  <si>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</si>
  <si>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</si>
  <si>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</si>
  <si>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</si>
  <si>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</si>
  <si>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</si>
  <si>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</si>
  <si>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</si>
  <si>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</si>
  <si>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</si>
  <si>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</si>
  <si>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</si>
  <si>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</si>
  <si>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</si>
  <si>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</si>
  <si>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</si>
  <si>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</si>
  <si>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</si>
  <si>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</si>
  <si>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</si>
  <si>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</si>
  <si>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</si>
  <si>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</si>
  <si>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</si>
  <si>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</si>
  <si>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</si>
  <si>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</si>
  <si>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</si>
  <si>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</si>
  <si>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</si>
  <si>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</si>
  <si>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</si>
  <si>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</si>
  <si>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</si>
  <si>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</si>
  <si>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</si>
  <si>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</si>
  <si>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</si>
  <si>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</si>
  <si>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</si>
  <si>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</si>
  <si>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</si>
  <si>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</si>
  <si>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</si>
  <si>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</si>
  <si>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</si>
  <si>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</si>
  <si>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</si>
  <si>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</si>
  <si>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</si>
  <si>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</si>
  <si>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</si>
  <si>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</si>
  <si>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</si>
  <si>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</si>
  <si>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</si>
  <si>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</si>
  <si>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</si>
  <si>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</si>
  <si>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</si>
  <si>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</si>
  <si>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</si>
  <si>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</si>
  <si>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</si>
  <si>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</si>
  <si>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</si>
  <si>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</si>
  <si>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</si>
  <si>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</si>
  <si>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</si>
  <si>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</si>
  <si>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</si>
  <si>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</si>
  <si>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</si>
  <si>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</si>
  <si>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</si>
  <si>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</si>
  <si>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</si>
  <si>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</si>
  <si>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</si>
  <si>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</si>
  <si>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</si>
  <si>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</si>
  <si>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</si>
  <si>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</si>
  <si>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</si>
  <si>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</si>
  <si>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</si>
  <si>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</si>
  <si>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</si>
  <si>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</si>
  <si>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</si>
  <si>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</si>
  <si>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</si>
  <si>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</si>
  <si>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</si>
  <si>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</si>
  <si>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</si>
  <si>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</si>
  <si>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</si>
  <si>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</si>
  <si>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</si>
  <si>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</si>
  <si>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</si>
  <si>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</si>
  <si>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</si>
  <si>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</si>
  <si>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</si>
  <si>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</si>
  <si>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</si>
  <si>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</si>
  <si>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</si>
  <si>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</si>
  <si>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</si>
  <si>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</si>
  <si>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</si>
  <si>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</si>
  <si>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</si>
  <si>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</si>
  <si>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</si>
  <si>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</si>
  <si>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</si>
  <si>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</si>
  <si>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</si>
  <si>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</si>
  <si>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</si>
  <si>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</si>
  <si>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</si>
  <si>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</si>
  <si>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</si>
  <si>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</si>
  <si>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</si>
  <si>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</si>
  <si>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</si>
  <si>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</si>
  <si>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</si>
  <si>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</si>
  <si>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</si>
  <si>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</si>
  <si>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</si>
  <si>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</si>
  <si>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</si>
  <si>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</si>
  <si>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</si>
  <si>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</si>
  <si>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</si>
  <si>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</si>
  <si>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</si>
  <si>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</si>
  <si>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</si>
  <si>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</si>
  <si>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</si>
  <si>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</si>
  <si>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</si>
  <si>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</si>
  <si>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</si>
  <si>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</si>
  <si>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</si>
  <si>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</si>
  <si>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</si>
  <si>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</si>
  <si>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</si>
  <si>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</si>
  <si>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</si>
  <si>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</si>
  <si>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</si>
  <si>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</si>
  <si>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</si>
  <si>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</si>
  <si>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</si>
  <si>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</si>
  <si>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</si>
  <si>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</si>
  <si>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</si>
  <si>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</si>
  <si>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</si>
  <si>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</si>
  <si>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</si>
  <si>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</si>
  <si>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</si>
  <si>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</si>
  <si>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</si>
  <si>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</si>
  <si>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</si>
  <si>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</si>
  <si>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</si>
  <si>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</si>
  <si>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</si>
  <si>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</si>
  <si>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</si>
  <si>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</si>
  <si>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</si>
  <si>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</si>
  <si>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</si>
  <si>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</si>
  <si>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</si>
  <si>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</si>
  <si>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</si>
  <si>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</si>
  <si>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</si>
  <si>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</si>
  <si>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</si>
  <si>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</si>
  <si>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</si>
  <si>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</si>
  <si>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</si>
  <si>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</si>
  <si>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</si>
  <si>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</si>
  <si>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</si>
  <si>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</si>
  <si>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</si>
  <si>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</si>
  <si>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</si>
  <si>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</si>
  <si>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</si>
  <si>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</si>
  <si>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</si>
  <si>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</si>
  <si>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</si>
  <si>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</si>
  <si>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</si>
  <si>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</si>
  <si>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</si>
  <si>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</si>
  <si>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</si>
  <si>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</si>
  <si>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</si>
  <si>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</si>
  <si>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</si>
  <si>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</si>
  <si>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</si>
  <si>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</si>
  <si>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</si>
  <si>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</si>
  <si>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</si>
  <si>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</si>
  <si>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</si>
  <si>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</si>
  <si>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</si>
  <si>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</si>
  <si>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</si>
  <si>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</si>
  <si>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</si>
  <si>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</si>
  <si>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</si>
  <si>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</si>
  <si>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</si>
  <si>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</si>
  <si>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</si>
  <si>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</si>
  <si>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</si>
  <si>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</si>
  <si>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</si>
  <si>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</si>
  <si>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</si>
  <si>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</si>
  <si>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</si>
  <si>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</si>
  <si>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</si>
  <si>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</si>
  <si>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</si>
  <si>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</si>
  <si>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</si>
  <si>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</si>
  <si>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</si>
  <si>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</si>
  <si>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</si>
  <si>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</si>
  <si>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</si>
  <si>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</si>
  <si>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</si>
  <si>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</si>
  <si>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</si>
  <si>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</si>
  <si>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</si>
  <si>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</si>
  <si>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</si>
  <si>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</si>
  <si>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</si>
  <si>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</si>
  <si>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</si>
  <si>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</si>
  <si>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</si>
  <si>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</si>
  <si>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</si>
  <si>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</si>
  <si>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</si>
  <si>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</si>
  <si>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</si>
  <si>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</si>
  <si>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</si>
  <si>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</si>
  <si>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</si>
  <si>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</si>
  <si>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</si>
  <si>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</si>
  <si>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</si>
  <si>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</si>
  <si>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</si>
  <si>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</si>
  <si>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</si>
  <si>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</si>
  <si>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</si>
  <si>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</si>
  <si>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</si>
  <si>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</si>
  <si>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</si>
  <si>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</si>
  <si>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</si>
  <si>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</si>
  <si>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</si>
  <si>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</si>
  <si>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</si>
  <si>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</si>
  <si>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</si>
  <si>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</si>
  <si>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</si>
  <si>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</si>
  <si>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</si>
  <si>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</si>
  <si>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</si>
  <si>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</si>
  <si>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</si>
  <si>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</si>
  <si>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</si>
  <si>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</si>
  <si>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</si>
  <si>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</si>
  <si>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</si>
  <si>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</si>
  <si>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</si>
  <si>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</si>
  <si>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</si>
  <si>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</si>
  <si>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</si>
  <si>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</si>
  <si>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</si>
  <si>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</si>
  <si>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</si>
  <si>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</si>
  <si>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</si>
  <si>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</si>
  <si>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</si>
  <si>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</si>
  <si>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</si>
  <si>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</si>
  <si>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</si>
  <si>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</si>
  <si>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</si>
  <si>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</si>
  <si>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</si>
  <si>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</si>
  <si>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</si>
  <si>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</si>
  <si>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</si>
  <si>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</si>
  <si>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</si>
  <si>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</si>
  <si>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</si>
  <si>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</si>
  <si>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</si>
  <si>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</si>
  <si>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</si>
  <si>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</si>
  <si>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</si>
  <si>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</si>
  <si>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</si>
  <si>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</si>
  <si>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</si>
  <si>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</si>
  <si>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</si>
  <si>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</si>
  <si>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</si>
  <si>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</si>
  <si>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</si>
  <si>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</si>
  <si>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</si>
  <si>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</si>
  <si>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</si>
  <si>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</si>
  <si>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</si>
  <si>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</si>
  <si>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</si>
  <si>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</si>
  <si>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</si>
  <si>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</si>
  <si>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</si>
  <si>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</si>
  <si>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</si>
  <si>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</si>
  <si>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</si>
  <si>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</si>
  <si>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</si>
  <si>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</si>
  <si>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</si>
  <si>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</si>
  <si>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</si>
  <si>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</si>
  <si>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</si>
  <si>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</si>
  <si>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</si>
  <si>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</si>
  <si>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</si>
  <si>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</si>
  <si>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</si>
  <si>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</si>
  <si>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</si>
  <si>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</si>
  <si>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</si>
  <si>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</si>
  <si>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</si>
  <si>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</si>
  <si>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</si>
  <si>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</si>
  <si>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</si>
  <si>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</si>
  <si>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</si>
  <si>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</si>
  <si>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</si>
  <si>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</si>
  <si>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</si>
  <si>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</si>
  <si>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</si>
  <si>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</si>
  <si>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</si>
  <si>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</si>
  <si>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</si>
  <si>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</si>
  <si>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</si>
  <si>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</si>
  <si>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</si>
  <si>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</si>
  <si>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</si>
  <si>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</si>
  <si>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</si>
  <si>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</si>
  <si>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</si>
  <si>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</si>
  <si>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</si>
  <si>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</si>
  <si>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</si>
  <si>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</si>
  <si>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</si>
  <si>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</si>
  <si>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</si>
  <si>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</si>
  <si>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</si>
  <si>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</si>
  <si>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</si>
  <si>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</si>
  <si>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</si>
  <si>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</si>
  <si>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</si>
  <si>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</si>
  <si>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</si>
  <si>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</si>
  <si>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</si>
  <si>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</si>
  <si>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</si>
  <si>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</si>
  <si>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</si>
  <si>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</si>
  <si>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</si>
  <si>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</si>
  <si>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</si>
  <si>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</si>
  <si>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</si>
  <si>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</si>
  <si>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</si>
  <si>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</si>
  <si>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</si>
  <si>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</si>
  <si>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</si>
  <si>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</si>
  <si>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</si>
  <si>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</si>
  <si>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</si>
  <si>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</si>
  <si>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</si>
  <si>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</si>
  <si>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</si>
  <si>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</si>
  <si>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</si>
  <si>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</si>
  <si>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</si>
  <si>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</si>
  <si>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</si>
  <si>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</si>
  <si>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</si>
  <si>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</si>
  <si>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</si>
  <si>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</si>
  <si>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</si>
  <si>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</si>
  <si>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</si>
  <si>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</si>
  <si>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</si>
  <si>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</si>
  <si>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</si>
  <si>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</si>
  <si>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</si>
  <si>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</si>
  <si>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</si>
  <si>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</si>
  <si>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</si>
  <si>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</si>
  <si>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</si>
  <si>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</si>
  <si>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</si>
  <si>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</si>
  <si>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</si>
  <si>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</si>
  <si>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</si>
  <si>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</si>
  <si>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</si>
  <si>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</si>
  <si>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</si>
  <si>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</si>
  <si>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</si>
  <si>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</si>
  <si>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</si>
  <si>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</si>
  <si>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</si>
  <si>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</si>
  <si>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</si>
  <si>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</si>
  <si>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</si>
  <si>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</si>
  <si>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</si>
  <si>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</si>
  <si>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</si>
  <si>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</si>
  <si>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</si>
  <si>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</si>
  <si>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</si>
  <si>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</si>
  <si>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</si>
  <si>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</si>
  <si>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</si>
  <si>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</si>
  <si>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</si>
  <si>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</si>
  <si>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</si>
  <si>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</si>
  <si>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</si>
  <si>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</si>
  <si>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</si>
  <si>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</si>
  <si>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</si>
  <si>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</si>
  <si>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</si>
  <si>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</si>
  <si>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</si>
  <si>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</si>
  <si>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</si>
  <si>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</si>
  <si>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</si>
  <si>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</si>
  <si>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</si>
  <si>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</si>
  <si>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</si>
  <si>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</si>
  <si>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</si>
  <si>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</si>
  <si>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</si>
  <si>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</si>
  <si>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</si>
  <si>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</si>
  <si>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</si>
  <si>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</si>
  <si>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</si>
  <si>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</si>
  <si>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</si>
  <si>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</si>
  <si>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</si>
  <si>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</si>
  <si>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</si>
  <si>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</si>
  <si>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</si>
  <si>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</si>
  <si>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</si>
  <si>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</si>
  <si>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</si>
  <si>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</si>
  <si>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</si>
  <si>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</si>
  <si>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</si>
  <si>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</si>
  <si>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</si>
  <si>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</si>
  <si>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</si>
  <si>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</si>
  <si>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</si>
  <si>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</si>
  <si>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</si>
  <si>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</si>
  <si>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</si>
  <si>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</si>
  <si>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</si>
  <si>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</si>
  <si>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</si>
  <si>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</si>
  <si>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</si>
  <si>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</si>
  <si>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</si>
  <si>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</si>
  <si>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</si>
  <si>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</si>
  <si>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</si>
  <si>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</si>
  <si>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</si>
  <si>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</si>
  <si>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</si>
  <si>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</si>
  <si>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</si>
  <si>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</si>
  <si>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</si>
  <si>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</si>
  <si>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</si>
  <si>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</si>
  <si>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</si>
  <si>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</si>
  <si>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</si>
  <si>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</si>
  <si>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</si>
  <si>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</si>
  <si>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</si>
  <si>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</si>
  <si>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</si>
  <si>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</si>
  <si>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</si>
  <si>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</si>
  <si>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</si>
  <si>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</si>
  <si>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</si>
  <si>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</si>
  <si>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</si>
  <si>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</si>
  <si>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</si>
  <si>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</si>
  <si>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</si>
  <si>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</si>
  <si>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</si>
  <si>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</si>
  <si>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</si>
  <si>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</si>
  <si>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</si>
  <si>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</si>
  <si>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</si>
  <si>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</si>
  <si>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</si>
  <si>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</si>
  <si>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</si>
  <si>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</si>
  <si>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</si>
  <si>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</si>
  <si>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</si>
  <si>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</si>
  <si>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</si>
  <si>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</si>
  <si>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</si>
  <si>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</si>
  <si>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</si>
  <si>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</si>
  <si>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</si>
  <si>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</si>
  <si>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</si>
  <si>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</si>
  <si>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</si>
  <si>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</si>
  <si>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</si>
  <si>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</si>
  <si>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</si>
  <si>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</si>
  <si>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</si>
  <si>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</si>
  <si>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</si>
  <si>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</si>
  <si>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</si>
  <si>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</si>
  <si>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</si>
  <si>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</si>
  <si>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</si>
  <si>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</si>
  <si>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</si>
  <si>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</si>
  <si>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</si>
  <si>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</si>
  <si>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</si>
  <si>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</si>
  <si>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</si>
  <si>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</si>
  <si>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</si>
  <si>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</si>
  <si>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</si>
  <si>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</si>
  <si>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</si>
  <si>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</si>
  <si>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</si>
  <si>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</si>
  <si>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</si>
  <si>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</si>
  <si>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</si>
  <si>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</si>
  <si>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</si>
  <si>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</si>
  <si>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</si>
  <si>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</si>
  <si>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</si>
  <si>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</si>
  <si>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</si>
  <si>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</si>
  <si>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</si>
  <si>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</si>
  <si>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</si>
  <si>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</si>
  <si>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</si>
  <si>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</si>
  <si>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</si>
  <si>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</si>
  <si>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</si>
  <si>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</si>
  <si>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</si>
  <si>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</si>
  <si>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</si>
  <si>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</si>
  <si>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</si>
  <si>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</si>
  <si>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</si>
  <si>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</si>
  <si>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</si>
  <si>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</si>
  <si>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</si>
  <si>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</si>
  <si>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</si>
  <si>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</si>
  <si>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</si>
  <si>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</si>
  <si>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</si>
  <si>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</si>
  <si>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</si>
  <si>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</si>
  <si>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</si>
  <si>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</si>
  <si>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</si>
  <si>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</si>
  <si>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</si>
  <si>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</si>
  <si>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</si>
  <si>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</si>
  <si>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</si>
  <si>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</si>
  <si>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</si>
  <si>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</si>
  <si>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</si>
  <si>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</si>
  <si>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</si>
  <si>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</si>
  <si>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</si>
  <si>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</si>
  <si>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</si>
  <si>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</si>
  <si>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</si>
  <si>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</si>
  <si>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</si>
  <si>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</si>
  <si>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</si>
  <si>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</si>
  <si>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</si>
  <si>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</si>
  <si>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</si>
  <si>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</si>
  <si>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</si>
  <si>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</si>
  <si>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</si>
  <si>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</si>
  <si>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</si>
  <si>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</si>
  <si>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</si>
  <si>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</si>
  <si>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</si>
  <si>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</si>
  <si>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</si>
  <si>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</si>
  <si>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</si>
  <si>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</si>
  <si>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</si>
  <si>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</si>
  <si>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</si>
  <si>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</si>
  <si>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</si>
  <si>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</si>
  <si>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</si>
  <si>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</si>
  <si>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</si>
  <si>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</si>
  <si>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</si>
  <si>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</si>
  <si>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</si>
  <si>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</si>
  <si>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</si>
  <si>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</si>
  <si>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</si>
  <si>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</si>
  <si>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</si>
  <si>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</si>
  <si>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</si>
  <si>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</si>
  <si>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</si>
  <si>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</si>
  <si>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</si>
  <si>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</si>
  <si>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</si>
  <si>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</si>
  <si>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</si>
  <si>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</si>
  <si>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</si>
  <si>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</si>
  <si>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</si>
  <si>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</si>
  <si>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</si>
  <si>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</si>
  <si>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</si>
  <si>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</si>
  <si>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</si>
  <si>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</si>
  <si>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</si>
  <si>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</si>
  <si>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</si>
  <si>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</si>
  <si>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</si>
  <si>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</si>
  <si>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</si>
  <si>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</si>
  <si>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</si>
  <si>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</si>
  <si>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</si>
  <si>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</si>
  <si>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</si>
  <si>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</si>
  <si>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</si>
  <si>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</si>
  <si>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</si>
  <si>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</si>
  <si>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</si>
  <si>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</si>
  <si>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</si>
  <si>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</si>
  <si>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</si>
  <si>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</si>
  <si>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</si>
  <si>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</si>
  <si>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</si>
  <si>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</si>
  <si>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</si>
  <si>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</si>
  <si>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</si>
  <si>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</si>
  <si>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</si>
  <si>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</si>
  <si>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</si>
  <si>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</si>
  <si>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</si>
  <si>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</si>
  <si>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</si>
  <si>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</si>
  <si>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</si>
  <si>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</si>
  <si>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</si>
  <si>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</si>
  <si>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</si>
  <si>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</si>
  <si>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</si>
  <si>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</si>
  <si>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</si>
  <si>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</si>
  <si>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</si>
  <si>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</si>
  <si>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</si>
  <si>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</si>
  <si>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</si>
  <si>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</si>
  <si>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</si>
  <si>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</si>
  <si>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</si>
  <si>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</si>
  <si>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</si>
  <si>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</si>
  <si>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</si>
  <si>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</si>
  <si>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</si>
  <si>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</si>
  <si>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</si>
  <si>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</si>
  <si>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</si>
  <si>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</si>
  <si>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</si>
  <si>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</si>
  <si>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</si>
  <si>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</si>
  <si>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</si>
  <si>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</si>
  <si>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</si>
  <si>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</si>
  <si>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</si>
  <si>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</si>
  <si>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</si>
  <si>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</si>
  <si>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</si>
  <si>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</si>
  <si>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</si>
  <si>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</si>
  <si>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</si>
  <si>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</si>
  <si>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</si>
  <si>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</si>
  <si>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</si>
  <si>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</si>
  <si>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</si>
  <si>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</si>
  <si>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</si>
  <si>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</si>
  <si>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</si>
  <si>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</si>
  <si>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</si>
  <si>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</si>
  <si>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</si>
  <si>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</si>
  <si>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</si>
  <si>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</si>
  <si>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</si>
  <si>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</si>
  <si>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</si>
  <si>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</si>
  <si>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</si>
  <si>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</si>
  <si>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</si>
  <si>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</si>
  <si>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</si>
  <si>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</si>
  <si>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</si>
  <si>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</si>
  <si>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</si>
  <si>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</si>
  <si>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</si>
  <si>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</si>
  <si>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</si>
  <si>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</si>
  <si>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</si>
  <si>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</si>
  <si>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</si>
  <si>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</si>
  <si>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</si>
  <si>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</si>
  <si>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</si>
  <si>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</si>
  <si>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</si>
  <si>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</si>
  <si>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</si>
  <si>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</si>
  <si>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</si>
  <si>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</si>
  <si>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</si>
  <si>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</si>
  <si>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</si>
  <si>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</si>
  <si>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</si>
  <si>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</si>
  <si>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</si>
  <si>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</si>
  <si>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</si>
  <si>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</si>
  <si>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</si>
  <si>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</si>
  <si>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</si>
  <si>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</si>
  <si>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</si>
  <si>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</si>
  <si>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</si>
  <si>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</si>
  <si>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</si>
  <si>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</si>
  <si>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</si>
  <si>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</si>
  <si>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</si>
  <si>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</si>
  <si>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</si>
  <si>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</si>
  <si>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</si>
  <si>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</si>
  <si>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</si>
  <si>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</si>
  <si>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</si>
  <si>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</si>
  <si>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</si>
  <si>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</si>
  <si>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</si>
  <si>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</si>
  <si>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</si>
  <si>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</si>
  <si>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</si>
  <si>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</si>
  <si>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</si>
  <si>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</si>
  <si>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</si>
  <si>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</si>
  <si>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</si>
  <si>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</si>
  <si>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</si>
  <si>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</si>
  <si>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</si>
  <si>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</si>
  <si>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</si>
  <si>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</si>
  <si>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</si>
  <si>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</si>
  <si>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</si>
  <si>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</si>
  <si>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</si>
  <si>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</si>
  <si>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</si>
  <si>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</si>
  <si>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</si>
  <si>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</si>
  <si>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</si>
  <si>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</si>
  <si>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</si>
  <si>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</si>
  <si>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</si>
  <si>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</si>
  <si>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</si>
  <si>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</si>
  <si>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</si>
  <si>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</si>
  <si>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</si>
  <si>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</si>
  <si>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</si>
  <si>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</si>
  <si>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</si>
  <si>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</si>
  <si>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</si>
  <si>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</si>
  <si>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</si>
  <si>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</si>
  <si>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</si>
  <si>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</si>
  <si>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</si>
  <si>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</si>
  <si>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</si>
  <si>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</si>
  <si>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</si>
  <si>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</si>
  <si>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</si>
  <si>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</si>
  <si>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</si>
  <si>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</si>
  <si>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</si>
  <si>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</si>
  <si>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</si>
  <si>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</si>
  <si>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</si>
  <si>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</si>
  <si>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</si>
  <si>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</si>
  <si>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</si>
  <si>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</si>
  <si>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</si>
  <si>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</si>
  <si>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</si>
  <si>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</si>
  <si>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</si>
  <si>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</si>
  <si>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</si>
  <si>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</si>
  <si>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</si>
  <si>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</si>
  <si>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</si>
  <si>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</si>
  <si>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</si>
  <si>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</si>
  <si>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</si>
  <si>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</si>
  <si>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</si>
  <si>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</si>
  <si>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</si>
  <si>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</si>
  <si>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</si>
  <si>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</si>
  <si>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</si>
  <si>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</si>
  <si>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</si>
  <si>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</si>
  <si>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</si>
  <si>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</si>
  <si>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</si>
  <si>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</si>
  <si>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</si>
  <si>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</si>
  <si>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</si>
  <si>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</si>
  <si>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</si>
  <si>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</si>
  <si>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</si>
  <si>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</si>
  <si>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</si>
  <si>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</si>
  <si>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</si>
  <si>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</si>
  <si>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</si>
  <si>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</si>
  <si>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</si>
  <si>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</si>
  <si>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</si>
  <si>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</si>
  <si>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</si>
  <si>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</si>
  <si>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</si>
  <si>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</si>
  <si>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</si>
  <si>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</si>
  <si>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</si>
  <si>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</si>
  <si>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</si>
  <si>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</si>
  <si>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</si>
  <si>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</si>
  <si>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</si>
  <si>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</si>
  <si>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</si>
  <si>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</si>
  <si>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</si>
  <si>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</si>
  <si>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</si>
  <si>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</si>
  <si>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</si>
  <si>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</si>
  <si>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</si>
  <si>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</si>
  <si>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</si>
  <si>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</si>
  <si>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</si>
  <si>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</si>
  <si>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</si>
  <si>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</si>
  <si>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</si>
  <si>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</si>
  <si>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</si>
  <si>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</si>
  <si>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</si>
  <si>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</si>
  <si>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</si>
  <si>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</si>
  <si>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</si>
  <si>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</si>
  <si>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</si>
  <si>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</si>
  <si>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</si>
  <si>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</si>
  <si>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</si>
  <si>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</si>
  <si>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</si>
  <si>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</si>
  <si>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</si>
  <si>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</si>
  <si>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</si>
  <si>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</si>
  <si>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</si>
  <si>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</si>
  <si>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</si>
  <si>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</si>
  <si>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</si>
  <si>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</si>
  <si>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</si>
  <si>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</si>
  <si>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</si>
  <si>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</si>
  <si>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</si>
  <si>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</si>
  <si>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</si>
  <si>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</si>
  <si>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</si>
  <si>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</si>
  <si>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</si>
  <si>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</si>
  <si>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</si>
  <si>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</si>
  <si>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</si>
  <si>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</si>
  <si>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</si>
  <si>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</si>
  <si>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</si>
  <si>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</si>
  <si>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</si>
  <si>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</si>
  <si>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</si>
  <si>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</si>
  <si>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</si>
  <si>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</si>
  <si>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</si>
  <si>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</si>
  <si>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</si>
  <si>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</si>
  <si>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</si>
  <si>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</si>
  <si>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</si>
  <si>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</si>
  <si>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</si>
  <si>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</si>
  <si>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</si>
  <si>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</si>
  <si>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</si>
  <si>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</si>
  <si>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</si>
  <si>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</si>
  <si>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</si>
  <si>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</si>
  <si>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</si>
  <si>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</si>
  <si>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</si>
  <si>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</si>
  <si>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</si>
  <si>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</si>
  <si>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</si>
  <si>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</si>
  <si>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</si>
  <si>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</si>
  <si>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</si>
  <si>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</si>
  <si>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</si>
  <si>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</si>
  <si>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</si>
  <si>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</si>
  <si>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</si>
  <si>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</si>
  <si>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</si>
  <si>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</si>
  <si>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</si>
  <si>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</si>
  <si>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</si>
  <si>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</si>
  <si>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</si>
  <si>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</si>
  <si>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</si>
  <si>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</si>
  <si>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</si>
  <si>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</si>
  <si>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</si>
  <si>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</si>
  <si>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</si>
  <si>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</si>
  <si>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</si>
  <si>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</si>
  <si>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</si>
  <si>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</si>
  <si>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</si>
  <si>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</si>
  <si>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</si>
  <si>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</si>
  <si>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</si>
  <si>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</si>
  <si>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</si>
  <si>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</si>
  <si>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</si>
  <si>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</si>
  <si>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</si>
  <si>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</si>
  <si>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</si>
  <si>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</si>
  <si>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</si>
  <si>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</si>
  <si>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</si>
  <si>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</si>
  <si>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</si>
  <si>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</si>
  <si>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</si>
  <si>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</si>
  <si>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</si>
  <si>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</si>
  <si>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</si>
  <si>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</si>
  <si>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</si>
  <si>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</si>
  <si>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</si>
  <si>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</si>
  <si>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</si>
  <si>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</si>
  <si>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</si>
  <si>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</si>
  <si>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</si>
  <si>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</si>
  <si>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</si>
  <si>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</si>
  <si>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</si>
  <si>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</si>
  <si>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</si>
  <si>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</si>
  <si>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</si>
  <si>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</si>
  <si>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</si>
  <si>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</si>
  <si>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</si>
  <si>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</si>
  <si>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</si>
  <si>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</si>
  <si>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</si>
  <si>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</si>
  <si>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</si>
  <si>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</si>
  <si>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</si>
  <si>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</si>
  <si>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</si>
  <si>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</si>
  <si>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</si>
  <si>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</si>
  <si>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</si>
  <si>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</si>
  <si>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</si>
  <si>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</si>
  <si>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</si>
  <si>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</si>
  <si>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</si>
  <si>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</si>
  <si>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</si>
  <si>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</si>
  <si>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</si>
  <si>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</si>
  <si>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</si>
  <si>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</si>
  <si>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</si>
  <si>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</si>
  <si>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</si>
  <si>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</si>
  <si>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</si>
  <si>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</si>
  <si>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</si>
  <si>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</si>
  <si>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</si>
  <si>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</si>
  <si>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</si>
  <si>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</si>
  <si>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</si>
  <si>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</si>
  <si>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</si>
  <si>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</si>
  <si>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</si>
  <si>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</si>
  <si>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</si>
  <si>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</si>
  <si>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</si>
  <si>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</si>
  <si>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</si>
  <si>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</si>
  <si>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</si>
  <si>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</si>
  <si>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</si>
  <si>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</si>
  <si>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</si>
  <si>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</si>
  <si>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</si>
  <si>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</si>
  <si>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</si>
  <si>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</si>
  <si>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</si>
  <si>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</si>
  <si>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</si>
  <si>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</si>
  <si>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</si>
  <si>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</si>
  <si>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</si>
  <si>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</si>
  <si>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</si>
  <si>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</si>
  <si>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</si>
  <si>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</si>
  <si>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</si>
  <si>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</si>
  <si>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</si>
  <si>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</si>
  <si>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</si>
  <si>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</si>
  <si>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</si>
  <si>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</si>
  <si>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</si>
  <si>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</si>
  <si>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</si>
  <si>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</si>
  <si>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</si>
  <si>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</si>
  <si>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</si>
  <si>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</si>
  <si>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</si>
  <si>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</si>
  <si>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</si>
  <si>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</si>
  <si>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</si>
  <si>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</si>
  <si>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</si>
  <si>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</si>
  <si>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</si>
  <si>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</si>
  <si>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</si>
  <si>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</si>
  <si>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</si>
  <si>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</si>
  <si>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</si>
  <si>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</si>
  <si>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</si>
  <si>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</si>
  <si>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</si>
  <si>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</si>
  <si>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</si>
  <si>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</si>
  <si>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</si>
  <si>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</si>
  <si>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</si>
  <si>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</si>
  <si>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</si>
  <si>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</si>
  <si>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</si>
  <si>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</si>
  <si>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</si>
  <si>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</si>
  <si>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</si>
  <si>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</si>
  <si>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</si>
  <si>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</si>
  <si>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</si>
  <si>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</si>
  <si>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</si>
  <si>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</si>
  <si>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</si>
  <si>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</si>
  <si>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</si>
  <si>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</si>
  <si>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</si>
  <si>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</si>
  <si>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</si>
  <si>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</si>
  <si>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</si>
  <si>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</si>
  <si>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</si>
  <si>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</si>
  <si>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</si>
  <si>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</si>
  <si>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</si>
  <si>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</si>
  <si>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</si>
  <si>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</si>
  <si>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</si>
  <si>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</si>
  <si>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</si>
  <si>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</si>
  <si>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</si>
  <si>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</si>
  <si>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</si>
  <si>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</si>
  <si>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</si>
  <si>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</si>
  <si>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</si>
  <si>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</si>
  <si>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</si>
  <si>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</si>
  <si>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</si>
  <si>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</si>
  <si>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</si>
  <si>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</si>
  <si>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</si>
  <si>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</si>
  <si>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</si>
  <si>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</si>
  <si>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</si>
  <si>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</si>
  <si>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</si>
  <si>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</si>
  <si>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</si>
  <si>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</si>
  <si>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</si>
  <si>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</si>
  <si>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</si>
  <si>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</si>
  <si>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</si>
  <si>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</si>
  <si>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</si>
  <si>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</si>
  <si>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</si>
  <si>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</si>
  <si>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</si>
  <si>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</si>
  <si>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</si>
  <si>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</si>
  <si>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</si>
  <si>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</si>
  <si>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</si>
  <si>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</si>
  <si>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</si>
  <si>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</si>
  <si>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</si>
  <si>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</si>
  <si>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</si>
  <si>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</si>
  <si>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</si>
  <si>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</si>
  <si>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</si>
  <si>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</si>
  <si>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</si>
  <si>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</si>
  <si>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</si>
  <si>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</si>
  <si>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</si>
  <si>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</si>
  <si>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</si>
  <si>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</si>
  <si>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</si>
  <si>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</si>
  <si>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</si>
  <si>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</si>
  <si>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</si>
  <si>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</si>
  <si>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</si>
  <si>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</si>
  <si>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</si>
  <si>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</si>
  <si>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</si>
  <si>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</si>
  <si>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</si>
  <si>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</si>
  <si>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</si>
  <si>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</si>
  <si>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</si>
  <si>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</si>
  <si>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</si>
  <si>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</si>
  <si>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</si>
  <si>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</si>
  <si>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</si>
  <si>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</si>
  <si>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</si>
  <si>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</si>
  <si>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</si>
  <si>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</si>
  <si>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</si>
  <si>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</si>
  <si>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</si>
  <si>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</si>
  <si>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</si>
  <si>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</si>
  <si>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</si>
  <si>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</si>
  <si>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</si>
  <si>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</si>
  <si>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</si>
  <si>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</si>
  <si>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</si>
  <si>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</si>
  <si>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</si>
  <si>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</si>
  <si>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</si>
  <si>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</si>
  <si>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</si>
  <si>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</si>
  <si>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</si>
  <si>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</si>
  <si>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</si>
  <si>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</si>
  <si>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</si>
  <si>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</si>
  <si>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</si>
  <si>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</si>
  <si>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</si>
  <si>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O&amp;M-Plant services-electricity</t>
  </si>
  <si>
    <t>Southeastern IL Elecric CO_OP</t>
  </si>
  <si>
    <t>20-2540-300</t>
  </si>
  <si>
    <t>O&amp;M-Plant services-trash</t>
  </si>
  <si>
    <t>Bulldog Systems INC</t>
  </si>
  <si>
    <t>O&amp;M--Plant services-water</t>
  </si>
  <si>
    <t>Saline Valley Conservancy District</t>
  </si>
  <si>
    <t>TRANS-transportation- contracted trans</t>
  </si>
  <si>
    <t>40-2550-300</t>
  </si>
  <si>
    <t>Franklin Hall</t>
  </si>
  <si>
    <t>Gallatin Wellness Center</t>
  </si>
  <si>
    <t>ED-Gen Admin-physicals</t>
  </si>
  <si>
    <t>10-1000-300</t>
  </si>
  <si>
    <t>ED-Instruction-testing</t>
  </si>
  <si>
    <t>Renaisaance Learning</t>
  </si>
  <si>
    <t>10-2200-300</t>
  </si>
  <si>
    <t>TRANS-transportation-repairs &amp; maint.</t>
  </si>
  <si>
    <t>F&amp;F mechanical</t>
  </si>
  <si>
    <t>Premium Mechanical</t>
  </si>
  <si>
    <t>ED-Gen Admin-repairs &amp; maint</t>
  </si>
  <si>
    <t>O&amp;M- OPS &amp; Maint-security</t>
  </si>
  <si>
    <t>Security Alarm Corp</t>
  </si>
  <si>
    <t>O&amp;M--Plant services-water testing</t>
  </si>
  <si>
    <t>American Water Treatment</t>
  </si>
  <si>
    <t>Egyptian health Department</t>
  </si>
  <si>
    <t>ED-Gen Admin-drug testing</t>
  </si>
  <si>
    <t>Trans-transportation-drug testing</t>
  </si>
  <si>
    <t>Mid-West Truckers</t>
  </si>
  <si>
    <t xml:space="preserve">TRANS-transportation- physicals </t>
  </si>
  <si>
    <t>ED-Staff Instruct-social services</t>
  </si>
  <si>
    <t>10-2100-300</t>
  </si>
  <si>
    <t>ED-Instuction-testing</t>
  </si>
  <si>
    <t>Kaplan Early Learninhg</t>
  </si>
  <si>
    <t>ED-Instruction-computer maint.</t>
  </si>
  <si>
    <t>Specialized Data Systems</t>
  </si>
  <si>
    <t>10-2520-300</t>
  </si>
  <si>
    <t>note payable</t>
  </si>
  <si>
    <t>PNC Equipment Finance Energy Improvement</t>
  </si>
  <si>
    <t>Legence Bank for a school bus</t>
  </si>
  <si>
    <t>lease purchase</t>
  </si>
  <si>
    <t>Banterra for a school bus</t>
  </si>
  <si>
    <t>X</t>
  </si>
  <si>
    <t>Gallatin</t>
  </si>
  <si>
    <t>5175 Highway 13</t>
  </si>
  <si>
    <t>Junction, Illinois</t>
  </si>
  <si>
    <t>Judy Kaegi</t>
  </si>
  <si>
    <t>jkaegi@gcs.shawneelink.net</t>
  </si>
  <si>
    <t>(618) 272-3821</t>
  </si>
  <si>
    <t>(618) 272-4101</t>
  </si>
  <si>
    <t>Greg M McCalley, PC</t>
  </si>
  <si>
    <t>Greg McCalley</t>
  </si>
  <si>
    <t>855 E Ferguson Abve</t>
  </si>
  <si>
    <t>Wood River</t>
  </si>
  <si>
    <t>IL</t>
  </si>
  <si>
    <t>(618) 254-8183</t>
  </si>
  <si>
    <t>(618) b254-8680</t>
  </si>
  <si>
    <t>060-009547</t>
  </si>
  <si>
    <t>x</t>
  </si>
  <si>
    <t>pg 20 MR&amp;SS (50) line 237 Acct #2190 $67 is medicare paid by the Hero's Grant.</t>
  </si>
  <si>
    <t>pg16 ED Fund (10) Line 272 Acct #4999 $3,401 is an I-STEM Grant</t>
  </si>
  <si>
    <t>pg 18 ED Fund (10) Line 73 Acct #2900 $10,693 is used for various community programs.</t>
  </si>
  <si>
    <t>pg 12 O&amp;M Fund (20) Line 107 Acct #1999 $2,845 is money from reimbursements.</t>
  </si>
  <si>
    <t>pg 22  MR&amp;SS Fund (50) Line 278 Acct #2900 $135 is money used to pay medicare for communiuty coordinator.</t>
  </si>
  <si>
    <t>pg 12 CAP Fund (60) line 107 Acct #1999 $18,922 is the money made by renting land for crops.</t>
  </si>
  <si>
    <t>does not work for debt.</t>
  </si>
  <si>
    <t>various state grants.</t>
  </si>
  <si>
    <t xml:space="preserve">pg13 ED Fund (10) line 171 Acct #3999 $41,203 is the revenue from various local grants  $56,478 is made up of </t>
  </si>
  <si>
    <t>See below</t>
  </si>
  <si>
    <t>Special Education Cooperative WOVSED and the purchase of paper with various other school districts.</t>
  </si>
  <si>
    <t>WOVSED</t>
  </si>
  <si>
    <t>pg 65 Debt  The entity does not pay for all of its loans solely through the debt service fund; therefore the AUTO check</t>
  </si>
  <si>
    <t>pg12 ED Fund (10) line 107 Acct #1999 $41,203 is the revenue from various local grants</t>
  </si>
  <si>
    <t xml:space="preserve"> pg 10 ED Fund (10) line 17 Acct #1290  $910 is a special payment for the national forest.</t>
  </si>
  <si>
    <t>Gallatin CUSD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</si>
</sst>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18" borderId="21" xfId="0" applyFont="1" applyFill="1" applyBorder="1" applyAlignment="1" applyProtection="1">
      <alignment horizontal="left" vertical="center"/>
    </xf>
    <xf numFmtId="0" fontId="63" fillId="18" borderId="14" xfId="0"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2" t="s">
        <v>425</v>
      </c>
      <c r="J1" s="2033"/>
      <c r="K1" s="2033"/>
      <c r="L1" s="2033"/>
      <c r="M1" s="2033"/>
      <c r="N1" s="2033"/>
      <c r="O1" s="2033"/>
      <c r="P1" s="2033"/>
      <c r="Q1" s="2033"/>
      <c r="R1" s="2033"/>
      <c r="S1" s="2033"/>
    </row>
    <row r="2" spans="1:28" ht="12" customHeight="1" x14ac:dyDescent="0.2">
      <c r="A2" s="47" t="s">
        <v>1684</v>
      </c>
      <c r="D2" s="48"/>
      <c r="I2" s="2034" t="s">
        <v>1036</v>
      </c>
      <c r="J2" s="2033"/>
      <c r="K2" s="2033"/>
      <c r="L2" s="2033"/>
      <c r="M2" s="2033"/>
      <c r="N2" s="2033"/>
      <c r="O2" s="2033"/>
      <c r="P2" s="2033"/>
      <c r="Q2" s="2033"/>
      <c r="R2" s="2033"/>
      <c r="S2" s="2033"/>
    </row>
    <row r="3" spans="1:28" ht="12" customHeight="1" x14ac:dyDescent="0.2">
      <c r="A3" s="155" t="s">
        <v>1685</v>
      </c>
      <c r="B3" s="156"/>
      <c r="C3" s="156"/>
      <c r="D3" s="157"/>
      <c r="I3" s="2034" t="s">
        <v>54</v>
      </c>
      <c r="J3" s="2033"/>
      <c r="K3" s="2033"/>
      <c r="L3" s="2033"/>
      <c r="M3" s="2033"/>
      <c r="N3" s="2033"/>
      <c r="O3" s="2033"/>
      <c r="P3" s="2033"/>
      <c r="Q3" s="2033"/>
      <c r="R3" s="2033"/>
      <c r="S3" s="2033"/>
    </row>
    <row r="4" spans="1:28" ht="12" customHeight="1" x14ac:dyDescent="0.2">
      <c r="A4" s="37"/>
      <c r="I4" s="2034" t="s">
        <v>545</v>
      </c>
      <c r="J4" s="2033"/>
      <c r="K4" s="2033"/>
      <c r="L4" s="2033"/>
      <c r="M4" s="2033"/>
      <c r="N4" s="2033"/>
      <c r="O4" s="2033"/>
      <c r="P4" s="2033"/>
      <c r="Q4" s="2033"/>
      <c r="R4" s="2033"/>
      <c r="S4" s="2033"/>
    </row>
    <row r="5" spans="1:28" ht="14.1" customHeight="1" x14ac:dyDescent="0.2">
      <c r="B5" s="104" t="s">
        <v>2118</v>
      </c>
      <c r="C5" s="26" t="s">
        <v>966</v>
      </c>
      <c r="D5" s="84"/>
      <c r="E5" s="84"/>
      <c r="H5" s="38"/>
      <c r="I5" s="2041" t="s">
        <v>701</v>
      </c>
      <c r="J5" s="1986"/>
      <c r="K5" s="1986"/>
      <c r="L5" s="1986"/>
      <c r="M5" s="1986"/>
      <c r="N5" s="1986"/>
      <c r="O5" s="1986"/>
      <c r="P5" s="1986"/>
      <c r="Q5" s="1986"/>
      <c r="R5" s="1986"/>
      <c r="S5" s="1986"/>
    </row>
    <row r="6" spans="1:28" ht="14.1" customHeight="1" x14ac:dyDescent="0.2">
      <c r="B6" s="104"/>
      <c r="C6" s="26" t="s">
        <v>967</v>
      </c>
      <c r="D6" s="84"/>
      <c r="E6" s="84"/>
      <c r="I6" s="2040" t="s">
        <v>938</v>
      </c>
      <c r="J6" s="1986"/>
      <c r="K6" s="1986"/>
      <c r="L6" s="1986"/>
      <c r="M6" s="1986"/>
      <c r="N6" s="1986"/>
      <c r="O6" s="1986"/>
      <c r="P6" s="1986"/>
      <c r="Q6" s="1986"/>
      <c r="R6" s="1986"/>
      <c r="S6" s="1986"/>
    </row>
    <row r="7" spans="1:28" ht="12.2" customHeight="1" x14ac:dyDescent="0.2">
      <c r="I7" s="2035">
        <v>43281</v>
      </c>
      <c r="J7" s="2036"/>
      <c r="K7" s="2036"/>
      <c r="L7" s="2036"/>
      <c r="M7" s="2036"/>
      <c r="N7" s="2036"/>
      <c r="O7" s="2036"/>
      <c r="P7" s="2036"/>
      <c r="Q7" s="2036"/>
      <c r="R7" s="2036"/>
      <c r="S7" s="203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7" t="s">
        <v>695</v>
      </c>
      <c r="J9" s="2038"/>
      <c r="K9" s="2038"/>
      <c r="L9" s="2038"/>
      <c r="M9" s="2038"/>
      <c r="N9" s="2038"/>
      <c r="O9" s="2038"/>
      <c r="P9" s="2038"/>
      <c r="Q9" s="2038"/>
      <c r="R9" s="2038"/>
      <c r="S9" s="2039"/>
      <c r="T9" s="1982" t="s">
        <v>554</v>
      </c>
      <c r="U9" s="1983"/>
      <c r="V9" s="1983"/>
      <c r="W9" s="1983"/>
      <c r="X9" s="1983"/>
      <c r="Y9" s="1983"/>
      <c r="Z9" s="1983"/>
      <c r="AA9" s="1984"/>
    </row>
    <row r="10" spans="1:28" ht="13.5" customHeight="1" x14ac:dyDescent="0.2">
      <c r="A10" s="1991" t="s">
        <v>696</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1012</v>
      </c>
      <c r="B11" s="1995"/>
      <c r="C11" s="1995"/>
      <c r="D11" s="1995"/>
      <c r="E11" s="1995"/>
      <c r="F11" s="1995"/>
      <c r="G11" s="1995"/>
      <c r="H11" s="1996"/>
      <c r="I11" s="27"/>
      <c r="J11" s="74"/>
      <c r="K11" s="27"/>
      <c r="O11" s="148" t="s">
        <v>2118</v>
      </c>
      <c r="P11" s="100" t="s">
        <v>210</v>
      </c>
      <c r="Q11" s="30"/>
      <c r="R11" s="28"/>
      <c r="S11" s="27"/>
      <c r="T11" s="1988"/>
      <c r="U11" s="1989"/>
      <c r="V11" s="1989"/>
      <c r="W11" s="1989"/>
      <c r="X11" s="1989"/>
      <c r="Y11" s="1989"/>
      <c r="Z11" s="1989"/>
      <c r="AA11" s="199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2">
        <v>20030007026</v>
      </c>
      <c r="B13" s="2003"/>
      <c r="C13" s="2003"/>
      <c r="D13" s="2003"/>
      <c r="E13" s="2003"/>
      <c r="F13" s="2003"/>
      <c r="G13" s="2003"/>
      <c r="H13" s="2004"/>
      <c r="I13" s="31"/>
      <c r="J13" s="30"/>
      <c r="K13" s="28"/>
      <c r="L13" s="30"/>
      <c r="M13" s="30"/>
      <c r="N13" s="30"/>
      <c r="O13" s="30"/>
      <c r="P13" s="30"/>
      <c r="Q13" s="30"/>
      <c r="R13" s="30"/>
      <c r="S13" s="30"/>
      <c r="T13" s="2007" t="s">
        <v>2126</v>
      </c>
      <c r="U13" s="2008"/>
      <c r="V13" s="2008"/>
      <c r="W13" s="2008"/>
      <c r="X13" s="2008"/>
      <c r="Y13" s="2009"/>
      <c r="Z13" s="2009"/>
      <c r="AA13" s="201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0" t="s">
        <v>2119</v>
      </c>
      <c r="B15" s="2005"/>
      <c r="C15" s="2005"/>
      <c r="D15" s="2005"/>
      <c r="E15" s="2005"/>
      <c r="F15" s="2005"/>
      <c r="G15" s="2005"/>
      <c r="H15" s="2006"/>
      <c r="T15" s="1968" t="s">
        <v>2127</v>
      </c>
      <c r="U15" s="1969"/>
      <c r="V15" s="1969"/>
      <c r="W15" s="1969"/>
      <c r="X15" s="1969"/>
      <c r="Y15" s="2011"/>
      <c r="Z15" s="2011"/>
      <c r="AA15" s="201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0" t="s">
        <v>2150</v>
      </c>
      <c r="B17" s="2030"/>
      <c r="C17" s="2030"/>
      <c r="D17" s="2030"/>
      <c r="E17" s="2030"/>
      <c r="F17" s="2030"/>
      <c r="G17" s="2030"/>
      <c r="H17" s="2031"/>
      <c r="T17" s="2017" t="s">
        <v>2128</v>
      </c>
      <c r="U17" s="2018"/>
      <c r="V17" s="2018"/>
      <c r="W17" s="2018"/>
      <c r="X17" s="2018"/>
      <c r="Y17" s="2018"/>
      <c r="Z17" s="2018"/>
      <c r="AA17" s="2019"/>
    </row>
    <row r="18" spans="1:27" ht="13.5" customHeight="1" x14ac:dyDescent="0.2">
      <c r="A18" s="85" t="s">
        <v>551</v>
      </c>
      <c r="B18" s="76"/>
      <c r="C18" s="72"/>
      <c r="D18" s="76"/>
      <c r="E18" s="76"/>
      <c r="F18" s="76"/>
      <c r="G18" s="76"/>
      <c r="H18" s="56"/>
      <c r="I18" s="2027" t="s">
        <v>697</v>
      </c>
      <c r="J18" s="2028"/>
      <c r="K18" s="2028"/>
      <c r="L18" s="2028"/>
      <c r="M18" s="2028"/>
      <c r="N18" s="2028"/>
      <c r="O18" s="2028"/>
      <c r="P18" s="2028"/>
      <c r="Q18" s="2028"/>
      <c r="R18" s="2028"/>
      <c r="S18" s="2029"/>
      <c r="T18" s="85" t="s">
        <v>735</v>
      </c>
      <c r="U18" s="51"/>
      <c r="V18" s="72"/>
      <c r="W18" s="50"/>
      <c r="X18" s="85" t="s">
        <v>284</v>
      </c>
      <c r="Y18" s="81"/>
      <c r="Z18" s="159" t="s">
        <v>698</v>
      </c>
      <c r="AA18" s="46"/>
    </row>
    <row r="19" spans="1:27" ht="13.5" customHeight="1" x14ac:dyDescent="0.2">
      <c r="A19" s="2000" t="s">
        <v>2120</v>
      </c>
      <c r="B19" s="2001"/>
      <c r="C19" s="2001"/>
      <c r="D19" s="2001"/>
      <c r="E19" s="2001"/>
      <c r="F19" s="2001"/>
      <c r="G19" s="2001"/>
      <c r="H19" s="1999"/>
      <c r="I19" s="30"/>
      <c r="J19" s="99"/>
      <c r="K19" s="40"/>
      <c r="L19" s="38"/>
      <c r="M19" s="112" t="s">
        <v>333</v>
      </c>
      <c r="P19" s="27"/>
      <c r="Q19" s="27"/>
      <c r="R19" s="27"/>
      <c r="S19" s="31"/>
      <c r="T19" s="2000" t="s">
        <v>2129</v>
      </c>
      <c r="U19" s="1998"/>
      <c r="V19" s="1998"/>
      <c r="W19" s="1999"/>
      <c r="X19" s="2015" t="s">
        <v>2130</v>
      </c>
      <c r="Y19" s="2016"/>
      <c r="Z19" s="2013">
        <v>62095</v>
      </c>
      <c r="AA19" s="201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7" t="s">
        <v>2121</v>
      </c>
      <c r="B21" s="1998"/>
      <c r="C21" s="1998"/>
      <c r="D21" s="1998"/>
      <c r="E21" s="1998"/>
      <c r="F21" s="1998"/>
      <c r="G21" s="1998"/>
      <c r="H21" s="1999"/>
      <c r="I21" s="2023" t="s">
        <v>699</v>
      </c>
      <c r="J21" s="1986"/>
      <c r="K21" s="1986"/>
      <c r="L21" s="1986"/>
      <c r="M21" s="1986"/>
      <c r="N21" s="1986"/>
      <c r="O21" s="1986"/>
      <c r="P21" s="1986"/>
      <c r="Q21" s="1986"/>
      <c r="R21" s="1986"/>
      <c r="S21" s="1987"/>
      <c r="T21" s="1965" t="s">
        <v>2131</v>
      </c>
      <c r="U21" s="1966"/>
      <c r="V21" s="1966"/>
      <c r="W21" s="1966"/>
      <c r="X21" s="1979" t="s">
        <v>2132</v>
      </c>
      <c r="Y21" s="1980"/>
      <c r="Z21" s="1980"/>
      <c r="AA21" s="1981"/>
    </row>
    <row r="22" spans="1:27" ht="13.5" customHeight="1" x14ac:dyDescent="0.2">
      <c r="A22" s="87" t="s">
        <v>552</v>
      </c>
      <c r="B22" s="59"/>
      <c r="C22" s="59"/>
      <c r="D22" s="59"/>
      <c r="E22" s="59"/>
      <c r="F22" s="59"/>
      <c r="G22" s="59"/>
      <c r="H22" s="60"/>
      <c r="I22" s="2024" t="s">
        <v>1504</v>
      </c>
      <c r="J22" s="2025"/>
      <c r="K22" s="2025"/>
      <c r="L22" s="2025"/>
      <c r="M22" s="2025"/>
      <c r="N22" s="2025"/>
      <c r="O22" s="2025"/>
      <c r="P22" s="2025"/>
      <c r="Q22" s="2025"/>
      <c r="R22" s="2025"/>
      <c r="S22" s="2026"/>
      <c r="T22" s="85" t="s">
        <v>1596</v>
      </c>
      <c r="U22" s="51"/>
      <c r="V22" s="72"/>
      <c r="W22" s="51"/>
      <c r="X22" s="160" t="s">
        <v>1385</v>
      </c>
      <c r="Z22" s="45"/>
      <c r="AA22" s="46"/>
    </row>
    <row r="23" spans="1:27" ht="13.5" customHeight="1" x14ac:dyDescent="0.2">
      <c r="A23" s="2020"/>
      <c r="B23" s="2021"/>
      <c r="C23" s="2021"/>
      <c r="D23" s="2021"/>
      <c r="E23" s="2021"/>
      <c r="F23" s="2021"/>
      <c r="G23" s="2021"/>
      <c r="H23" s="2022"/>
      <c r="T23" s="1960" t="s">
        <v>2133</v>
      </c>
      <c r="U23" s="1961"/>
      <c r="V23" s="1961"/>
      <c r="W23" s="1961"/>
      <c r="X23" s="1976">
        <v>43434</v>
      </c>
      <c r="Y23" s="1977"/>
      <c r="Z23" s="1977"/>
      <c r="AA23" s="1978"/>
    </row>
    <row r="24" spans="1:27" ht="14.1" customHeight="1" x14ac:dyDescent="0.2">
      <c r="A24" s="88" t="s">
        <v>698</v>
      </c>
      <c r="B24" s="49"/>
      <c r="C24" s="49"/>
      <c r="D24" s="49"/>
      <c r="E24" s="49"/>
      <c r="F24" s="49"/>
      <c r="G24" s="49"/>
      <c r="H24" s="61"/>
      <c r="J24" s="2062">
        <f>IF(B5="x",IF(AUDITCHECK!D29="AFR form Incomplete.","",IF(AUDITCHECK!D29="Deficit reduction plan is required.","School District must complete a deficit reduction plan in the 2018-2019 Budget",)),"")</f>
        <v>0</v>
      </c>
      <c r="K24" s="2062"/>
      <c r="L24" s="2062"/>
      <c r="M24" s="2062"/>
      <c r="N24" s="2062"/>
      <c r="O24" s="2062"/>
      <c r="P24" s="2062"/>
      <c r="Q24" s="2062"/>
      <c r="R24" s="2062"/>
      <c r="S24" s="2063"/>
      <c r="T24" s="105" t="s">
        <v>552</v>
      </c>
      <c r="U24" s="106"/>
      <c r="V24" s="106"/>
      <c r="W24" s="106"/>
      <c r="X24" s="107"/>
      <c r="Y24" s="107"/>
      <c r="Z24" s="107"/>
      <c r="AA24" s="108"/>
    </row>
    <row r="25" spans="1:27" ht="14.1" customHeight="1" x14ac:dyDescent="0.2">
      <c r="A25" s="1997">
        <v>62954</v>
      </c>
      <c r="B25" s="1998"/>
      <c r="C25" s="1998"/>
      <c r="D25" s="1998"/>
      <c r="E25" s="1998"/>
      <c r="F25" s="1998"/>
      <c r="G25" s="1998"/>
      <c r="H25" s="1999"/>
      <c r="I25" s="113"/>
      <c r="J25" s="2064"/>
      <c r="K25" s="2064"/>
      <c r="L25" s="2064"/>
      <c r="M25" s="2064"/>
      <c r="N25" s="2064"/>
      <c r="O25" s="2064"/>
      <c r="P25" s="2064"/>
      <c r="Q25" s="2064"/>
      <c r="R25" s="2064"/>
      <c r="S25" s="2065"/>
      <c r="T25" s="1957"/>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5" t="s">
        <v>1591</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2118</v>
      </c>
      <c r="M29" s="40" t="s">
        <v>101</v>
      </c>
      <c r="N29" s="32" t="s">
        <v>1604</v>
      </c>
      <c r="O29" s="32"/>
      <c r="P29" s="32"/>
      <c r="Q29" s="32"/>
      <c r="R29" s="32"/>
      <c r="S29" s="123"/>
      <c r="T29" s="6"/>
      <c r="U29" s="6"/>
      <c r="V29" s="6"/>
      <c r="W29" s="6"/>
      <c r="X29" s="6"/>
      <c r="Y29" s="6"/>
      <c r="Z29" s="6"/>
      <c r="AA29" s="132"/>
    </row>
    <row r="30" spans="1:27" ht="13.5" customHeight="1" x14ac:dyDescent="0.2">
      <c r="A30" s="153"/>
      <c r="B30" s="136" t="s">
        <v>2118</v>
      </c>
      <c r="C30" s="124" t="s">
        <v>1226</v>
      </c>
      <c r="D30" s="28"/>
      <c r="E30" s="28"/>
      <c r="F30" s="140"/>
      <c r="G30" s="114"/>
      <c r="H30" s="114"/>
      <c r="I30" s="54"/>
      <c r="J30" s="102"/>
      <c r="K30" s="28" t="s">
        <v>597</v>
      </c>
      <c r="L30" s="148" t="s">
        <v>2118</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2118</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0" t="s">
        <v>2122</v>
      </c>
      <c r="B38" s="2030"/>
      <c r="C38" s="2030"/>
      <c r="D38" s="2030"/>
      <c r="E38" s="2030"/>
      <c r="F38" s="1998"/>
      <c r="G38" s="1998"/>
      <c r="H38" s="1999"/>
      <c r="I38" s="2049"/>
      <c r="J38" s="1969"/>
      <c r="K38" s="1969"/>
      <c r="L38" s="1969"/>
      <c r="M38" s="1969"/>
      <c r="N38" s="1969"/>
      <c r="O38" s="1969"/>
      <c r="P38" s="1970"/>
      <c r="Q38" s="1970"/>
      <c r="R38" s="1970"/>
      <c r="S38" s="1971"/>
      <c r="T38" s="1968"/>
      <c r="U38" s="1969"/>
      <c r="V38" s="1969"/>
      <c r="W38" s="1969"/>
      <c r="X38" s="1970"/>
      <c r="Y38" s="1970"/>
      <c r="Z38" s="1970"/>
      <c r="AA38" s="1971"/>
    </row>
    <row r="39" spans="1:27" ht="12" customHeight="1" x14ac:dyDescent="0.2">
      <c r="A39" s="2053" t="s">
        <v>552</v>
      </c>
      <c r="B39" s="2054"/>
      <c r="C39" s="72"/>
      <c r="D39" s="69"/>
      <c r="E39" s="69"/>
      <c r="F39" s="79"/>
      <c r="G39" s="69"/>
      <c r="H39" s="56"/>
      <c r="I39" s="2053" t="s">
        <v>552</v>
      </c>
      <c r="J39" s="2054"/>
      <c r="K39" s="2054"/>
      <c r="L39" s="2054"/>
      <c r="M39" s="2054"/>
      <c r="N39" s="67"/>
      <c r="O39" s="72"/>
      <c r="P39" s="72"/>
      <c r="Q39" s="78"/>
      <c r="R39" s="72"/>
      <c r="S39" s="56"/>
      <c r="T39" s="72" t="s">
        <v>552</v>
      </c>
      <c r="U39" s="51"/>
      <c r="V39" s="72"/>
      <c r="W39" s="50"/>
      <c r="X39" s="78"/>
      <c r="Y39" s="45"/>
      <c r="Z39" s="45"/>
      <c r="AA39" s="46"/>
    </row>
    <row r="40" spans="1:27" ht="13.5" customHeight="1" x14ac:dyDescent="0.2">
      <c r="A40" s="2056" t="s">
        <v>2123</v>
      </c>
      <c r="B40" s="2057"/>
      <c r="C40" s="2058"/>
      <c r="D40" s="2058"/>
      <c r="E40" s="2058"/>
      <c r="F40" s="2059"/>
      <c r="G40" s="2059"/>
      <c r="H40" s="2060"/>
      <c r="I40" s="1972"/>
      <c r="J40" s="1974"/>
      <c r="K40" s="1974"/>
      <c r="L40" s="1974"/>
      <c r="M40" s="1974"/>
      <c r="N40" s="1974"/>
      <c r="O40" s="1974"/>
      <c r="P40" s="1974"/>
      <c r="Q40" s="1974"/>
      <c r="R40" s="1974"/>
      <c r="S40" s="1975"/>
      <c r="T40" s="1972"/>
      <c r="U40" s="1973"/>
      <c r="V40" s="1974"/>
      <c r="W40" s="1974"/>
      <c r="X40" s="1974"/>
      <c r="Y40" s="1974"/>
      <c r="Z40" s="1974"/>
      <c r="AA40" s="197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6" t="s">
        <v>2124</v>
      </c>
      <c r="B42" s="2047"/>
      <c r="C42" s="2048"/>
      <c r="D42" s="2061" t="s">
        <v>2125</v>
      </c>
      <c r="E42" s="2047"/>
      <c r="F42" s="2047"/>
      <c r="G42" s="2047"/>
      <c r="H42" s="2048"/>
      <c r="I42" s="1967"/>
      <c r="J42" s="1963"/>
      <c r="K42" s="1963"/>
      <c r="L42" s="1963"/>
      <c r="M42" s="1963"/>
      <c r="N42" s="1963"/>
      <c r="O42" s="1964"/>
      <c r="P42" s="1962"/>
      <c r="Q42" s="1963"/>
      <c r="R42" s="1963"/>
      <c r="S42" s="1964"/>
      <c r="T42" s="1967"/>
      <c r="U42" s="1963"/>
      <c r="V42" s="1963"/>
      <c r="W42" s="1964"/>
      <c r="X42" s="1962"/>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0"/>
      <c r="B44" s="2051"/>
      <c r="C44" s="2051"/>
      <c r="D44" s="2051"/>
      <c r="E44" s="2051"/>
      <c r="F44" s="2051"/>
      <c r="G44" s="2051"/>
      <c r="H44" s="2052"/>
      <c r="I44" s="2042"/>
      <c r="J44" s="2044"/>
      <c r="K44" s="2044"/>
      <c r="L44" s="2044"/>
      <c r="M44" s="2044"/>
      <c r="N44" s="2044"/>
      <c r="O44" s="2044"/>
      <c r="P44" s="2044"/>
      <c r="Q44" s="2044"/>
      <c r="R44" s="2044"/>
      <c r="S44" s="2045"/>
      <c r="T44" s="2042"/>
      <c r="U44" s="2043"/>
      <c r="V44" s="2043"/>
      <c r="W44" s="2043"/>
      <c r="X44" s="2043"/>
      <c r="Y44" s="2043"/>
      <c r="Z44" s="2044"/>
      <c r="AA44" s="204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&amp;C80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&amp;C81</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66230605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2.5000000000000001E-2</v>
      </c>
      <c r="E10" s="356" t="s">
        <v>1062</v>
      </c>
      <c r="F10" s="355">
        <v>3.7499999999999999E-3</v>
      </c>
      <c r="G10" s="356" t="s">
        <v>1062</v>
      </c>
      <c r="H10" s="355">
        <v>2E-3</v>
      </c>
      <c r="I10" s="356" t="s">
        <v>1063</v>
      </c>
      <c r="J10" s="1754">
        <f>ROUND(D10+F10+H10,5)</f>
        <v>3.075E-2</v>
      </c>
      <c r="K10" s="222"/>
      <c r="L10" s="355">
        <v>5.0000000000000001E-4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7279957</v>
      </c>
      <c r="E16" s="356"/>
      <c r="F16" s="1755">
        <f>SUM('Acct Summary 7-8'!C17,'Acct Summary 7-8'!D17,'Acct Summary 7-8'!F17)</f>
        <v>6701958</v>
      </c>
      <c r="G16" s="356"/>
      <c r="H16" s="1755">
        <f>SUM(D16-F16)</f>
        <v>577999</v>
      </c>
      <c r="I16" s="222"/>
      <c r="J16" s="1755">
        <f>SUM('Acct Summary 7-8'!C81,'Acct Summary 7-8'!D81,'Acct Summary 7-8'!F81,'Acct Summary 7-8'!I81)</f>
        <v>3207102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9139823.4900000002</v>
      </c>
      <c r="I31" s="368"/>
      <c r="J31" s="222"/>
      <c r="K31" s="222"/>
      <c r="L31" s="222"/>
      <c r="M31" s="222"/>
    </row>
    <row r="32" spans="1:13" ht="13.35" customHeight="1" x14ac:dyDescent="0.2">
      <c r="B32" s="369" t="s">
        <v>2134</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424216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 xml:space="preserve">&amp;C </oddHeader>
    <oddFooter>&amp;C83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Gallatin CUSD 7</v>
      </c>
      <c r="E7" s="391"/>
      <c r="G7" s="252"/>
      <c r="H7" s="387"/>
      <c r="I7" s="387"/>
      <c r="J7" s="387"/>
      <c r="K7" s="387"/>
      <c r="L7" s="329"/>
      <c r="M7" s="329"/>
      <c r="N7" s="329"/>
      <c r="O7" s="329"/>
      <c r="P7" s="329"/>
    </row>
    <row r="8" spans="1:18" ht="12.75" x14ac:dyDescent="0.2">
      <c r="A8" s="329"/>
      <c r="B8" s="329"/>
      <c r="C8" s="389" t="s">
        <v>1187</v>
      </c>
      <c r="D8" s="392">
        <f>COVER!A13</f>
        <v>20030007026</v>
      </c>
      <c r="E8" s="393"/>
      <c r="G8" s="329"/>
      <c r="H8" s="329"/>
      <c r="I8" s="329"/>
      <c r="J8" s="329"/>
      <c r="K8" s="329"/>
      <c r="L8" s="329"/>
      <c r="M8" s="329"/>
      <c r="N8" s="329"/>
      <c r="O8" s="329"/>
      <c r="P8" s="329"/>
    </row>
    <row r="9" spans="1:18" ht="12.75" x14ac:dyDescent="0.2">
      <c r="A9" s="329"/>
      <c r="B9" s="329"/>
      <c r="C9" s="389" t="s">
        <v>737</v>
      </c>
      <c r="D9" s="394" t="str">
        <f>COVER!A15</f>
        <v>Gallatin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3207102</v>
      </c>
      <c r="I12" s="404"/>
      <c r="J12" s="404"/>
      <c r="K12" s="405">
        <f>TRUNC((H12/H13*100000),5)/100000</f>
        <v>0.44053859100000003</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7279957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6701958</v>
      </c>
      <c r="I17" s="404"/>
      <c r="J17" s="416"/>
      <c r="K17" s="405">
        <f>TRUNC((H17/H18*100000),5)/100000</f>
        <v>0.92060406400000006</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7279957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3207102</v>
      </c>
      <c r="I24" s="422"/>
      <c r="J24" s="422"/>
      <c r="K24" s="423">
        <f>TRUNC(((H24/H25*100000)/100000),2)</f>
        <v>172.27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18616.55</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1731102.4381899999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424216</v>
      </c>
      <c r="I32" s="420"/>
      <c r="J32" s="420"/>
      <c r="K32" s="423">
        <f>TRUNC(100-((((H32/H33*100))*100)/100),2)</f>
        <v>95.35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9139823.4900000002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 xml:space="preserve">&amp;C </oddHeader>
    <oddFooter>&amp;C84</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K10" sqref="K10:K1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81"/>
      <c r="D3" s="1582"/>
      <c r="E3" s="1582"/>
      <c r="F3" s="1582"/>
      <c r="G3" s="1582"/>
      <c r="H3" s="1582"/>
      <c r="I3" s="1582"/>
      <c r="J3" s="1582"/>
      <c r="K3" s="1582"/>
      <c r="L3" s="1582"/>
      <c r="M3" s="1583"/>
      <c r="N3" s="1584"/>
    </row>
    <row r="4" spans="1:14" ht="13.5" customHeight="1" x14ac:dyDescent="0.2">
      <c r="A4" s="463" t="s">
        <v>1750</v>
      </c>
      <c r="B4" s="464"/>
      <c r="C4" s="465">
        <v>1452472</v>
      </c>
      <c r="D4" s="466">
        <v>67702</v>
      </c>
      <c r="E4" s="466">
        <v>0</v>
      </c>
      <c r="F4" s="466">
        <v>310347</v>
      </c>
      <c r="G4" s="466">
        <v>95413</v>
      </c>
      <c r="H4" s="466">
        <v>40508</v>
      </c>
      <c r="I4" s="466"/>
      <c r="J4" s="467">
        <v>65117</v>
      </c>
      <c r="K4" s="466">
        <v>22078</v>
      </c>
      <c r="L4" s="466">
        <v>200385</v>
      </c>
      <c r="M4" s="468"/>
      <c r="N4" s="469"/>
    </row>
    <row r="5" spans="1:14" x14ac:dyDescent="0.2">
      <c r="A5" s="463" t="s">
        <v>1049</v>
      </c>
      <c r="B5" s="470">
        <v>120</v>
      </c>
      <c r="C5" s="465">
        <v>1030501</v>
      </c>
      <c r="D5" s="466">
        <v>220071</v>
      </c>
      <c r="E5" s="466"/>
      <c r="F5" s="466">
        <v>126009</v>
      </c>
      <c r="G5" s="466">
        <v>324070</v>
      </c>
      <c r="H5" s="466">
        <v>202367</v>
      </c>
      <c r="I5" s="466"/>
      <c r="J5" s="467">
        <v>314069</v>
      </c>
      <c r="K5" s="471">
        <v>138272</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2482973</v>
      </c>
      <c r="D13" s="1759">
        <f t="shared" ref="D13:L13" si="0">SUM(D4:D12)</f>
        <v>287773</v>
      </c>
      <c r="E13" s="1759">
        <f t="shared" si="0"/>
        <v>0</v>
      </c>
      <c r="F13" s="1759">
        <f t="shared" si="0"/>
        <v>436356</v>
      </c>
      <c r="G13" s="1759">
        <f t="shared" si="0"/>
        <v>419483</v>
      </c>
      <c r="H13" s="1759">
        <f t="shared" si="0"/>
        <v>242875</v>
      </c>
      <c r="I13" s="1759">
        <f t="shared" si="0"/>
        <v>0</v>
      </c>
      <c r="J13" s="1759">
        <f t="shared" si="0"/>
        <v>379186</v>
      </c>
      <c r="K13" s="1759">
        <f t="shared" si="0"/>
        <v>160350</v>
      </c>
      <c r="L13" s="1759">
        <f t="shared" si="0"/>
        <v>200385</v>
      </c>
      <c r="M13" s="468"/>
      <c r="N13" s="469"/>
    </row>
    <row r="14" spans="1:14" ht="18" customHeight="1" thickTop="1" x14ac:dyDescent="0.2">
      <c r="A14" s="2126" t="s">
        <v>149</v>
      </c>
      <c r="B14" s="212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217233</v>
      </c>
      <c r="N16" s="484"/>
    </row>
    <row r="17" spans="1:14" s="485" customFormat="1" ht="12.75" customHeight="1" x14ac:dyDescent="0.2">
      <c r="A17" s="482" t="s">
        <v>1470</v>
      </c>
      <c r="B17" s="483">
        <v>230</v>
      </c>
      <c r="C17" s="477"/>
      <c r="D17" s="477"/>
      <c r="E17" s="477"/>
      <c r="F17" s="477"/>
      <c r="G17" s="477"/>
      <c r="H17" s="477"/>
      <c r="I17" s="477"/>
      <c r="J17" s="477"/>
      <c r="K17" s="477"/>
      <c r="L17" s="477"/>
      <c r="M17" s="467">
        <v>5990265</v>
      </c>
      <c r="N17" s="484"/>
    </row>
    <row r="18" spans="1:14" s="485" customFormat="1" ht="12.75" customHeight="1" x14ac:dyDescent="0.2">
      <c r="A18" s="482" t="s">
        <v>1471</v>
      </c>
      <c r="B18" s="483">
        <v>240</v>
      </c>
      <c r="C18" s="477"/>
      <c r="D18" s="477"/>
      <c r="E18" s="477"/>
      <c r="F18" s="477"/>
      <c r="G18" s="477"/>
      <c r="H18" s="477"/>
      <c r="I18" s="477"/>
      <c r="J18" s="477"/>
      <c r="K18" s="477"/>
      <c r="L18" s="477"/>
      <c r="M18" s="467">
        <v>3877443</v>
      </c>
      <c r="N18" s="484"/>
    </row>
    <row r="19" spans="1:14" s="485" customFormat="1" ht="12.75" customHeight="1" x14ac:dyDescent="0.2">
      <c r="A19" s="482" t="s">
        <v>1472</v>
      </c>
      <c r="B19" s="483">
        <v>250</v>
      </c>
      <c r="C19" s="477"/>
      <c r="D19" s="477"/>
      <c r="E19" s="477"/>
      <c r="F19" s="477"/>
      <c r="G19" s="477"/>
      <c r="H19" s="477"/>
      <c r="I19" s="477"/>
      <c r="J19" s="477"/>
      <c r="K19" s="477"/>
      <c r="L19" s="477"/>
      <c r="M19" s="467">
        <v>2983746</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424216</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8" t="s">
        <v>664</v>
      </c>
      <c r="B23" s="1763"/>
      <c r="C23" s="468"/>
      <c r="D23" s="468"/>
      <c r="E23" s="468"/>
      <c r="F23" s="468"/>
      <c r="G23" s="468"/>
      <c r="H23" s="468"/>
      <c r="I23" s="468"/>
      <c r="J23" s="468"/>
      <c r="K23" s="468"/>
      <c r="L23" s="468"/>
      <c r="M23" s="1710">
        <f>SUM(M15:M22)</f>
        <v>13068687</v>
      </c>
      <c r="N23" s="1710">
        <f>SUM(N21:N22)</f>
        <v>424216</v>
      </c>
    </row>
    <row r="24" spans="1:14" ht="18" customHeight="1" thickTop="1" x14ac:dyDescent="0.2">
      <c r="A24" s="2128" t="s">
        <v>619</v>
      </c>
      <c r="B24" s="2129"/>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200385</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200385</v>
      </c>
      <c r="M34" s="468"/>
      <c r="N34" s="480"/>
    </row>
    <row r="35" spans="1:14" ht="18" customHeight="1" thickTop="1" x14ac:dyDescent="0.2">
      <c r="A35" s="2130" t="s">
        <v>550</v>
      </c>
      <c r="B35" s="213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424216</v>
      </c>
    </row>
    <row r="37" spans="1:14" ht="13.5" thickBot="1" x14ac:dyDescent="0.25">
      <c r="A37" s="1758" t="s">
        <v>674</v>
      </c>
      <c r="B37" s="1763"/>
      <c r="C37" s="477"/>
      <c r="D37" s="477"/>
      <c r="E37" s="477"/>
      <c r="F37" s="477"/>
      <c r="G37" s="477"/>
      <c r="H37" s="477"/>
      <c r="I37" s="477"/>
      <c r="J37" s="477"/>
      <c r="K37" s="477"/>
      <c r="L37" s="480"/>
      <c r="M37" s="468"/>
      <c r="N37" s="1710">
        <f>SUM(N36:N36)</f>
        <v>424216</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2482973</v>
      </c>
      <c r="D39" s="466">
        <v>287773</v>
      </c>
      <c r="E39" s="466">
        <v>0</v>
      </c>
      <c r="F39" s="466">
        <v>436356</v>
      </c>
      <c r="G39" s="466">
        <v>419483</v>
      </c>
      <c r="H39" s="466">
        <v>242875</v>
      </c>
      <c r="I39" s="466"/>
      <c r="J39" s="467">
        <v>379186</v>
      </c>
      <c r="K39" s="466">
        <v>160350</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13068687</v>
      </c>
      <c r="N40" s="497"/>
    </row>
    <row r="41" spans="1:14" ht="13.5" customHeight="1" thickBot="1" x14ac:dyDescent="0.25">
      <c r="A41" s="1758" t="s">
        <v>676</v>
      </c>
      <c r="B41" s="1728"/>
      <c r="C41" s="1710">
        <f>(SUM(C34,C37,C38,C39))</f>
        <v>2482973</v>
      </c>
      <c r="D41" s="1710">
        <f t="shared" ref="D41:L41" si="2">SUM(D34,D37,D38:D39)</f>
        <v>287773</v>
      </c>
      <c r="E41" s="1710">
        <f t="shared" si="2"/>
        <v>0</v>
      </c>
      <c r="F41" s="1710">
        <f t="shared" si="2"/>
        <v>436356</v>
      </c>
      <c r="G41" s="1710">
        <f t="shared" si="2"/>
        <v>419483</v>
      </c>
      <c r="H41" s="1710">
        <f t="shared" si="2"/>
        <v>242875</v>
      </c>
      <c r="I41" s="1710">
        <f t="shared" si="2"/>
        <v>0</v>
      </c>
      <c r="J41" s="1710">
        <f t="shared" si="2"/>
        <v>379186</v>
      </c>
      <c r="K41" s="1710">
        <f t="shared" si="2"/>
        <v>160350</v>
      </c>
      <c r="L41" s="1710">
        <f t="shared" si="2"/>
        <v>200385</v>
      </c>
      <c r="M41" s="1710">
        <f>SUM(M40)</f>
        <v>13068687</v>
      </c>
      <c r="N41" s="1710">
        <f>SUM(N37)</f>
        <v>424216</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&amp;C&amp;"Arial,Bold"&amp;9BASIC FINANCIAL STATEMENTS
STATEMENT OF ASSETS AND LIABILITIES ARISING FROM CASH TRANSACTIONS
STATEMENT OF POSITION AS OF JUNE 30, 2018</oddHeader>
    <oddFooter>&amp;CThe notes to the financial statements are an integral part of this statement.
7</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E12" sqref="E1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4" t="s">
        <v>1237</v>
      </c>
      <c r="B3" s="2145"/>
      <c r="C3" s="1595"/>
      <c r="D3" s="1596"/>
      <c r="E3" s="1596"/>
      <c r="F3" s="1596"/>
      <c r="G3" s="1596"/>
      <c r="H3" s="1596"/>
      <c r="I3" s="1596"/>
      <c r="J3" s="1596"/>
      <c r="K3" s="1597"/>
      <c r="L3" s="506"/>
    </row>
    <row r="4" spans="1:13" ht="15.75" customHeight="1" x14ac:dyDescent="0.2">
      <c r="A4" s="2146" t="s">
        <v>1579</v>
      </c>
      <c r="B4" s="2147"/>
      <c r="C4" s="1764">
        <f>'Revenues 9-14'!C109</f>
        <v>1935273</v>
      </c>
      <c r="D4" s="1764">
        <f>'Revenues 9-14'!D109</f>
        <v>253671</v>
      </c>
      <c r="E4" s="1764">
        <f>'Revenues 9-14'!E109</f>
        <v>67278</v>
      </c>
      <c r="F4" s="1764">
        <f>'Revenues 9-14'!F109</f>
        <v>307723</v>
      </c>
      <c r="G4" s="1764">
        <f>'Revenues 9-14'!G109</f>
        <v>395401</v>
      </c>
      <c r="H4" s="1764">
        <f>'Revenues 9-14'!H109</f>
        <v>23489</v>
      </c>
      <c r="I4" s="1764">
        <f>'Revenues 9-14'!I109</f>
        <v>33168</v>
      </c>
      <c r="J4" s="1764">
        <f>'Revenues 9-14'!J109</f>
        <v>369936</v>
      </c>
      <c r="K4" s="1764">
        <f>'Revenues 9-14'!K109</f>
        <v>34250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3732469</v>
      </c>
      <c r="D6" s="1765">
        <f>'Revenues 9-14'!D173</f>
        <v>0</v>
      </c>
      <c r="E6" s="1765">
        <f>'Revenues 9-14'!E173</f>
        <v>0</v>
      </c>
      <c r="F6" s="1765">
        <f>'Revenues 9-14'!F173</f>
        <v>351206</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666447</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6334189</v>
      </c>
      <c r="D8" s="1710">
        <f t="shared" ref="D8:K8" si="0">SUM(D4:D7)</f>
        <v>253671</v>
      </c>
      <c r="E8" s="1710">
        <f t="shared" si="0"/>
        <v>67278</v>
      </c>
      <c r="F8" s="1710">
        <f t="shared" si="0"/>
        <v>658929</v>
      </c>
      <c r="G8" s="1710">
        <f t="shared" si="0"/>
        <v>395401</v>
      </c>
      <c r="H8" s="1710">
        <f t="shared" si="0"/>
        <v>23489</v>
      </c>
      <c r="I8" s="1710">
        <f t="shared" si="0"/>
        <v>33168</v>
      </c>
      <c r="J8" s="1710">
        <f t="shared" si="0"/>
        <v>369936</v>
      </c>
      <c r="K8" s="1710">
        <f t="shared" si="0"/>
        <v>34250</v>
      </c>
      <c r="L8" s="347"/>
    </row>
    <row r="9" spans="1:13" ht="15.75" thickTop="1" x14ac:dyDescent="0.2">
      <c r="A9" s="514" t="s">
        <v>1752</v>
      </c>
      <c r="B9" s="515">
        <v>3998</v>
      </c>
      <c r="C9" s="481">
        <v>2385394</v>
      </c>
      <c r="D9" s="516"/>
      <c r="E9" s="481"/>
      <c r="F9" s="481"/>
      <c r="G9" s="517"/>
      <c r="H9" s="481"/>
      <c r="I9" s="509" t="s">
        <v>1231</v>
      </c>
      <c r="J9" s="478"/>
      <c r="K9" s="481"/>
      <c r="L9" s="347"/>
    </row>
    <row r="10" spans="1:13" s="519" customFormat="1" ht="13.5" thickBot="1" x14ac:dyDescent="0.25">
      <c r="A10" s="1758" t="s">
        <v>1235</v>
      </c>
      <c r="B10" s="1731"/>
      <c r="C10" s="1710">
        <f>SUM(C8:C9)</f>
        <v>8719583</v>
      </c>
      <c r="D10" s="1710">
        <f t="shared" ref="D10:K10" si="1">SUM(D8:D9)</f>
        <v>253671</v>
      </c>
      <c r="E10" s="1710">
        <f t="shared" si="1"/>
        <v>67278</v>
      </c>
      <c r="F10" s="1710">
        <f t="shared" si="1"/>
        <v>658929</v>
      </c>
      <c r="G10" s="1710">
        <f t="shared" si="1"/>
        <v>395401</v>
      </c>
      <c r="H10" s="1710">
        <f t="shared" si="1"/>
        <v>23489</v>
      </c>
      <c r="I10" s="1710">
        <f t="shared" si="1"/>
        <v>33168</v>
      </c>
      <c r="J10" s="1710">
        <f t="shared" si="1"/>
        <v>369936</v>
      </c>
      <c r="K10" s="1710">
        <f t="shared" si="1"/>
        <v>34250</v>
      </c>
      <c r="L10" s="518"/>
    </row>
    <row r="11" spans="1:13" s="519" customFormat="1" ht="16.7" customHeight="1" thickTop="1" x14ac:dyDescent="0.2">
      <c r="A11" s="2126" t="s">
        <v>1238</v>
      </c>
      <c r="B11" s="2127"/>
      <c r="C11" s="1592"/>
      <c r="D11" s="1593"/>
      <c r="E11" s="1593"/>
      <c r="F11" s="1593"/>
      <c r="G11" s="1593"/>
      <c r="H11" s="1593"/>
      <c r="I11" s="1593"/>
      <c r="J11" s="1593"/>
      <c r="K11" s="1594"/>
      <c r="L11" s="518"/>
    </row>
    <row r="12" spans="1:13" ht="15.75" customHeight="1" x14ac:dyDescent="0.2">
      <c r="A12" s="1598" t="s">
        <v>476</v>
      </c>
      <c r="B12" s="1600">
        <v>1000</v>
      </c>
      <c r="C12" s="1764">
        <f>'Expenditures 15-22'!K33</f>
        <v>4017453</v>
      </c>
      <c r="D12" s="520" t="s">
        <v>1231</v>
      </c>
      <c r="E12" s="468" t="s">
        <v>1231</v>
      </c>
      <c r="F12" s="468" t="s">
        <v>1231</v>
      </c>
      <c r="G12" s="1764">
        <f>'Expenditures 15-22'!K229</f>
        <v>125702</v>
      </c>
      <c r="H12" s="521"/>
      <c r="I12" s="468" t="s">
        <v>1231</v>
      </c>
      <c r="J12" s="468" t="s">
        <v>1231</v>
      </c>
      <c r="K12" s="521" t="s">
        <v>1231</v>
      </c>
      <c r="L12" s="347"/>
    </row>
    <row r="13" spans="1:13" ht="15.75" customHeight="1" x14ac:dyDescent="0.2">
      <c r="A13" s="1598" t="s">
        <v>477</v>
      </c>
      <c r="B13" s="1600">
        <v>2000</v>
      </c>
      <c r="C13" s="1765">
        <f>'Expenditures 15-22'!K74</f>
        <v>1637688</v>
      </c>
      <c r="D13" s="1765">
        <f>'Expenditures 15-22'!K129</f>
        <v>332794</v>
      </c>
      <c r="E13" s="469" t="s">
        <v>1231</v>
      </c>
      <c r="F13" s="1765">
        <f>'Expenditures 15-22'!K184</f>
        <v>461622</v>
      </c>
      <c r="G13" s="1765">
        <f>'Expenditures 15-22'!K279</f>
        <v>243065</v>
      </c>
      <c r="H13" s="1765">
        <f>'Expenditures 15-22'!K303</f>
        <v>0</v>
      </c>
      <c r="I13" s="468" t="s">
        <v>1231</v>
      </c>
      <c r="J13" s="1765">
        <f>'Expenditures 15-22'!K330</f>
        <v>285588</v>
      </c>
      <c r="K13" s="1769">
        <f>'Expenditures 15-22'!K352</f>
        <v>24629</v>
      </c>
      <c r="L13" s="347"/>
    </row>
    <row r="14" spans="1:13" ht="15.75" customHeight="1" x14ac:dyDescent="0.2">
      <c r="A14" s="1598" t="s">
        <v>469</v>
      </c>
      <c r="B14" s="1600">
        <v>3000</v>
      </c>
      <c r="C14" s="1765">
        <f>'Expenditures 15-22'!K75</f>
        <v>7715</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187192</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67278</v>
      </c>
      <c r="F16" s="1765">
        <f>'Expenditures 15-22'!K208</f>
        <v>57494</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5850048</v>
      </c>
      <c r="D17" s="1710">
        <f t="shared" si="2"/>
        <v>332794</v>
      </c>
      <c r="E17" s="1710">
        <f t="shared" si="2"/>
        <v>67278</v>
      </c>
      <c r="F17" s="1710">
        <f t="shared" si="2"/>
        <v>519116</v>
      </c>
      <c r="G17" s="1710">
        <f t="shared" si="2"/>
        <v>368767</v>
      </c>
      <c r="H17" s="1710">
        <f t="shared" si="2"/>
        <v>0</v>
      </c>
      <c r="I17" s="468"/>
      <c r="J17" s="1710">
        <f>SUM(J12:J16)</f>
        <v>285588</v>
      </c>
      <c r="K17" s="1710">
        <f>SUM(K12:K16)</f>
        <v>24629</v>
      </c>
      <c r="L17" s="347"/>
    </row>
    <row r="18" spans="1:12" ht="15" customHeight="1" thickTop="1" x14ac:dyDescent="0.2">
      <c r="A18" s="1766" t="s">
        <v>1753</v>
      </c>
      <c r="B18" s="1767">
        <v>4180</v>
      </c>
      <c r="C18" s="1764">
        <f t="shared" ref="C18:H18" si="3">C9</f>
        <v>2385394</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8235442</v>
      </c>
      <c r="D19" s="1710">
        <f t="shared" si="4"/>
        <v>332794</v>
      </c>
      <c r="E19" s="1710">
        <f t="shared" si="4"/>
        <v>67278</v>
      </c>
      <c r="F19" s="1710">
        <f t="shared" si="4"/>
        <v>519116</v>
      </c>
      <c r="G19" s="1710">
        <f t="shared" si="4"/>
        <v>368767</v>
      </c>
      <c r="H19" s="1710">
        <f t="shared" si="4"/>
        <v>0</v>
      </c>
      <c r="I19" s="468"/>
      <c r="J19" s="1710">
        <f>SUM(J17:J18)</f>
        <v>285588</v>
      </c>
      <c r="K19" s="1710">
        <f>SUM(K17:K18)</f>
        <v>24629</v>
      </c>
      <c r="L19" s="347"/>
    </row>
    <row r="20" spans="1:12" ht="16.5" thickTop="1" thickBot="1" x14ac:dyDescent="0.25">
      <c r="A20" s="2134" t="s">
        <v>1754</v>
      </c>
      <c r="B20" s="2135"/>
      <c r="C20" s="1768">
        <f>C8-C17</f>
        <v>484141</v>
      </c>
      <c r="D20" s="1768">
        <f t="shared" ref="D20:K20" si="5">D8-D17</f>
        <v>-79123</v>
      </c>
      <c r="E20" s="1768">
        <f t="shared" si="5"/>
        <v>0</v>
      </c>
      <c r="F20" s="1768">
        <f t="shared" si="5"/>
        <v>139813</v>
      </c>
      <c r="G20" s="1768">
        <f t="shared" si="5"/>
        <v>26634</v>
      </c>
      <c r="H20" s="1768">
        <f t="shared" si="5"/>
        <v>23489</v>
      </c>
      <c r="I20" s="1768">
        <f t="shared" si="5"/>
        <v>33168</v>
      </c>
      <c r="J20" s="1768">
        <f t="shared" si="5"/>
        <v>84348</v>
      </c>
      <c r="K20" s="1768">
        <f t="shared" si="5"/>
        <v>9621</v>
      </c>
      <c r="L20" s="347"/>
    </row>
    <row r="21" spans="1:12" ht="16.7" customHeight="1" thickTop="1" x14ac:dyDescent="0.2">
      <c r="A21" s="2148" t="s">
        <v>616</v>
      </c>
      <c r="B21" s="2149"/>
      <c r="C21" s="1592"/>
      <c r="D21" s="1593"/>
      <c r="E21" s="1593"/>
      <c r="F21" s="1593"/>
      <c r="G21" s="1593"/>
      <c r="H21" s="1593"/>
      <c r="I21" s="1593"/>
      <c r="J21" s="1593"/>
      <c r="K21" s="1594"/>
      <c r="L21" s="524"/>
    </row>
    <row r="22" spans="1:12" ht="15.75" customHeight="1" collapsed="1" x14ac:dyDescent="0.2">
      <c r="A22" s="2142" t="s">
        <v>617</v>
      </c>
      <c r="B22" s="2143"/>
      <c r="C22" s="477"/>
      <c r="D22" s="477"/>
      <c r="E22" s="477"/>
      <c r="F22" s="477"/>
      <c r="G22" s="477"/>
      <c r="H22" s="477"/>
      <c r="I22" s="477"/>
      <c r="J22" s="477"/>
      <c r="K22" s="477"/>
      <c r="L22" s="347"/>
    </row>
    <row r="23" spans="1:12" s="485" customFormat="1" ht="15.75" customHeight="1" x14ac:dyDescent="0.2">
      <c r="A23" s="2138" t="s">
        <v>311</v>
      </c>
      <c r="B23" s="2139"/>
      <c r="C23" s="480"/>
      <c r="D23" s="477"/>
      <c r="E23" s="477"/>
      <c r="F23" s="477"/>
      <c r="G23" s="477"/>
      <c r="H23" s="477"/>
      <c r="I23" s="477"/>
      <c r="J23" s="477"/>
      <c r="K23" s="477"/>
      <c r="L23" s="524"/>
    </row>
    <row r="24" spans="1:12" s="485" customFormat="1" ht="13.5" customHeight="1" x14ac:dyDescent="0.2">
      <c r="A24" s="1511" t="s">
        <v>1755</v>
      </c>
      <c r="B24" s="525">
        <v>7110</v>
      </c>
      <c r="C24" s="467">
        <v>33168</v>
      </c>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0" t="s">
        <v>1038</v>
      </c>
      <c r="B32" s="2141"/>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v>3268</v>
      </c>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0" t="s">
        <v>392</v>
      </c>
      <c r="B44" s="2151"/>
      <c r="C44" s="1725">
        <f>SUM(C24:C43)</f>
        <v>33168</v>
      </c>
      <c r="D44" s="1725">
        <f t="shared" ref="D44:K44" si="6">SUM(D24:D43)</f>
        <v>0</v>
      </c>
      <c r="E44" s="1725">
        <f t="shared" si="6"/>
        <v>0</v>
      </c>
      <c r="F44" s="1725">
        <f t="shared" si="6"/>
        <v>3268</v>
      </c>
      <c r="G44" s="1725">
        <f t="shared" si="6"/>
        <v>0</v>
      </c>
      <c r="H44" s="1725">
        <f t="shared" si="6"/>
        <v>0</v>
      </c>
      <c r="I44" s="1725">
        <f t="shared" si="6"/>
        <v>0</v>
      </c>
      <c r="J44" s="1725">
        <f t="shared" si="6"/>
        <v>0</v>
      </c>
      <c r="K44" s="1725">
        <f t="shared" si="6"/>
        <v>0</v>
      </c>
      <c r="L44" s="524"/>
    </row>
    <row r="45" spans="1:12" ht="15.75" customHeight="1" thickTop="1" x14ac:dyDescent="0.2">
      <c r="A45" s="2142" t="s">
        <v>110</v>
      </c>
      <c r="B45" s="2143"/>
      <c r="C45" s="528"/>
      <c r="D45" s="528"/>
      <c r="E45" s="528"/>
      <c r="F45" s="528"/>
      <c r="G45" s="528"/>
      <c r="H45" s="528"/>
      <c r="I45" s="528"/>
      <c r="J45" s="528"/>
      <c r="K45" s="528"/>
      <c r="L45" s="347"/>
    </row>
    <row r="46" spans="1:12" s="485" customFormat="1" ht="15.75" customHeight="1" x14ac:dyDescent="0.2">
      <c r="A46" s="2152" t="s">
        <v>111</v>
      </c>
      <c r="B46" s="2153"/>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33168</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54" t="s">
        <v>460</v>
      </c>
      <c r="B76" s="2155"/>
      <c r="C76" s="1725">
        <f t="shared" ref="C76:K76" si="7">SUM(C47:C75)</f>
        <v>0</v>
      </c>
      <c r="D76" s="1725">
        <f t="shared" si="7"/>
        <v>0</v>
      </c>
      <c r="E76" s="1725">
        <f t="shared" si="7"/>
        <v>0</v>
      </c>
      <c r="F76" s="1725">
        <f t="shared" si="7"/>
        <v>0</v>
      </c>
      <c r="G76" s="1725">
        <f t="shared" si="7"/>
        <v>0</v>
      </c>
      <c r="H76" s="1725">
        <f t="shared" si="7"/>
        <v>0</v>
      </c>
      <c r="I76" s="1725">
        <f t="shared" si="7"/>
        <v>33168</v>
      </c>
      <c r="J76" s="1725">
        <f t="shared" si="7"/>
        <v>0</v>
      </c>
      <c r="K76" s="1725">
        <f t="shared" si="7"/>
        <v>0</v>
      </c>
      <c r="L76" s="524"/>
    </row>
    <row r="77" spans="1:12" ht="14.25" thickTop="1" thickBot="1" x14ac:dyDescent="0.25">
      <c r="A77" s="2156" t="s">
        <v>1239</v>
      </c>
      <c r="B77" s="2157"/>
      <c r="C77" s="1725">
        <f t="shared" ref="C77:K77" si="8">C44-C76</f>
        <v>33168</v>
      </c>
      <c r="D77" s="1725">
        <f t="shared" si="8"/>
        <v>0</v>
      </c>
      <c r="E77" s="1725">
        <f t="shared" si="8"/>
        <v>0</v>
      </c>
      <c r="F77" s="1725">
        <f t="shared" si="8"/>
        <v>3268</v>
      </c>
      <c r="G77" s="1725">
        <f t="shared" si="8"/>
        <v>0</v>
      </c>
      <c r="H77" s="1725">
        <f t="shared" si="8"/>
        <v>0</v>
      </c>
      <c r="I77" s="1725">
        <f t="shared" si="8"/>
        <v>-33168</v>
      </c>
      <c r="J77" s="1725">
        <f t="shared" si="8"/>
        <v>0</v>
      </c>
      <c r="K77" s="1725">
        <f t="shared" si="8"/>
        <v>0</v>
      </c>
      <c r="L77" s="347"/>
    </row>
    <row r="78" spans="1:12" ht="21.75" customHeight="1" thickTop="1" thickBot="1" x14ac:dyDescent="0.25">
      <c r="A78" s="2160" t="s">
        <v>618</v>
      </c>
      <c r="B78" s="2161"/>
      <c r="C78" s="1724">
        <f t="shared" ref="C78:K78" si="9">C20+C77</f>
        <v>517309</v>
      </c>
      <c r="D78" s="1724">
        <f t="shared" si="9"/>
        <v>-79123</v>
      </c>
      <c r="E78" s="1724">
        <f t="shared" si="9"/>
        <v>0</v>
      </c>
      <c r="F78" s="1724">
        <f t="shared" si="9"/>
        <v>143081</v>
      </c>
      <c r="G78" s="1724">
        <f t="shared" si="9"/>
        <v>26634</v>
      </c>
      <c r="H78" s="1724">
        <f t="shared" si="9"/>
        <v>23489</v>
      </c>
      <c r="I78" s="1724">
        <f t="shared" si="9"/>
        <v>0</v>
      </c>
      <c r="J78" s="1724">
        <f t="shared" si="9"/>
        <v>84348</v>
      </c>
      <c r="K78" s="1724">
        <f t="shared" si="9"/>
        <v>9621</v>
      </c>
      <c r="L78" s="533"/>
    </row>
    <row r="79" spans="1:12" ht="13.5" thickTop="1" x14ac:dyDescent="0.2">
      <c r="A79" s="1516" t="s">
        <v>2073</v>
      </c>
      <c r="B79" s="534"/>
      <c r="C79" s="478">
        <v>1965664</v>
      </c>
      <c r="D79" s="535">
        <v>366896</v>
      </c>
      <c r="E79" s="535">
        <v>0</v>
      </c>
      <c r="F79" s="535">
        <v>293275</v>
      </c>
      <c r="G79" s="535">
        <v>392849</v>
      </c>
      <c r="H79" s="535">
        <v>219386</v>
      </c>
      <c r="I79" s="535">
        <v>0</v>
      </c>
      <c r="J79" s="535">
        <v>294838</v>
      </c>
      <c r="K79" s="535">
        <v>150729</v>
      </c>
      <c r="L79" s="347"/>
    </row>
    <row r="80" spans="1:12" x14ac:dyDescent="0.2">
      <c r="A80" s="2136" t="s">
        <v>1898</v>
      </c>
      <c r="B80" s="2137"/>
      <c r="C80" s="467"/>
      <c r="D80" s="467"/>
      <c r="E80" s="467"/>
      <c r="F80" s="467"/>
      <c r="G80" s="467"/>
      <c r="H80" s="467"/>
      <c r="I80" s="467"/>
      <c r="J80" s="467"/>
      <c r="K80" s="467"/>
      <c r="L80" s="347"/>
    </row>
    <row r="81" spans="1:12" ht="13.5" thickBot="1" x14ac:dyDescent="0.25">
      <c r="A81" s="2158" t="s">
        <v>2074</v>
      </c>
      <c r="B81" s="2159"/>
      <c r="C81" s="1710">
        <f>(SUM(C78:C80))</f>
        <v>2482973</v>
      </c>
      <c r="D81" s="1710">
        <f>SUM(D78:D80)</f>
        <v>287773</v>
      </c>
      <c r="E81" s="1710">
        <f t="shared" ref="E81:K81" si="10">SUM(E78:E80)</f>
        <v>0</v>
      </c>
      <c r="F81" s="1710">
        <f t="shared" si="10"/>
        <v>436356</v>
      </c>
      <c r="G81" s="1710">
        <f t="shared" si="10"/>
        <v>419483</v>
      </c>
      <c r="H81" s="1710">
        <f t="shared" si="10"/>
        <v>242875</v>
      </c>
      <c r="I81" s="1710">
        <f t="shared" si="10"/>
        <v>0</v>
      </c>
      <c r="J81" s="1710">
        <f t="shared" si="10"/>
        <v>379186</v>
      </c>
      <c r="K81" s="1710">
        <f t="shared" si="10"/>
        <v>160350</v>
      </c>
      <c r="L81" s="347"/>
    </row>
    <row r="82" spans="1:12" ht="0.75" customHeight="1" thickTop="1" thickBot="1" x14ac:dyDescent="0.25">
      <c r="A82" s="536" t="s">
        <v>361</v>
      </c>
      <c r="B82" s="537"/>
      <c r="C82" s="538">
        <f>(C81-C79)</f>
        <v>517309</v>
      </c>
      <c r="D82" s="538">
        <f t="shared" ref="D82:K82" si="11">(D81-D79)</f>
        <v>-79123</v>
      </c>
      <c r="E82" s="538">
        <f t="shared" si="11"/>
        <v>0</v>
      </c>
      <c r="F82" s="538">
        <f t="shared" si="11"/>
        <v>143081</v>
      </c>
      <c r="G82" s="538">
        <f t="shared" si="11"/>
        <v>26634</v>
      </c>
      <c r="H82" s="538">
        <f t="shared" si="11"/>
        <v>23489</v>
      </c>
      <c r="I82" s="538">
        <f t="shared" si="11"/>
        <v>0</v>
      </c>
      <c r="J82" s="538">
        <f t="shared" si="11"/>
        <v>84348</v>
      </c>
      <c r="K82" s="538">
        <f t="shared" si="11"/>
        <v>9621</v>
      </c>
    </row>
    <row r="83" spans="1:12" ht="14.25" hidden="1" thickTop="1" thickBot="1" x14ac:dyDescent="0.25">
      <c r="A83" s="539" t="s">
        <v>362</v>
      </c>
      <c r="B83" s="464"/>
      <c r="C83" s="540">
        <f>C82/C81</f>
        <v>0.2083425796414218</v>
      </c>
      <c r="D83" s="540">
        <f t="shared" ref="D83:K83" si="12">D82/D81</f>
        <v>-0.27494935244098645</v>
      </c>
      <c r="E83" s="540" t="e">
        <f t="shared" si="12"/>
        <v>#DIV/0!</v>
      </c>
      <c r="F83" s="540">
        <f t="shared" si="12"/>
        <v>0.32789969657802343</v>
      </c>
      <c r="G83" s="540">
        <f t="shared" si="12"/>
        <v>6.3492441886798756E-2</v>
      </c>
      <c r="H83" s="540">
        <f t="shared" si="12"/>
        <v>9.6712300566134848E-2</v>
      </c>
      <c r="I83" s="540" t="e">
        <f t="shared" si="12"/>
        <v>#DIV/0!</v>
      </c>
      <c r="J83" s="540">
        <f t="shared" si="12"/>
        <v>0.22244492148971745</v>
      </c>
      <c r="K83" s="540">
        <f t="shared" si="12"/>
        <v>0.06</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 ref="A46:B46"/>
    <mergeCell ref="A76:B76"/>
    <mergeCell ref="A77:B77"/>
  </mergeCells>
  <phoneticPr fontId="14" type="noConversion"/>
  <printOptions headings="1"/>
  <pageMargins left="0.21" right="0" top="0.8" bottom="0.48" header="0.19" footer="0.19"/>
  <pageSetup scale="73" firstPageNumber="7" orientation="landscape" useFirstPageNumber="1" r:id="rId1"/>
  <headerFooter alignWithMargins="0">
    <oddHeader xml:space="preserve">&amp;C&amp;"Arial,Bold"&amp;9BASIC FINANCIAL STATEMENT
STATEMENT OF REVENUES RECEIVED/REVENUES, EXPENDITURES/DISBURSED/EXPENDITURES, OTHER 
SOURCES (USES) AND CHANGES IN FUND BALANCE
ALL FUNDS - FOR THE YEAR ENDING JUNE 30, 2018
 </oddHeader>
    <oddFooter>&amp;CThe notes to the financial statements are an integral part of this statement.
9</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2" t="s">
        <v>1905</v>
      </c>
      <c r="B1" s="452"/>
      <c r="C1" s="453" t="s">
        <v>445</v>
      </c>
      <c r="D1" s="453" t="s">
        <v>446</v>
      </c>
      <c r="E1" s="453" t="s">
        <v>447</v>
      </c>
      <c r="F1" s="453" t="s">
        <v>448</v>
      </c>
      <c r="G1" s="453" t="s">
        <v>449</v>
      </c>
      <c r="H1" s="453" t="s">
        <v>450</v>
      </c>
      <c r="I1" s="453" t="s">
        <v>451</v>
      </c>
      <c r="J1" s="453" t="s">
        <v>452</v>
      </c>
      <c r="K1" s="453" t="s">
        <v>780</v>
      </c>
    </row>
    <row r="2" spans="1:12" ht="36" x14ac:dyDescent="0.2">
      <c r="A2" s="213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1651098</v>
      </c>
      <c r="D5" s="481">
        <v>247665</v>
      </c>
      <c r="E5" s="466"/>
      <c r="F5" s="548">
        <v>132088</v>
      </c>
      <c r="G5" s="466">
        <v>187368</v>
      </c>
      <c r="H5" s="466"/>
      <c r="I5" s="466">
        <v>33022</v>
      </c>
      <c r="J5" s="467">
        <v>360711</v>
      </c>
      <c r="K5" s="466">
        <v>33022</v>
      </c>
    </row>
    <row r="6" spans="1:12" ht="15" x14ac:dyDescent="0.2">
      <c r="A6" s="463" t="s">
        <v>1761</v>
      </c>
      <c r="B6" s="470">
        <v>1130</v>
      </c>
      <c r="C6" s="466">
        <v>33168</v>
      </c>
      <c r="D6" s="466"/>
      <c r="E6" s="475"/>
      <c r="F6" s="475"/>
      <c r="G6" s="468"/>
      <c r="H6" s="468"/>
      <c r="I6" s="468"/>
      <c r="J6" s="468"/>
      <c r="K6" s="468"/>
    </row>
    <row r="7" spans="1:12" x14ac:dyDescent="0.2">
      <c r="A7" s="463" t="s">
        <v>112</v>
      </c>
      <c r="B7" s="549">
        <v>1140</v>
      </c>
      <c r="C7" s="466">
        <v>26535</v>
      </c>
      <c r="D7" s="466"/>
      <c r="E7" s="468"/>
      <c r="F7" s="467"/>
      <c r="G7" s="467"/>
      <c r="H7" s="467"/>
      <c r="I7" s="468"/>
      <c r="J7" s="468"/>
      <c r="K7" s="468"/>
    </row>
    <row r="8" spans="1:12" x14ac:dyDescent="0.2">
      <c r="A8" s="463" t="s">
        <v>433</v>
      </c>
      <c r="B8" s="470">
        <v>1150</v>
      </c>
      <c r="C8" s="475"/>
      <c r="D8" s="475"/>
      <c r="E8" s="477"/>
      <c r="F8" s="477"/>
      <c r="G8" s="481">
        <v>152973</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1710801</v>
      </c>
      <c r="D12" s="1729">
        <f t="shared" si="0"/>
        <v>247665</v>
      </c>
      <c r="E12" s="1729">
        <f t="shared" si="0"/>
        <v>0</v>
      </c>
      <c r="F12" s="1729">
        <f t="shared" si="0"/>
        <v>132088</v>
      </c>
      <c r="G12" s="1729">
        <f t="shared" si="0"/>
        <v>340341</v>
      </c>
      <c r="H12" s="1729">
        <f t="shared" si="0"/>
        <v>0</v>
      </c>
      <c r="I12" s="1729">
        <f t="shared" si="0"/>
        <v>33022</v>
      </c>
      <c r="J12" s="1729">
        <f t="shared" si="0"/>
        <v>360711</v>
      </c>
      <c r="K12" s="1710">
        <f t="shared" si="0"/>
        <v>33022</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7308</v>
      </c>
      <c r="D14" s="466">
        <v>1096</v>
      </c>
      <c r="E14" s="466"/>
      <c r="F14" s="466">
        <v>585</v>
      </c>
      <c r="G14" s="466">
        <v>830</v>
      </c>
      <c r="H14" s="466">
        <v>1380</v>
      </c>
      <c r="I14" s="466">
        <v>146</v>
      </c>
      <c r="J14" s="467">
        <v>1597</v>
      </c>
      <c r="K14" s="466">
        <v>146</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57056</v>
      </c>
      <c r="D16" s="466"/>
      <c r="E16" s="466">
        <v>67278</v>
      </c>
      <c r="F16" s="466">
        <v>174061</v>
      </c>
      <c r="G16" s="466">
        <v>52000</v>
      </c>
      <c r="H16" s="466"/>
      <c r="I16" s="466"/>
      <c r="J16" s="467"/>
      <c r="K16" s="466"/>
    </row>
    <row r="17" spans="1:11" ht="12.75" customHeight="1" x14ac:dyDescent="0.2">
      <c r="A17" s="463" t="s">
        <v>840</v>
      </c>
      <c r="B17" s="470">
        <v>1290</v>
      </c>
      <c r="C17" s="551">
        <v>910</v>
      </c>
      <c r="D17" s="466"/>
      <c r="E17" s="466"/>
      <c r="F17" s="466"/>
      <c r="G17" s="466"/>
      <c r="H17" s="466"/>
      <c r="I17" s="466"/>
      <c r="J17" s="467"/>
      <c r="K17" s="466"/>
    </row>
    <row r="18" spans="1:11" ht="12.75" customHeight="1" thickBot="1" x14ac:dyDescent="0.25">
      <c r="A18" s="1730" t="s">
        <v>558</v>
      </c>
      <c r="B18" s="1731"/>
      <c r="C18" s="1732">
        <f>SUM(C14:C17)</f>
        <v>65274</v>
      </c>
      <c r="D18" s="1732">
        <f t="shared" ref="D18:K18" si="1">SUM(D14:D17)</f>
        <v>1096</v>
      </c>
      <c r="E18" s="1732">
        <f t="shared" si="1"/>
        <v>67278</v>
      </c>
      <c r="F18" s="1732">
        <f t="shared" si="1"/>
        <v>174646</v>
      </c>
      <c r="G18" s="1732">
        <f t="shared" si="1"/>
        <v>52830</v>
      </c>
      <c r="H18" s="1732">
        <f t="shared" si="1"/>
        <v>1380</v>
      </c>
      <c r="I18" s="1732">
        <f t="shared" si="1"/>
        <v>146</v>
      </c>
      <c r="J18" s="1732">
        <f t="shared" si="1"/>
        <v>1597</v>
      </c>
      <c r="K18" s="1733">
        <f t="shared" si="1"/>
        <v>146</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19505</v>
      </c>
      <c r="D65" s="466">
        <v>2065</v>
      </c>
      <c r="E65" s="466"/>
      <c r="F65" s="467">
        <v>989</v>
      </c>
      <c r="G65" s="466">
        <v>2230</v>
      </c>
      <c r="H65" s="466"/>
      <c r="I65" s="466"/>
      <c r="J65" s="467">
        <v>2115</v>
      </c>
      <c r="K65" s="466">
        <v>1082</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19505</v>
      </c>
      <c r="D67" s="1710">
        <f t="shared" ref="D67:K67" si="2">SUM(D65:D66)</f>
        <v>2065</v>
      </c>
      <c r="E67" s="1710">
        <f t="shared" si="2"/>
        <v>0</v>
      </c>
      <c r="F67" s="1710">
        <f t="shared" si="2"/>
        <v>989</v>
      </c>
      <c r="G67" s="1710">
        <f t="shared" si="2"/>
        <v>2230</v>
      </c>
      <c r="H67" s="1710">
        <f t="shared" si="2"/>
        <v>0</v>
      </c>
      <c r="I67" s="1710">
        <f t="shared" si="2"/>
        <v>0</v>
      </c>
      <c r="J67" s="1710">
        <f t="shared" si="2"/>
        <v>2115</v>
      </c>
      <c r="K67" s="1710">
        <f t="shared" si="2"/>
        <v>1082</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28201</v>
      </c>
      <c r="D69" s="468"/>
      <c r="E69" s="468"/>
      <c r="F69" s="468"/>
      <c r="G69" s="468"/>
      <c r="H69" s="468"/>
      <c r="I69" s="468"/>
      <c r="J69" s="468"/>
      <c r="K69" s="468"/>
    </row>
    <row r="70" spans="1:11" ht="12.75" customHeight="1" x14ac:dyDescent="0.2">
      <c r="A70" s="463" t="s">
        <v>1054</v>
      </c>
      <c r="B70" s="470">
        <v>1612</v>
      </c>
      <c r="C70" s="551">
        <v>7738</v>
      </c>
      <c r="D70" s="468"/>
      <c r="E70" s="468"/>
      <c r="F70" s="468"/>
      <c r="G70" s="468"/>
      <c r="H70" s="468"/>
      <c r="I70" s="468"/>
      <c r="J70" s="468"/>
      <c r="K70" s="468"/>
    </row>
    <row r="71" spans="1:11" ht="12.75" customHeight="1" x14ac:dyDescent="0.2">
      <c r="A71" s="463" t="s">
        <v>291</v>
      </c>
      <c r="B71" s="470">
        <v>1613</v>
      </c>
      <c r="C71" s="551">
        <v>4545</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5084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45568</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19431</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4975</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24406</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6603</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6603</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19363</v>
      </c>
      <c r="D96" s="551"/>
      <c r="E96" s="479"/>
      <c r="F96" s="478"/>
      <c r="G96" s="478"/>
      <c r="H96" s="478">
        <v>18923</v>
      </c>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1350</v>
      </c>
      <c r="D99" s="466"/>
      <c r="E99" s="466"/>
      <c r="F99" s="466"/>
      <c r="G99" s="466"/>
      <c r="H99" s="466"/>
      <c r="I99" s="468"/>
      <c r="J99" s="467">
        <v>5513</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1200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3186</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41203</v>
      </c>
      <c r="D107" s="466">
        <v>2845</v>
      </c>
      <c r="E107" s="466"/>
      <c r="F107" s="466"/>
      <c r="G107" s="466"/>
      <c r="H107" s="466"/>
      <c r="I107" s="466"/>
      <c r="J107" s="467"/>
      <c r="K107" s="466"/>
    </row>
    <row r="108" spans="1:12" ht="12.75" customHeight="1" thickBot="1" x14ac:dyDescent="0.25">
      <c r="A108" s="1730" t="s">
        <v>508</v>
      </c>
      <c r="B108" s="1734"/>
      <c r="C108" s="1729">
        <f>SUM(C95:C107)</f>
        <v>63116</v>
      </c>
      <c r="D108" s="1729">
        <f t="shared" ref="D108:K108" si="3">SUM(D95:D107)</f>
        <v>2845</v>
      </c>
      <c r="E108" s="1729">
        <f t="shared" si="3"/>
        <v>0</v>
      </c>
      <c r="F108" s="1729">
        <f t="shared" si="3"/>
        <v>0</v>
      </c>
      <c r="G108" s="1729">
        <f t="shared" si="3"/>
        <v>0</v>
      </c>
      <c r="H108" s="1729">
        <f t="shared" si="3"/>
        <v>22109</v>
      </c>
      <c r="I108" s="1729">
        <f t="shared" si="3"/>
        <v>0</v>
      </c>
      <c r="J108" s="1729">
        <f t="shared" si="3"/>
        <v>5513</v>
      </c>
      <c r="K108" s="1710">
        <f t="shared" si="3"/>
        <v>0</v>
      </c>
    </row>
    <row r="109" spans="1:12" ht="14.25" thickTop="1" thickBot="1" x14ac:dyDescent="0.25">
      <c r="A109" s="1735" t="s">
        <v>266</v>
      </c>
      <c r="B109" s="1736" t="s">
        <v>591</v>
      </c>
      <c r="C109" s="1737">
        <f t="shared" ref="C109:K109" si="4">SUM(C12,C18,C40,C63,C67,C75,C82,C93,C108,)</f>
        <v>1935273</v>
      </c>
      <c r="D109" s="1737">
        <f t="shared" si="4"/>
        <v>253671</v>
      </c>
      <c r="E109" s="1737">
        <f t="shared" si="4"/>
        <v>67278</v>
      </c>
      <c r="F109" s="1737">
        <f t="shared" si="4"/>
        <v>307723</v>
      </c>
      <c r="G109" s="1737">
        <f t="shared" si="4"/>
        <v>395401</v>
      </c>
      <c r="H109" s="1737">
        <f t="shared" si="4"/>
        <v>23489</v>
      </c>
      <c r="I109" s="1737">
        <f t="shared" si="4"/>
        <v>33168</v>
      </c>
      <c r="J109" s="1737">
        <f t="shared" si="4"/>
        <v>369936</v>
      </c>
      <c r="K109" s="1724">
        <f t="shared" si="4"/>
        <v>34250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3185046</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3185046</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54369</v>
      </c>
      <c r="D125" s="561"/>
      <c r="E125" s="468"/>
      <c r="F125" s="466"/>
      <c r="G125" s="468"/>
      <c r="H125" s="468"/>
      <c r="I125" s="468"/>
      <c r="J125" s="468"/>
      <c r="K125" s="468"/>
    </row>
    <row r="126" spans="1:11" ht="12.75" customHeight="1" x14ac:dyDescent="0.2">
      <c r="A126" s="463" t="s">
        <v>922</v>
      </c>
      <c r="B126" s="562">
        <v>3110</v>
      </c>
      <c r="C126" s="551">
        <v>60955</v>
      </c>
      <c r="D126" s="466"/>
      <c r="E126" s="468"/>
      <c r="F126" s="466"/>
      <c r="G126" s="468"/>
      <c r="H126" s="468"/>
      <c r="I126" s="468"/>
      <c r="J126" s="468"/>
      <c r="K126" s="468"/>
    </row>
    <row r="127" spans="1:11" ht="12.75" customHeight="1" x14ac:dyDescent="0.2">
      <c r="A127" s="463" t="s">
        <v>107</v>
      </c>
      <c r="B127" s="562">
        <v>3120</v>
      </c>
      <c r="C127" s="466">
        <v>15775</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131099</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16780</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16847</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33627</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4503</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10534</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293439</v>
      </c>
      <c r="G151" s="467"/>
      <c r="H151" s="468"/>
      <c r="I151" s="468"/>
      <c r="J151" s="468"/>
      <c r="K151" s="468"/>
    </row>
    <row r="152" spans="1:11" ht="12.75" customHeight="1" x14ac:dyDescent="0.2">
      <c r="A152" s="463" t="s">
        <v>1117</v>
      </c>
      <c r="B152" s="562">
        <v>3510</v>
      </c>
      <c r="C152" s="551"/>
      <c r="D152" s="466"/>
      <c r="E152" s="561"/>
      <c r="F152" s="466">
        <v>57767</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351206</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v>37230</v>
      </c>
      <c r="D157" s="468"/>
      <c r="E157" s="561"/>
      <c r="F157" s="576"/>
      <c r="G157" s="576"/>
      <c r="H157" s="468"/>
      <c r="I157" s="468"/>
      <c r="J157" s="468"/>
      <c r="K157" s="468"/>
    </row>
    <row r="158" spans="1:11" ht="12.75" customHeight="1" thickTop="1" thickBot="1" x14ac:dyDescent="0.25">
      <c r="A158" s="1522" t="s">
        <v>1111</v>
      </c>
      <c r="B158" s="574">
        <v>3705</v>
      </c>
      <c r="C158" s="576">
        <v>273952</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56478</v>
      </c>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547423</v>
      </c>
      <c r="D172" s="1744">
        <f t="shared" si="6"/>
        <v>0</v>
      </c>
      <c r="E172" s="1744">
        <f t="shared" si="6"/>
        <v>0</v>
      </c>
      <c r="F172" s="1744">
        <f t="shared" si="6"/>
        <v>351206</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3732469</v>
      </c>
      <c r="D173" s="1737">
        <f>SUM(D121,D172)</f>
        <v>0</v>
      </c>
      <c r="E173" s="1737">
        <f>SUM(E121,E172)</f>
        <v>0</v>
      </c>
      <c r="F173" s="1737">
        <f t="shared" ref="F173:K173" si="7">SUM(F121,F172)</f>
        <v>351206</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13052</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13052</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184990</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74846</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v>7161</v>
      </c>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266997</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178410</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178410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15050</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15050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29989</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12585</v>
      </c>
      <c r="D270" s="576"/>
      <c r="E270" s="468"/>
      <c r="F270" s="576"/>
      <c r="G270" s="576"/>
      <c r="H270" s="468"/>
      <c r="I270" s="468"/>
      <c r="J270" s="468"/>
      <c r="K270" s="468"/>
    </row>
    <row r="271" spans="1:11" ht="12.75" customHeight="1" thickTop="1" thickBot="1" x14ac:dyDescent="0.25">
      <c r="A271" s="463" t="s">
        <v>395</v>
      </c>
      <c r="B271" s="470">
        <v>4992</v>
      </c>
      <c r="C271" s="575">
        <v>146963</v>
      </c>
      <c r="D271" s="576"/>
      <c r="E271" s="468"/>
      <c r="F271" s="576"/>
      <c r="G271" s="576"/>
      <c r="H271" s="468"/>
      <c r="I271" s="468"/>
      <c r="J271" s="468"/>
      <c r="K271" s="468"/>
    </row>
    <row r="272" spans="1:11" s="594" customFormat="1" ht="12.75" customHeight="1" thickTop="1" thickBot="1" x14ac:dyDescent="0.25">
      <c r="A272" s="563" t="s">
        <v>77</v>
      </c>
      <c r="B272" s="557">
        <v>4999</v>
      </c>
      <c r="C272" s="575">
        <v>3401</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666447</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666447</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6334189</v>
      </c>
      <c r="D275" s="1737">
        <f t="shared" si="12"/>
        <v>253671</v>
      </c>
      <c r="E275" s="1737">
        <f t="shared" si="12"/>
        <v>67278</v>
      </c>
      <c r="F275" s="1737">
        <f t="shared" si="12"/>
        <v>658929</v>
      </c>
      <c r="G275" s="1737">
        <f t="shared" si="12"/>
        <v>395401</v>
      </c>
      <c r="H275" s="1737">
        <f t="shared" si="12"/>
        <v>23489</v>
      </c>
      <c r="I275" s="1737">
        <f t="shared" si="12"/>
        <v>33168</v>
      </c>
      <c r="J275" s="1737">
        <f t="shared" si="12"/>
        <v>369936</v>
      </c>
      <c r="K275" s="1724">
        <f t="shared" si="12"/>
        <v>34250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10" orientation="landscape" useFirstPageNumber="1" r:id="rId1"/>
  <headerFooter alignWithMargins="0">
    <oddHeader>&amp;C&amp;"Arial,Bold"&amp;9STATEMENT OF REVENUES RECEIVED/REVENUES
FOR THE YEAR ENDING JUNE 30, 2018</oddHeader>
    <oddFooter>&amp;CThe notes to the financial statements are an integral part of this statement.
&amp;P</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39" activePane="bottomLeft" state="frozen"/>
      <selection activeCell="A47" sqref="A47"/>
      <selection pane="bottomLeft" activeCell="D201" sqref="D20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1672922</v>
      </c>
      <c r="D5" s="466">
        <v>451771</v>
      </c>
      <c r="E5" s="466">
        <v>15766</v>
      </c>
      <c r="F5" s="466">
        <v>102734</v>
      </c>
      <c r="G5" s="466">
        <v>4690</v>
      </c>
      <c r="H5" s="466">
        <v>6946</v>
      </c>
      <c r="I5" s="467"/>
      <c r="J5" s="467"/>
      <c r="K5" s="1693">
        <f>SUM(C5:J5)</f>
        <v>2254829</v>
      </c>
      <c r="L5" s="466">
        <v>2258434</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119373</v>
      </c>
      <c r="D7" s="467">
        <v>34682</v>
      </c>
      <c r="E7" s="467"/>
      <c r="F7" s="467">
        <v>74093</v>
      </c>
      <c r="G7" s="467">
        <v>31705</v>
      </c>
      <c r="H7" s="467"/>
      <c r="I7" s="467"/>
      <c r="J7" s="467"/>
      <c r="K7" s="1693">
        <f t="shared" ref="K7:K32" si="0">SUM(C7:J7)</f>
        <v>259853</v>
      </c>
      <c r="L7" s="466">
        <v>386577</v>
      </c>
    </row>
    <row r="8" spans="1:14" x14ac:dyDescent="0.2">
      <c r="A8" s="1526" t="s">
        <v>166</v>
      </c>
      <c r="B8" s="615">
        <v>1200</v>
      </c>
      <c r="C8" s="466">
        <v>725763</v>
      </c>
      <c r="D8" s="466">
        <v>189501</v>
      </c>
      <c r="E8" s="466">
        <v>958</v>
      </c>
      <c r="F8" s="466">
        <v>3731</v>
      </c>
      <c r="G8" s="466"/>
      <c r="H8" s="466">
        <v>62232</v>
      </c>
      <c r="I8" s="467"/>
      <c r="J8" s="467"/>
      <c r="K8" s="1693">
        <f t="shared" si="0"/>
        <v>982185</v>
      </c>
      <c r="L8" s="466">
        <v>956726</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66365</v>
      </c>
      <c r="D10" s="466">
        <v>18845</v>
      </c>
      <c r="E10" s="466"/>
      <c r="F10" s="466">
        <v>66664</v>
      </c>
      <c r="G10" s="466">
        <v>6032</v>
      </c>
      <c r="H10" s="466"/>
      <c r="I10" s="467"/>
      <c r="J10" s="467"/>
      <c r="K10" s="1693">
        <f t="shared" si="0"/>
        <v>157906</v>
      </c>
      <c r="L10" s="466">
        <v>147593</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157775</v>
      </c>
      <c r="D13" s="466">
        <v>59558</v>
      </c>
      <c r="E13" s="466">
        <v>3360</v>
      </c>
      <c r="F13" s="466">
        <v>24732</v>
      </c>
      <c r="G13" s="466"/>
      <c r="H13" s="466"/>
      <c r="I13" s="467"/>
      <c r="J13" s="467"/>
      <c r="K13" s="1693">
        <f t="shared" si="0"/>
        <v>245425</v>
      </c>
      <c r="L13" s="466">
        <v>237175</v>
      </c>
    </row>
    <row r="14" spans="1:14" x14ac:dyDescent="0.2">
      <c r="A14" s="1526" t="s">
        <v>1020</v>
      </c>
      <c r="B14" s="615">
        <v>1500</v>
      </c>
      <c r="C14" s="466">
        <v>63245</v>
      </c>
      <c r="D14" s="466">
        <v>6098</v>
      </c>
      <c r="E14" s="466">
        <v>17932</v>
      </c>
      <c r="F14" s="466">
        <v>1205</v>
      </c>
      <c r="G14" s="466"/>
      <c r="H14" s="466">
        <v>2141</v>
      </c>
      <c r="I14" s="467"/>
      <c r="J14" s="467"/>
      <c r="K14" s="1693">
        <f t="shared" si="0"/>
        <v>90621</v>
      </c>
      <c r="L14" s="466">
        <v>91181</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25131</v>
      </c>
      <c r="D17" s="467">
        <v>1503</v>
      </c>
      <c r="E17" s="467"/>
      <c r="F17" s="467"/>
      <c r="G17" s="467"/>
      <c r="H17" s="467"/>
      <c r="I17" s="467"/>
      <c r="J17" s="467"/>
      <c r="K17" s="1693">
        <f t="shared" si="0"/>
        <v>26634</v>
      </c>
      <c r="L17" s="466">
        <v>26611</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2830574</v>
      </c>
      <c r="D33" s="1692">
        <f t="shared" ref="D33:L33" si="1">SUM(D5:D32)</f>
        <v>761958</v>
      </c>
      <c r="E33" s="1692">
        <f t="shared" si="1"/>
        <v>38016</v>
      </c>
      <c r="F33" s="1692">
        <f t="shared" si="1"/>
        <v>273159</v>
      </c>
      <c r="G33" s="1692">
        <f t="shared" si="1"/>
        <v>42427</v>
      </c>
      <c r="H33" s="1692">
        <f t="shared" si="1"/>
        <v>71319</v>
      </c>
      <c r="I33" s="1692">
        <f t="shared" si="1"/>
        <v>0</v>
      </c>
      <c r="J33" s="1692">
        <f t="shared" si="1"/>
        <v>0</v>
      </c>
      <c r="K33" s="1692">
        <f t="shared" si="1"/>
        <v>4017453</v>
      </c>
      <c r="L33" s="1692">
        <f t="shared" si="1"/>
        <v>4104297</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55766</v>
      </c>
      <c r="D36" s="481">
        <v>15509</v>
      </c>
      <c r="E36" s="481">
        <v>3695</v>
      </c>
      <c r="F36" s="481"/>
      <c r="G36" s="481"/>
      <c r="H36" s="481"/>
      <c r="I36" s="467"/>
      <c r="J36" s="467"/>
      <c r="K36" s="1693">
        <f t="shared" ref="K36:K41" si="2">SUM(C36:J36)</f>
        <v>74970</v>
      </c>
      <c r="L36" s="466">
        <v>76281</v>
      </c>
    </row>
    <row r="37" spans="1:14" x14ac:dyDescent="0.2">
      <c r="A37" s="1526" t="s">
        <v>1151</v>
      </c>
      <c r="B37" s="615">
        <v>2120</v>
      </c>
      <c r="C37" s="466">
        <v>51182</v>
      </c>
      <c r="D37" s="466">
        <v>12980</v>
      </c>
      <c r="E37" s="466"/>
      <c r="F37" s="466"/>
      <c r="G37" s="466"/>
      <c r="H37" s="466"/>
      <c r="I37" s="467"/>
      <c r="J37" s="467"/>
      <c r="K37" s="1693">
        <f t="shared" si="2"/>
        <v>64162</v>
      </c>
      <c r="L37" s="466">
        <v>61738</v>
      </c>
    </row>
    <row r="38" spans="1:14" x14ac:dyDescent="0.2">
      <c r="A38" s="1526" t="s">
        <v>207</v>
      </c>
      <c r="B38" s="615">
        <v>2130</v>
      </c>
      <c r="C38" s="466">
        <v>64622</v>
      </c>
      <c r="D38" s="466">
        <v>12642</v>
      </c>
      <c r="E38" s="466">
        <v>63</v>
      </c>
      <c r="F38" s="466">
        <v>4003</v>
      </c>
      <c r="G38" s="466"/>
      <c r="H38" s="466"/>
      <c r="I38" s="467"/>
      <c r="J38" s="467"/>
      <c r="K38" s="1693">
        <f t="shared" si="2"/>
        <v>81330</v>
      </c>
      <c r="L38" s="466">
        <v>81612</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v>4632</v>
      </c>
      <c r="D41" s="466">
        <v>656</v>
      </c>
      <c r="E41" s="466">
        <v>510</v>
      </c>
      <c r="F41" s="466"/>
      <c r="G41" s="466"/>
      <c r="H41" s="466"/>
      <c r="I41" s="467"/>
      <c r="J41" s="467"/>
      <c r="K41" s="1693">
        <f t="shared" si="2"/>
        <v>5798</v>
      </c>
      <c r="L41" s="466">
        <v>6096</v>
      </c>
    </row>
    <row r="42" spans="1:14" ht="12.75" customHeight="1" thickBot="1" x14ac:dyDescent="0.25">
      <c r="A42" s="1690" t="s">
        <v>581</v>
      </c>
      <c r="B42" s="1691" t="s">
        <v>740</v>
      </c>
      <c r="C42" s="1692">
        <f>SUM(C36:C41)</f>
        <v>176202</v>
      </c>
      <c r="D42" s="1692">
        <f t="shared" ref="D42:L42" si="3">SUM(D36:D41)</f>
        <v>41787</v>
      </c>
      <c r="E42" s="1692">
        <f t="shared" si="3"/>
        <v>4268</v>
      </c>
      <c r="F42" s="1692">
        <f t="shared" si="3"/>
        <v>4003</v>
      </c>
      <c r="G42" s="1692">
        <f t="shared" si="3"/>
        <v>0</v>
      </c>
      <c r="H42" s="1692">
        <f t="shared" si="3"/>
        <v>0</v>
      </c>
      <c r="I42" s="1692">
        <f t="shared" si="3"/>
        <v>0</v>
      </c>
      <c r="J42" s="1692">
        <f t="shared" si="3"/>
        <v>0</v>
      </c>
      <c r="K42" s="1692">
        <f t="shared" si="3"/>
        <v>226260</v>
      </c>
      <c r="L42" s="1692">
        <f t="shared" si="3"/>
        <v>225727</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650</v>
      </c>
      <c r="D44" s="481">
        <v>853</v>
      </c>
      <c r="E44" s="481">
        <v>9742</v>
      </c>
      <c r="F44" s="481"/>
      <c r="G44" s="481"/>
      <c r="H44" s="481"/>
      <c r="I44" s="467"/>
      <c r="J44" s="467"/>
      <c r="K44" s="1694">
        <f>SUM(C44:J44)</f>
        <v>11245</v>
      </c>
      <c r="L44" s="481">
        <v>8833</v>
      </c>
    </row>
    <row r="45" spans="1:14" x14ac:dyDescent="0.2">
      <c r="A45" s="1526" t="s">
        <v>869</v>
      </c>
      <c r="B45" s="615">
        <v>2220</v>
      </c>
      <c r="C45" s="466">
        <v>35520</v>
      </c>
      <c r="D45" s="466">
        <v>5022</v>
      </c>
      <c r="E45" s="466">
        <v>3139</v>
      </c>
      <c r="F45" s="466">
        <v>18052</v>
      </c>
      <c r="G45" s="466">
        <v>1068</v>
      </c>
      <c r="H45" s="466"/>
      <c r="I45" s="467"/>
      <c r="J45" s="467"/>
      <c r="K45" s="1694">
        <f>SUM(C45:J45)</f>
        <v>62801</v>
      </c>
      <c r="L45" s="466">
        <v>63936</v>
      </c>
    </row>
    <row r="46" spans="1:14" x14ac:dyDescent="0.2">
      <c r="A46" s="1526" t="s">
        <v>870</v>
      </c>
      <c r="B46" s="615">
        <v>2230</v>
      </c>
      <c r="C46" s="466"/>
      <c r="D46" s="466"/>
      <c r="E46" s="466">
        <v>9430</v>
      </c>
      <c r="F46" s="466"/>
      <c r="G46" s="466"/>
      <c r="H46" s="466"/>
      <c r="I46" s="467"/>
      <c r="J46" s="467"/>
      <c r="K46" s="1694">
        <f>SUM(C46:J46)</f>
        <v>9430</v>
      </c>
      <c r="L46" s="466">
        <v>9727</v>
      </c>
    </row>
    <row r="47" spans="1:14" ht="12.75" customHeight="1" thickBot="1" x14ac:dyDescent="0.25">
      <c r="A47" s="1690" t="s">
        <v>582</v>
      </c>
      <c r="B47" s="1691" t="s">
        <v>32</v>
      </c>
      <c r="C47" s="1692">
        <f>SUM(C44:C46)</f>
        <v>36170</v>
      </c>
      <c r="D47" s="1692">
        <f t="shared" ref="D47:K47" si="4">SUM(D44:D46)</f>
        <v>5875</v>
      </c>
      <c r="E47" s="1692">
        <f t="shared" si="4"/>
        <v>22311</v>
      </c>
      <c r="F47" s="1692">
        <f t="shared" si="4"/>
        <v>18052</v>
      </c>
      <c r="G47" s="1692">
        <f t="shared" si="4"/>
        <v>1068</v>
      </c>
      <c r="H47" s="1692">
        <f t="shared" si="4"/>
        <v>0</v>
      </c>
      <c r="I47" s="1692">
        <f t="shared" si="4"/>
        <v>0</v>
      </c>
      <c r="J47" s="1692">
        <f t="shared" si="4"/>
        <v>0</v>
      </c>
      <c r="K47" s="1692">
        <f t="shared" si="4"/>
        <v>83476</v>
      </c>
      <c r="L47" s="1692">
        <f>SUM(L44:L46)</f>
        <v>82496</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11163</v>
      </c>
      <c r="F49" s="481">
        <v>408</v>
      </c>
      <c r="G49" s="481"/>
      <c r="H49" s="481">
        <v>9386</v>
      </c>
      <c r="I49" s="467"/>
      <c r="J49" s="467"/>
      <c r="K49" s="1694">
        <f>SUM(C49:J49)</f>
        <v>20957</v>
      </c>
      <c r="L49" s="481">
        <v>15896</v>
      </c>
    </row>
    <row r="50" spans="1:14" x14ac:dyDescent="0.2">
      <c r="A50" s="1526" t="s">
        <v>872</v>
      </c>
      <c r="B50" s="615">
        <v>2320</v>
      </c>
      <c r="C50" s="466">
        <v>115509</v>
      </c>
      <c r="D50" s="466">
        <v>33435</v>
      </c>
      <c r="E50" s="466">
        <v>2625</v>
      </c>
      <c r="F50" s="466">
        <v>3923</v>
      </c>
      <c r="G50" s="466"/>
      <c r="H50" s="466">
        <v>3603</v>
      </c>
      <c r="I50" s="467"/>
      <c r="J50" s="467"/>
      <c r="K50" s="1694">
        <f>SUM(C50:J50)</f>
        <v>159095</v>
      </c>
      <c r="L50" s="466">
        <v>144325</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v>893</v>
      </c>
    </row>
    <row r="53" spans="1:14" ht="12.75" customHeight="1" thickBot="1" x14ac:dyDescent="0.25">
      <c r="A53" s="1690" t="s">
        <v>741</v>
      </c>
      <c r="B53" s="1691" t="s">
        <v>33</v>
      </c>
      <c r="C53" s="1692">
        <f>SUM(C49:C52)</f>
        <v>115509</v>
      </c>
      <c r="D53" s="1692">
        <f t="shared" ref="D53:L53" si="5">SUM(D49:D52)</f>
        <v>33435</v>
      </c>
      <c r="E53" s="1692">
        <f t="shared" si="5"/>
        <v>13788</v>
      </c>
      <c r="F53" s="1692">
        <f t="shared" si="5"/>
        <v>4331</v>
      </c>
      <c r="G53" s="1692">
        <f t="shared" si="5"/>
        <v>0</v>
      </c>
      <c r="H53" s="1692">
        <f t="shared" si="5"/>
        <v>12989</v>
      </c>
      <c r="I53" s="1692">
        <f t="shared" si="5"/>
        <v>0</v>
      </c>
      <c r="J53" s="1692">
        <f t="shared" si="5"/>
        <v>0</v>
      </c>
      <c r="K53" s="1692">
        <f t="shared" si="5"/>
        <v>180052</v>
      </c>
      <c r="L53" s="1692">
        <f t="shared" si="5"/>
        <v>161114</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233670</v>
      </c>
      <c r="D55" s="481">
        <v>65790</v>
      </c>
      <c r="E55" s="481">
        <v>5891</v>
      </c>
      <c r="F55" s="481">
        <v>6198</v>
      </c>
      <c r="G55" s="481"/>
      <c r="H55" s="481">
        <v>490</v>
      </c>
      <c r="I55" s="467"/>
      <c r="J55" s="467"/>
      <c r="K55" s="1694">
        <f>SUM(C55:J55)</f>
        <v>312039</v>
      </c>
      <c r="L55" s="481">
        <v>310614</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233670</v>
      </c>
      <c r="D57" s="1696">
        <f t="shared" ref="D57:K57" si="6">SUM(D55:D56)</f>
        <v>65790</v>
      </c>
      <c r="E57" s="1696">
        <f t="shared" si="6"/>
        <v>5891</v>
      </c>
      <c r="F57" s="1696">
        <f t="shared" si="6"/>
        <v>6198</v>
      </c>
      <c r="G57" s="1696">
        <f t="shared" si="6"/>
        <v>0</v>
      </c>
      <c r="H57" s="1696">
        <f t="shared" si="6"/>
        <v>490</v>
      </c>
      <c r="I57" s="1696">
        <f t="shared" si="6"/>
        <v>0</v>
      </c>
      <c r="J57" s="1696">
        <f t="shared" si="6"/>
        <v>0</v>
      </c>
      <c r="K57" s="1696">
        <f t="shared" si="6"/>
        <v>312039</v>
      </c>
      <c r="L57" s="1692">
        <f>SUM(L55:L56)</f>
        <v>310614</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74073</v>
      </c>
      <c r="D60" s="466">
        <v>26901</v>
      </c>
      <c r="E60" s="466">
        <v>11939</v>
      </c>
      <c r="F60" s="466">
        <v>742</v>
      </c>
      <c r="G60" s="466"/>
      <c r="H60" s="466"/>
      <c r="I60" s="467"/>
      <c r="J60" s="467"/>
      <c r="K60" s="1694">
        <f t="shared" si="7"/>
        <v>113655</v>
      </c>
      <c r="L60" s="466">
        <v>116669</v>
      </c>
      <c r="M60" s="610"/>
      <c r="N60" s="610"/>
    </row>
    <row r="61" spans="1:14" s="343" customFormat="1" x14ac:dyDescent="0.2">
      <c r="A61" s="1526" t="s">
        <v>206</v>
      </c>
      <c r="B61" s="615">
        <v>2540</v>
      </c>
      <c r="C61" s="466">
        <v>175030</v>
      </c>
      <c r="D61" s="466">
        <v>25137</v>
      </c>
      <c r="E61" s="466">
        <v>9264</v>
      </c>
      <c r="F61" s="466">
        <v>2080</v>
      </c>
      <c r="G61" s="466">
        <v>93988</v>
      </c>
      <c r="H61" s="466"/>
      <c r="I61" s="467"/>
      <c r="J61" s="467"/>
      <c r="K61" s="1694">
        <f t="shared" si="7"/>
        <v>305499</v>
      </c>
      <c r="L61" s="466">
        <v>225155</v>
      </c>
      <c r="M61" s="610"/>
      <c r="N61" s="610"/>
    </row>
    <row r="62" spans="1:14" s="343" customFormat="1" x14ac:dyDescent="0.2">
      <c r="A62" s="1526" t="s">
        <v>1010</v>
      </c>
      <c r="B62" s="615">
        <v>2550</v>
      </c>
      <c r="C62" s="466"/>
      <c r="D62" s="466"/>
      <c r="E62" s="466">
        <v>874</v>
      </c>
      <c r="F62" s="466"/>
      <c r="G62" s="466"/>
      <c r="H62" s="466"/>
      <c r="I62" s="467"/>
      <c r="J62" s="467"/>
      <c r="K62" s="1694">
        <f t="shared" si="7"/>
        <v>874</v>
      </c>
      <c r="L62" s="466">
        <v>1700</v>
      </c>
      <c r="M62" s="610"/>
      <c r="N62" s="610"/>
    </row>
    <row r="63" spans="1:14" s="610" customFormat="1" x14ac:dyDescent="0.2">
      <c r="A63" s="1526" t="s">
        <v>102</v>
      </c>
      <c r="B63" s="615">
        <v>2560</v>
      </c>
      <c r="C63" s="466">
        <v>114354</v>
      </c>
      <c r="D63" s="466">
        <v>27503</v>
      </c>
      <c r="E63" s="466">
        <v>1257</v>
      </c>
      <c r="F63" s="466">
        <v>246976</v>
      </c>
      <c r="G63" s="466">
        <v>15050</v>
      </c>
      <c r="H63" s="466"/>
      <c r="I63" s="467"/>
      <c r="J63" s="467"/>
      <c r="K63" s="1694">
        <f t="shared" si="7"/>
        <v>405140</v>
      </c>
      <c r="L63" s="466">
        <v>406626</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363457</v>
      </c>
      <c r="D65" s="1692">
        <f t="shared" ref="D65:L65" si="8">SUM(D59:D64)</f>
        <v>79541</v>
      </c>
      <c r="E65" s="1692">
        <f t="shared" si="8"/>
        <v>23334</v>
      </c>
      <c r="F65" s="1692">
        <f t="shared" si="8"/>
        <v>249798</v>
      </c>
      <c r="G65" s="1692">
        <f t="shared" si="8"/>
        <v>109038</v>
      </c>
      <c r="H65" s="1692">
        <f t="shared" si="8"/>
        <v>0</v>
      </c>
      <c r="I65" s="1692">
        <f t="shared" si="8"/>
        <v>0</v>
      </c>
      <c r="J65" s="1692">
        <f t="shared" si="8"/>
        <v>0</v>
      </c>
      <c r="K65" s="1692">
        <f t="shared" si="8"/>
        <v>825168</v>
      </c>
      <c r="L65" s="1692">
        <f t="shared" si="8"/>
        <v>750150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v>9336</v>
      </c>
      <c r="D73" s="573">
        <v>1054</v>
      </c>
      <c r="E73" s="573"/>
      <c r="F73" s="573">
        <v>303</v>
      </c>
      <c r="G73" s="573"/>
      <c r="H73" s="573"/>
      <c r="I73" s="531"/>
      <c r="J73" s="531"/>
      <c r="K73" s="1692">
        <f>SUM(C73:J73)</f>
        <v>10693</v>
      </c>
      <c r="L73" s="576">
        <v>27154</v>
      </c>
      <c r="M73" s="610"/>
      <c r="N73" s="610"/>
    </row>
    <row r="74" spans="1:14" ht="12.75" customHeight="1" thickTop="1" thickBot="1" x14ac:dyDescent="0.25">
      <c r="A74" s="1690" t="s">
        <v>865</v>
      </c>
      <c r="B74" s="1698">
        <v>2000</v>
      </c>
      <c r="C74" s="1699">
        <f>SUM(C42,C47,C53,C57,C65,C72,C73)</f>
        <v>934344</v>
      </c>
      <c r="D74" s="1699">
        <f t="shared" ref="D74:K74" si="10">SUM(D42,D47,D53,D57,D65,D72,D73)</f>
        <v>227482</v>
      </c>
      <c r="E74" s="1699">
        <f t="shared" si="10"/>
        <v>69592</v>
      </c>
      <c r="F74" s="1699">
        <f t="shared" si="10"/>
        <v>282685</v>
      </c>
      <c r="G74" s="1699">
        <f t="shared" si="10"/>
        <v>110106</v>
      </c>
      <c r="H74" s="1699">
        <f t="shared" si="10"/>
        <v>13479</v>
      </c>
      <c r="I74" s="1699">
        <f t="shared" si="10"/>
        <v>0</v>
      </c>
      <c r="J74" s="1699">
        <f t="shared" si="10"/>
        <v>0</v>
      </c>
      <c r="K74" s="1699">
        <f t="shared" si="10"/>
        <v>1637688</v>
      </c>
      <c r="L74" s="1699">
        <f>SUM(L42,L47,L53,L57,L65,L72,L73)</f>
        <v>1557255</v>
      </c>
    </row>
    <row r="75" spans="1:14" s="259" customFormat="1" ht="15.75" customHeight="1" thickTop="1" thickBot="1" x14ac:dyDescent="0.25">
      <c r="A75" s="1632" t="s">
        <v>49</v>
      </c>
      <c r="B75" s="1633" t="s">
        <v>596</v>
      </c>
      <c r="C75" s="573"/>
      <c r="D75" s="573"/>
      <c r="E75" s="573"/>
      <c r="F75" s="573">
        <v>7715</v>
      </c>
      <c r="G75" s="573"/>
      <c r="H75" s="573"/>
      <c r="I75" s="531"/>
      <c r="J75" s="531"/>
      <c r="K75" s="1692">
        <f>SUM(C75:J75)</f>
        <v>7715</v>
      </c>
      <c r="L75" s="576">
        <v>6832</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16475</v>
      </c>
      <c r="F79" s="617"/>
      <c r="G79" s="617"/>
      <c r="H79" s="466"/>
      <c r="I79" s="477"/>
      <c r="J79" s="477"/>
      <c r="K79" s="1693">
        <f t="shared" si="11"/>
        <v>16475</v>
      </c>
      <c r="L79" s="466">
        <v>12730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v>10972</v>
      </c>
      <c r="F83" s="617"/>
      <c r="G83" s="617"/>
      <c r="H83" s="466"/>
      <c r="I83" s="477"/>
      <c r="J83" s="477"/>
      <c r="K83" s="1693">
        <f t="shared" si="11"/>
        <v>10972</v>
      </c>
      <c r="L83" s="466">
        <v>10972</v>
      </c>
    </row>
    <row r="84" spans="1:12" ht="13.5" thickBot="1" x14ac:dyDescent="0.25">
      <c r="A84" s="1690" t="s">
        <v>1565</v>
      </c>
      <c r="B84" s="1700">
        <v>4100</v>
      </c>
      <c r="C84" s="617"/>
      <c r="D84" s="617"/>
      <c r="E84" s="1692">
        <f>SUM(E78:E83)</f>
        <v>27447</v>
      </c>
      <c r="F84" s="617"/>
      <c r="G84" s="617"/>
      <c r="H84" s="1692">
        <f>SUM(H78:H83)</f>
        <v>0</v>
      </c>
      <c r="I84" s="477"/>
      <c r="J84" s="477"/>
      <c r="K84" s="1692">
        <f>SUM(K78:K83)</f>
        <v>27447</v>
      </c>
      <c r="L84" s="1692">
        <f>SUM(L78:L83)</f>
        <v>23702</v>
      </c>
    </row>
    <row r="85" spans="1:12" ht="12.75" customHeight="1" thickTop="1" thickBot="1" x14ac:dyDescent="0.25">
      <c r="A85" s="1533" t="s">
        <v>273</v>
      </c>
      <c r="B85" s="636">
        <v>4210</v>
      </c>
      <c r="C85" s="617"/>
      <c r="D85" s="617"/>
      <c r="E85" s="637"/>
      <c r="F85" s="617"/>
      <c r="G85" s="617"/>
      <c r="H85" s="535"/>
      <c r="I85" s="477"/>
      <c r="J85" s="477"/>
      <c r="K85" s="1699">
        <f>H85</f>
        <v>0</v>
      </c>
      <c r="L85" s="530">
        <v>3000</v>
      </c>
    </row>
    <row r="86" spans="1:12" ht="12.75" customHeight="1" thickTop="1" thickBot="1" x14ac:dyDescent="0.25">
      <c r="A86" s="1534" t="s">
        <v>723</v>
      </c>
      <c r="B86" s="638">
        <v>4220</v>
      </c>
      <c r="C86" s="617"/>
      <c r="D86" s="617"/>
      <c r="E86" s="639"/>
      <c r="F86" s="617"/>
      <c r="G86" s="617"/>
      <c r="H86" s="467">
        <v>159745</v>
      </c>
      <c r="I86" s="477"/>
      <c r="J86" s="477"/>
      <c r="K86" s="1699">
        <f t="shared" ref="K86:K98" si="12">H86</f>
        <v>159745</v>
      </c>
      <c r="L86" s="530">
        <v>218660</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159745</v>
      </c>
      <c r="I92" s="477"/>
      <c r="J92" s="477"/>
      <c r="K92" s="1699">
        <f t="shared" si="12"/>
        <v>159745</v>
      </c>
      <c r="L92" s="1692">
        <f>SUM(L85:L91)</f>
        <v>221660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27447</v>
      </c>
      <c r="F102" s="617"/>
      <c r="G102" s="617"/>
      <c r="H102" s="1699">
        <f>SUM(H84,H92,H100,H101)</f>
        <v>159745</v>
      </c>
      <c r="I102" s="477"/>
      <c r="J102" s="477"/>
      <c r="K102" s="1699">
        <f>SUM(K84,K92,K100,K101)</f>
        <v>187192</v>
      </c>
      <c r="L102" s="1699">
        <f>SUM(L84,L92,L100,L101)</f>
        <v>245362</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3764918</v>
      </c>
      <c r="D114" s="1692">
        <f t="shared" ref="D114:K114" si="13">SUM(D33,D74,D75,D102,D112,D113)</f>
        <v>989440</v>
      </c>
      <c r="E114" s="1692">
        <f t="shared" si="13"/>
        <v>135055</v>
      </c>
      <c r="F114" s="1692">
        <f t="shared" si="13"/>
        <v>563559</v>
      </c>
      <c r="G114" s="1692">
        <f t="shared" si="13"/>
        <v>152533</v>
      </c>
      <c r="H114" s="1692">
        <f>SUM(H33,H74,H75,H102,H112,H113)</f>
        <v>244543</v>
      </c>
      <c r="I114" s="1692">
        <f t="shared" si="13"/>
        <v>0</v>
      </c>
      <c r="J114" s="1692">
        <f t="shared" si="13"/>
        <v>0</v>
      </c>
      <c r="K114" s="1692">
        <f t="shared" si="13"/>
        <v>5850048</v>
      </c>
      <c r="L114" s="1692">
        <f>SUM(L33,L74,L75,L102,L112,L113)</f>
        <v>5913746</v>
      </c>
    </row>
    <row r="115" spans="1:14" ht="13.5" thickTop="1" x14ac:dyDescent="0.2">
      <c r="A115" s="2199" t="s">
        <v>1053</v>
      </c>
      <c r="B115" s="2200"/>
      <c r="C115" s="619"/>
      <c r="D115" s="619"/>
      <c r="E115" s="619"/>
      <c r="F115" s="619"/>
      <c r="G115" s="619"/>
      <c r="H115" s="619"/>
      <c r="I115" s="619"/>
      <c r="J115" s="619"/>
      <c r="K115" s="1706">
        <f>'Revenues 9-14'!C275-'Expenditures 15-22'!K114</f>
        <v>484141</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c r="D124" s="466"/>
      <c r="E124" s="466">
        <v>59199</v>
      </c>
      <c r="F124" s="466">
        <v>252992</v>
      </c>
      <c r="G124" s="466">
        <v>20553</v>
      </c>
      <c r="H124" s="466">
        <v>50</v>
      </c>
      <c r="I124" s="467"/>
      <c r="J124" s="467"/>
      <c r="K124" s="1692">
        <f>SUM(C124:J124)</f>
        <v>332794</v>
      </c>
      <c r="L124" s="466">
        <v>328890</v>
      </c>
    </row>
    <row r="125" spans="1:14" ht="14.25" thickTop="1" thickBot="1" x14ac:dyDescent="0.25">
      <c r="A125" s="1526" t="s">
        <v>1010</v>
      </c>
      <c r="B125" s="615">
        <v>2550</v>
      </c>
      <c r="C125" s="466"/>
      <c r="D125" s="466"/>
      <c r="E125" s="466"/>
      <c r="F125" s="466"/>
      <c r="G125" s="466"/>
      <c r="H125" s="466"/>
      <c r="I125" s="467"/>
      <c r="J125" s="467"/>
      <c r="K125" s="1692">
        <f>SUM(C125:J125)</f>
        <v>0</v>
      </c>
      <c r="L125" s="466">
        <v>5574</v>
      </c>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0</v>
      </c>
      <c r="D127" s="1692">
        <f t="shared" ref="D127:L127" si="14">SUM(D122:D126)</f>
        <v>0</v>
      </c>
      <c r="E127" s="1692">
        <f t="shared" si="14"/>
        <v>59199</v>
      </c>
      <c r="F127" s="1692">
        <f t="shared" si="14"/>
        <v>252992</v>
      </c>
      <c r="G127" s="1692">
        <f t="shared" si="14"/>
        <v>20553</v>
      </c>
      <c r="H127" s="1692">
        <f t="shared" si="14"/>
        <v>50</v>
      </c>
      <c r="I127" s="1692">
        <f t="shared" si="14"/>
        <v>0</v>
      </c>
      <c r="J127" s="1692">
        <f t="shared" si="14"/>
        <v>0</v>
      </c>
      <c r="K127" s="1692">
        <f t="shared" si="14"/>
        <v>332794</v>
      </c>
      <c r="L127" s="1692">
        <f t="shared" si="14"/>
        <v>334464</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0</v>
      </c>
      <c r="D129" s="1699">
        <f t="shared" ref="D129:L129" si="15">SUM(D120,D127,D128)</f>
        <v>0</v>
      </c>
      <c r="E129" s="1699">
        <f t="shared" si="15"/>
        <v>59199</v>
      </c>
      <c r="F129" s="1699">
        <f t="shared" si="15"/>
        <v>252992</v>
      </c>
      <c r="G129" s="1699">
        <f t="shared" si="15"/>
        <v>20553</v>
      </c>
      <c r="H129" s="1699">
        <f t="shared" si="15"/>
        <v>50</v>
      </c>
      <c r="I129" s="1699">
        <f t="shared" si="15"/>
        <v>0</v>
      </c>
      <c r="J129" s="1699">
        <f t="shared" si="15"/>
        <v>0</v>
      </c>
      <c r="K129" s="1699">
        <f t="shared" si="15"/>
        <v>332794</v>
      </c>
      <c r="L129" s="1699">
        <f t="shared" si="15"/>
        <v>334464</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v>13291</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13291</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9" t="s">
        <v>641</v>
      </c>
      <c r="B151" s="2171"/>
      <c r="C151" s="1692">
        <f>SUM(C129,C130,C139,C149,C150)</f>
        <v>0</v>
      </c>
      <c r="D151" s="1692">
        <f t="shared" ref="D151:K151" si="16">SUM(D129,D130,D139,D149,D150)</f>
        <v>0</v>
      </c>
      <c r="E151" s="1692">
        <f t="shared" si="16"/>
        <v>59199</v>
      </c>
      <c r="F151" s="1692">
        <f t="shared" si="16"/>
        <v>252992</v>
      </c>
      <c r="G151" s="1692">
        <f t="shared" si="16"/>
        <v>20553</v>
      </c>
      <c r="H151" s="1692">
        <f t="shared" si="16"/>
        <v>50</v>
      </c>
      <c r="I151" s="1692">
        <f t="shared" si="16"/>
        <v>0</v>
      </c>
      <c r="J151" s="1692">
        <f t="shared" si="16"/>
        <v>0</v>
      </c>
      <c r="K151" s="1692">
        <f t="shared" si="16"/>
        <v>332794</v>
      </c>
      <c r="L151" s="1692">
        <f>SUM(L129,L130,L139,L149,L150)</f>
        <v>347755</v>
      </c>
    </row>
    <row r="152" spans="1:14" ht="12.75" customHeight="1" thickTop="1" x14ac:dyDescent="0.2">
      <c r="A152" s="2192" t="s">
        <v>1240</v>
      </c>
      <c r="B152" s="2193"/>
      <c r="C152" s="619"/>
      <c r="D152" s="619"/>
      <c r="E152" s="619"/>
      <c r="F152" s="619"/>
      <c r="G152" s="619"/>
      <c r="H152" s="619"/>
      <c r="I152" s="619"/>
      <c r="J152" s="617"/>
      <c r="K152" s="1706">
        <f>'Revenues 9-14'!D275-'Expenditures 15-22'!K151</f>
        <v>-79123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13291</v>
      </c>
      <c r="I169" s="617"/>
      <c r="J169" s="617"/>
      <c r="K169" s="1693">
        <f>SUM(C169:H169)</f>
        <v>13291</v>
      </c>
      <c r="L169" s="657">
        <v>13291</v>
      </c>
    </row>
    <row r="170" spans="1:14" ht="33.75" customHeight="1" x14ac:dyDescent="0.2">
      <c r="A170" s="670" t="s">
        <v>1769</v>
      </c>
      <c r="B170" s="672" t="s">
        <v>31</v>
      </c>
      <c r="C170" s="617"/>
      <c r="D170" s="617"/>
      <c r="E170" s="617"/>
      <c r="F170" s="617"/>
      <c r="G170" s="617"/>
      <c r="H170" s="569">
        <v>53987</v>
      </c>
      <c r="I170" s="617"/>
      <c r="J170" s="617"/>
      <c r="K170" s="1693">
        <f>SUM(C170:J170)</f>
        <v>53987</v>
      </c>
      <c r="L170" s="569">
        <v>53987</v>
      </c>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67278</v>
      </c>
      <c r="I172" s="639"/>
      <c r="J172" s="617"/>
      <c r="K172" s="1699">
        <f>SUM(K168,K169,K170,K171)</f>
        <v>67278</v>
      </c>
      <c r="L172" s="1699">
        <f>SUM(L168,L169,L170,L171)</f>
        <v>67278</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67278</v>
      </c>
      <c r="I174" s="639"/>
      <c r="J174" s="617"/>
      <c r="K174" s="1699">
        <f>SUM(K160,K172,K173)</f>
        <v>67278</v>
      </c>
      <c r="L174" s="1699">
        <f>SUM(L160,L172,L173)</f>
        <v>67278</v>
      </c>
    </row>
    <row r="175" spans="1:14" ht="13.5" thickTop="1" x14ac:dyDescent="0.2">
      <c r="A175" s="2199" t="s">
        <v>1053</v>
      </c>
      <c r="B175" s="2200"/>
      <c r="C175" s="617"/>
      <c r="D175" s="617"/>
      <c r="E175" s="617"/>
      <c r="F175" s="617"/>
      <c r="G175" s="617"/>
      <c r="H175" s="619"/>
      <c r="I175" s="617"/>
      <c r="J175" s="617"/>
      <c r="K175" s="1706">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259639</v>
      </c>
      <c r="D182" s="466">
        <v>33933</v>
      </c>
      <c r="E182" s="466">
        <v>26109</v>
      </c>
      <c r="F182" s="466">
        <v>95642</v>
      </c>
      <c r="G182" s="466">
        <v>19969</v>
      </c>
      <c r="H182" s="466">
        <v>6396</v>
      </c>
      <c r="I182" s="467"/>
      <c r="J182" s="467"/>
      <c r="K182" s="1693">
        <f>SUM(C182:J182)</f>
        <v>441688</v>
      </c>
      <c r="L182" s="466">
        <v>416209</v>
      </c>
    </row>
    <row r="183" spans="1:14" ht="12.75" customHeight="1" thickBot="1" x14ac:dyDescent="0.25">
      <c r="A183" s="1531" t="s">
        <v>1037</v>
      </c>
      <c r="B183" s="678">
        <v>2900</v>
      </c>
      <c r="C183" s="573">
        <v>4721</v>
      </c>
      <c r="D183" s="573">
        <v>1437</v>
      </c>
      <c r="E183" s="573">
        <v>13776</v>
      </c>
      <c r="F183" s="573"/>
      <c r="G183" s="573"/>
      <c r="H183" s="573"/>
      <c r="I183" s="532"/>
      <c r="J183" s="532"/>
      <c r="K183" s="1699">
        <f>SUM(C183:J183)</f>
        <v>19934</v>
      </c>
      <c r="L183" s="573">
        <v>5734</v>
      </c>
    </row>
    <row r="184" spans="1:14" ht="12.75" customHeight="1" thickTop="1" thickBot="1" x14ac:dyDescent="0.25">
      <c r="A184" s="1713" t="s">
        <v>865</v>
      </c>
      <c r="B184" s="1691" t="s">
        <v>590</v>
      </c>
      <c r="C184" s="1699">
        <f>SUM(C180,C182,C183)</f>
        <v>264360</v>
      </c>
      <c r="D184" s="1699">
        <f t="shared" ref="D184:J184" si="17">SUM(D180,D182,D183)</f>
        <v>35370</v>
      </c>
      <c r="E184" s="1699">
        <f t="shared" si="17"/>
        <v>39885</v>
      </c>
      <c r="F184" s="1699">
        <f t="shared" si="17"/>
        <v>95642</v>
      </c>
      <c r="G184" s="1699">
        <f t="shared" si="17"/>
        <v>19969</v>
      </c>
      <c r="H184" s="1699">
        <f t="shared" si="17"/>
        <v>6396</v>
      </c>
      <c r="I184" s="1699">
        <f t="shared" si="17"/>
        <v>0</v>
      </c>
      <c r="J184" s="1699">
        <f t="shared" si="17"/>
        <v>0</v>
      </c>
      <c r="K184" s="1699">
        <f>SUM(K180,K182,K183)</f>
        <v>461622</v>
      </c>
      <c r="L184" s="1699">
        <f>SUM(L180, L182:L183)</f>
        <v>421943</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4142</v>
      </c>
      <c r="I205" s="617"/>
      <c r="J205" s="617"/>
      <c r="K205" s="1707">
        <f>SUM(H205)</f>
        <v>4142</v>
      </c>
      <c r="L205" s="535">
        <v>4142</v>
      </c>
    </row>
    <row r="206" spans="1:14" ht="30" customHeight="1" x14ac:dyDescent="0.2">
      <c r="A206" s="682" t="s">
        <v>1770</v>
      </c>
      <c r="B206" s="673" t="s">
        <v>31</v>
      </c>
      <c r="C206" s="617"/>
      <c r="D206" s="617"/>
      <c r="E206" s="617"/>
      <c r="F206" s="617"/>
      <c r="G206" s="617"/>
      <c r="H206" s="466">
        <v>53352</v>
      </c>
      <c r="I206" s="617"/>
      <c r="J206" s="617"/>
      <c r="K206" s="1693">
        <f>SUM(H206)</f>
        <v>53352</v>
      </c>
      <c r="L206" s="466">
        <v>53551</v>
      </c>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57494</v>
      </c>
      <c r="I208" s="617"/>
      <c r="J208" s="617"/>
      <c r="K208" s="1699">
        <f>SUM(K204,K205,K206,K207)</f>
        <v>57494</v>
      </c>
      <c r="L208" s="1699">
        <f>SUM(L204,L205,L206,L207)</f>
        <v>57693</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264360</v>
      </c>
      <c r="D210" s="1692">
        <f>SUM(D184,D185)</f>
        <v>35370</v>
      </c>
      <c r="E210" s="1692">
        <f>SUM(E184,E185,E196)</f>
        <v>39885</v>
      </c>
      <c r="F210" s="1692">
        <f>SUM(F184,F185)</f>
        <v>95642</v>
      </c>
      <c r="G210" s="1692">
        <f>SUM(G184,G185)</f>
        <v>19969</v>
      </c>
      <c r="H210" s="1692">
        <f>SUM(H184,H185,H196,H208,H209)</f>
        <v>63890</v>
      </c>
      <c r="I210" s="1692">
        <f>SUM(I184,I185)</f>
        <v>0</v>
      </c>
      <c r="J210" s="1692">
        <f>SUM(J184,J185)</f>
        <v>0</v>
      </c>
      <c r="K210" s="1693">
        <f>SUM(K184,K185,K196,K208,K209)</f>
        <v>519116</v>
      </c>
      <c r="L210" s="1692">
        <f>SUM(L184,L185,L196,L208,L209)</f>
        <v>479636</v>
      </c>
    </row>
    <row r="211" spans="1:14" ht="13.5" thickTop="1" x14ac:dyDescent="0.2">
      <c r="A211" s="2199" t="s">
        <v>1053</v>
      </c>
      <c r="B211" s="2200"/>
      <c r="C211" s="619"/>
      <c r="D211" s="619"/>
      <c r="E211" s="619"/>
      <c r="F211" s="619"/>
      <c r="G211" s="619"/>
      <c r="H211" s="619"/>
      <c r="I211" s="617"/>
      <c r="J211" s="617"/>
      <c r="K211" s="1706">
        <f>'Revenues 9-14'!F275-'Expenditures 15-22'!K210</f>
        <v>139813</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42669</v>
      </c>
      <c r="E215" s="617"/>
      <c r="F215" s="617"/>
      <c r="G215" s="617"/>
      <c r="H215" s="617"/>
      <c r="I215" s="617"/>
      <c r="J215" s="617"/>
      <c r="K215" s="1693">
        <f>D215</f>
        <v>42669</v>
      </c>
      <c r="L215" s="466">
        <v>41165</v>
      </c>
    </row>
    <row r="216" spans="1:14" x14ac:dyDescent="0.2">
      <c r="A216" s="1526" t="s">
        <v>165</v>
      </c>
      <c r="B216" s="615" t="s">
        <v>1024</v>
      </c>
      <c r="C216" s="617"/>
      <c r="D216" s="467">
        <v>12216</v>
      </c>
      <c r="E216" s="617"/>
      <c r="F216" s="617"/>
      <c r="G216" s="617"/>
      <c r="H216" s="617"/>
      <c r="I216" s="617"/>
      <c r="J216" s="617"/>
      <c r="K216" s="1693">
        <f t="shared" ref="K216:K228" si="19">D216</f>
        <v>12216</v>
      </c>
      <c r="L216" s="466">
        <v>12537</v>
      </c>
    </row>
    <row r="217" spans="1:14" x14ac:dyDescent="0.2">
      <c r="A217" s="1526" t="s">
        <v>166</v>
      </c>
      <c r="B217" s="615">
        <v>1200</v>
      </c>
      <c r="C217" s="617"/>
      <c r="D217" s="466">
        <v>56507</v>
      </c>
      <c r="E217" s="617"/>
      <c r="F217" s="617"/>
      <c r="G217" s="617"/>
      <c r="H217" s="617"/>
      <c r="I217" s="617"/>
      <c r="J217" s="617"/>
      <c r="K217" s="1693">
        <f t="shared" si="19"/>
        <v>56507</v>
      </c>
      <c r="L217" s="466">
        <v>56507</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9197</v>
      </c>
      <c r="E219" s="617"/>
      <c r="F219" s="617"/>
      <c r="G219" s="617"/>
      <c r="H219" s="617"/>
      <c r="I219" s="617"/>
      <c r="J219" s="617"/>
      <c r="K219" s="1693">
        <f t="shared" si="19"/>
        <v>9197</v>
      </c>
      <c r="L219" s="466">
        <v>9604</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2223</v>
      </c>
      <c r="E222" s="617"/>
      <c r="F222" s="617"/>
      <c r="G222" s="617"/>
      <c r="H222" s="617"/>
      <c r="I222" s="617"/>
      <c r="J222" s="617"/>
      <c r="K222" s="1693">
        <f t="shared" si="19"/>
        <v>2223</v>
      </c>
      <c r="L222" s="466">
        <v>2248</v>
      </c>
    </row>
    <row r="223" spans="1:14" x14ac:dyDescent="0.2">
      <c r="A223" s="1526" t="s">
        <v>1020</v>
      </c>
      <c r="B223" s="615">
        <v>1500</v>
      </c>
      <c r="C223" s="617"/>
      <c r="D223" s="466">
        <v>2507</v>
      </c>
      <c r="E223" s="617"/>
      <c r="F223" s="617"/>
      <c r="G223" s="617"/>
      <c r="H223" s="617"/>
      <c r="I223" s="617"/>
      <c r="J223" s="617"/>
      <c r="K223" s="1693">
        <f t="shared" si="19"/>
        <v>2507</v>
      </c>
      <c r="L223" s="466">
        <v>2786</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383</v>
      </c>
      <c r="E226" s="617"/>
      <c r="F226" s="617"/>
      <c r="G226" s="617"/>
      <c r="H226" s="617"/>
      <c r="I226" s="617"/>
      <c r="J226" s="617"/>
      <c r="K226" s="1693">
        <f t="shared" si="19"/>
        <v>383</v>
      </c>
      <c r="L226" s="466">
        <v>387</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125702</v>
      </c>
      <c r="E229" s="617"/>
      <c r="F229" s="617"/>
      <c r="G229" s="617"/>
      <c r="H229" s="617"/>
      <c r="I229" s="617"/>
      <c r="J229" s="617"/>
      <c r="K229" s="1692">
        <f>SUM(K215:K228)</f>
        <v>125702</v>
      </c>
      <c r="L229" s="1692">
        <f>SUM(L215:L228)</f>
        <v>125234</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4969</v>
      </c>
      <c r="E232" s="617"/>
      <c r="F232" s="617"/>
      <c r="G232" s="617"/>
      <c r="H232" s="617"/>
      <c r="I232" s="617"/>
      <c r="J232" s="617"/>
      <c r="K232" s="1693">
        <f t="shared" ref="K232:K237" si="20">D232</f>
        <v>4969</v>
      </c>
      <c r="L232" s="466">
        <v>5060</v>
      </c>
    </row>
    <row r="233" spans="1:12" x14ac:dyDescent="0.2">
      <c r="A233" s="1526" t="s">
        <v>1151</v>
      </c>
      <c r="B233" s="615">
        <v>2120</v>
      </c>
      <c r="C233" s="617"/>
      <c r="D233" s="466">
        <v>916</v>
      </c>
      <c r="E233" s="617"/>
      <c r="F233" s="617"/>
      <c r="G233" s="617"/>
      <c r="H233" s="617"/>
      <c r="I233" s="617"/>
      <c r="J233" s="617"/>
      <c r="K233" s="1693">
        <f t="shared" si="20"/>
        <v>916</v>
      </c>
      <c r="L233" s="466">
        <v>891</v>
      </c>
    </row>
    <row r="234" spans="1:12" x14ac:dyDescent="0.2">
      <c r="A234" s="1526" t="s">
        <v>207</v>
      </c>
      <c r="B234" s="615">
        <v>2130</v>
      </c>
      <c r="C234" s="617"/>
      <c r="D234" s="466">
        <v>16160</v>
      </c>
      <c r="E234" s="617"/>
      <c r="F234" s="617"/>
      <c r="G234" s="617"/>
      <c r="H234" s="617"/>
      <c r="I234" s="617"/>
      <c r="J234" s="617"/>
      <c r="K234" s="1693">
        <f t="shared" si="20"/>
        <v>16160</v>
      </c>
      <c r="L234" s="466">
        <v>16162</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v>67</v>
      </c>
      <c r="E237" s="617"/>
      <c r="F237" s="617"/>
      <c r="G237" s="617"/>
      <c r="H237" s="617"/>
      <c r="I237" s="617"/>
      <c r="J237" s="617"/>
      <c r="K237" s="1693">
        <f t="shared" si="20"/>
        <v>67</v>
      </c>
      <c r="L237" s="466">
        <v>71</v>
      </c>
    </row>
    <row r="238" spans="1:12" ht="12.75" customHeight="1" thickBot="1" x14ac:dyDescent="0.25">
      <c r="A238" s="1690" t="s">
        <v>581</v>
      </c>
      <c r="B238" s="1697" t="s">
        <v>740</v>
      </c>
      <c r="C238" s="617"/>
      <c r="D238" s="1692">
        <f>SUM(D232:D237)</f>
        <v>22112</v>
      </c>
      <c r="E238" s="617"/>
      <c r="F238" s="617"/>
      <c r="G238" s="617"/>
      <c r="H238" s="617"/>
      <c r="I238" s="617"/>
      <c r="J238" s="617"/>
      <c r="K238" s="1692">
        <f>SUM(K232:K237)</f>
        <v>22112</v>
      </c>
      <c r="L238" s="1692">
        <f>SUM(L232:L237)</f>
        <v>22184</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10</v>
      </c>
      <c r="E240" s="617"/>
      <c r="F240" s="617"/>
      <c r="G240" s="617"/>
      <c r="H240" s="617"/>
      <c r="I240" s="617"/>
      <c r="J240" s="617"/>
      <c r="K240" s="1694">
        <f>D240</f>
        <v>10</v>
      </c>
      <c r="L240" s="481">
        <v>11</v>
      </c>
    </row>
    <row r="241" spans="1:12" x14ac:dyDescent="0.2">
      <c r="A241" s="1526" t="s">
        <v>869</v>
      </c>
      <c r="B241" s="615">
        <v>2220</v>
      </c>
      <c r="C241" s="617"/>
      <c r="D241" s="466">
        <v>9037</v>
      </c>
      <c r="E241" s="617"/>
      <c r="F241" s="617"/>
      <c r="G241" s="617"/>
      <c r="H241" s="617"/>
      <c r="I241" s="617"/>
      <c r="J241" s="617"/>
      <c r="K241" s="1694">
        <f>D241</f>
        <v>9037</v>
      </c>
      <c r="L241" s="466">
        <v>9284</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9047</v>
      </c>
      <c r="E243" s="617"/>
      <c r="F243" s="617"/>
      <c r="G243" s="617"/>
      <c r="H243" s="617"/>
      <c r="I243" s="617"/>
      <c r="J243" s="617"/>
      <c r="K243" s="1692">
        <f>SUM(K240:K242)</f>
        <v>9047</v>
      </c>
      <c r="L243" s="1692">
        <f>SUM(L240:L242)</f>
        <v>9295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v>9393</v>
      </c>
      <c r="E246" s="617"/>
      <c r="F246" s="617"/>
      <c r="G246" s="617"/>
      <c r="H246" s="617"/>
      <c r="I246" s="617"/>
      <c r="J246" s="617"/>
      <c r="K246" s="1694">
        <f t="shared" ref="K246:K256" si="21">D246</f>
        <v>9393</v>
      </c>
      <c r="L246" s="466">
        <v>9144</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v>15546</v>
      </c>
      <c r="E254" s="617"/>
      <c r="F254" s="617"/>
      <c r="G254" s="617"/>
      <c r="H254" s="617"/>
      <c r="I254" s="617"/>
      <c r="J254" s="617"/>
      <c r="K254" s="1694">
        <f t="shared" si="21"/>
        <v>15546</v>
      </c>
      <c r="L254" s="466">
        <v>15543</v>
      </c>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24939</v>
      </c>
      <c r="E257" s="617"/>
      <c r="F257" s="617"/>
      <c r="G257" s="617"/>
      <c r="H257" s="617"/>
      <c r="I257" s="617"/>
      <c r="J257" s="617"/>
      <c r="K257" s="1692">
        <f>SUM(K245:K256)</f>
        <v>24939</v>
      </c>
      <c r="L257" s="1692">
        <f>SUM(L245:L256)</f>
        <v>24687</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35132</v>
      </c>
      <c r="E259" s="617"/>
      <c r="F259" s="617"/>
      <c r="G259" s="617"/>
      <c r="H259" s="617"/>
      <c r="I259" s="617"/>
      <c r="J259" s="617"/>
      <c r="K259" s="1694">
        <f>D259</f>
        <v>35132</v>
      </c>
      <c r="L259" s="481">
        <v>34997</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35132</v>
      </c>
      <c r="E261" s="617"/>
      <c r="F261" s="617"/>
      <c r="G261" s="617"/>
      <c r="H261" s="617"/>
      <c r="I261" s="617"/>
      <c r="J261" s="617"/>
      <c r="K261" s="1692">
        <f>SUM(K259:K260)</f>
        <v>35132</v>
      </c>
      <c r="L261" s="1692">
        <f>SUM(L259:L260)</f>
        <v>34997</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18053</v>
      </c>
      <c r="E264" s="617"/>
      <c r="F264" s="617"/>
      <c r="G264" s="617"/>
      <c r="H264" s="617"/>
      <c r="I264" s="617"/>
      <c r="J264" s="617"/>
      <c r="K264" s="1694">
        <f t="shared" ref="K264:K269" si="22">D264</f>
        <v>18053</v>
      </c>
      <c r="L264" s="466">
        <v>18053</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43257</v>
      </c>
      <c r="E266" s="617"/>
      <c r="F266" s="617"/>
      <c r="G266" s="617"/>
      <c r="H266" s="617"/>
      <c r="I266" s="617"/>
      <c r="J266" s="617"/>
      <c r="K266" s="1694">
        <f t="shared" si="22"/>
        <v>43257</v>
      </c>
      <c r="L266" s="466">
        <v>42608</v>
      </c>
    </row>
    <row r="267" spans="1:14" x14ac:dyDescent="0.2">
      <c r="A267" s="1526" t="s">
        <v>1010</v>
      </c>
      <c r="B267" s="615">
        <v>2550</v>
      </c>
      <c r="C267" s="617"/>
      <c r="D267" s="466">
        <v>60149</v>
      </c>
      <c r="E267" s="617"/>
      <c r="F267" s="617"/>
      <c r="G267" s="617"/>
      <c r="H267" s="617"/>
      <c r="I267" s="617"/>
      <c r="J267" s="617"/>
      <c r="K267" s="1694">
        <f t="shared" si="22"/>
        <v>60149</v>
      </c>
      <c r="L267" s="466">
        <v>57826</v>
      </c>
    </row>
    <row r="268" spans="1:14" x14ac:dyDescent="0.2">
      <c r="A268" s="1526" t="s">
        <v>102</v>
      </c>
      <c r="B268" s="615">
        <v>2560</v>
      </c>
      <c r="C268" s="617"/>
      <c r="D268" s="466">
        <v>30241</v>
      </c>
      <c r="E268" s="617"/>
      <c r="F268" s="617"/>
      <c r="G268" s="617"/>
      <c r="H268" s="617"/>
      <c r="I268" s="617"/>
      <c r="J268" s="617"/>
      <c r="K268" s="1694">
        <f t="shared" si="22"/>
        <v>30241</v>
      </c>
      <c r="L268" s="466">
        <v>30261</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151700</v>
      </c>
      <c r="E270" s="617"/>
      <c r="F270" s="617"/>
      <c r="G270" s="617"/>
      <c r="H270" s="617"/>
      <c r="I270" s="617"/>
      <c r="J270" s="617"/>
      <c r="K270" s="1692">
        <f>SUM(K263:K269)</f>
        <v>151700</v>
      </c>
      <c r="L270" s="1692">
        <f>SUM(L263:L269)</f>
        <v>148748</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v>135</v>
      </c>
      <c r="E278" s="617"/>
      <c r="F278" s="617"/>
      <c r="G278" s="617"/>
      <c r="H278" s="617"/>
      <c r="I278" s="617"/>
      <c r="J278" s="617"/>
      <c r="K278" s="1707">
        <f>D278</f>
        <v>135</v>
      </c>
      <c r="L278" s="657">
        <v>135</v>
      </c>
    </row>
    <row r="279" spans="1:12" ht="12.75" customHeight="1" thickBot="1" x14ac:dyDescent="0.25">
      <c r="A279" s="1720" t="s">
        <v>865</v>
      </c>
      <c r="B279" s="1703">
        <v>2000</v>
      </c>
      <c r="C279" s="617"/>
      <c r="D279" s="1699">
        <f>SUM(D238,D243,D257,D261,D270,D277,D278)</f>
        <v>243065</v>
      </c>
      <c r="E279" s="617"/>
      <c r="F279" s="617"/>
      <c r="G279" s="617"/>
      <c r="H279" s="617"/>
      <c r="I279" s="617"/>
      <c r="J279" s="617"/>
      <c r="K279" s="1699">
        <f>SUM(K238,K243,K257,K261,K270,K277,K278)</f>
        <v>243065</v>
      </c>
      <c r="L279" s="1699">
        <f>SUM(L238,L243,L257,L261,L270,L277,L278)</f>
        <v>240046</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0" t="s">
        <v>526</v>
      </c>
      <c r="B295" s="2191"/>
      <c r="C295" s="617"/>
      <c r="D295" s="1692">
        <f>SUM(D229,D279,D280,D285)</f>
        <v>368767</v>
      </c>
      <c r="E295" s="617"/>
      <c r="F295" s="617"/>
      <c r="G295" s="617"/>
      <c r="H295" s="1692">
        <f>H293</f>
        <v>0</v>
      </c>
      <c r="I295" s="617"/>
      <c r="J295" s="617"/>
      <c r="K295" s="1692">
        <f>SUM(K229,K279,K280,K285,K293,K294)</f>
        <v>368767</v>
      </c>
      <c r="L295" s="1692">
        <f>SUM(L229,L279,L280,L285,L293,L294)</f>
        <v>365280</v>
      </c>
    </row>
    <row r="296" spans="1:14" ht="13.5" thickTop="1" x14ac:dyDescent="0.2">
      <c r="A296" s="2199" t="s">
        <v>1053</v>
      </c>
      <c r="B296" s="2200"/>
      <c r="C296" s="617"/>
      <c r="D296" s="619"/>
      <c r="E296" s="617"/>
      <c r="F296" s="617"/>
      <c r="G296" s="617"/>
      <c r="H296" s="688"/>
      <c r="I296" s="617"/>
      <c r="J296" s="617"/>
      <c r="K296" s="1706">
        <f>'Revenues 9-14'!G275-'Expenditures 15-22'!K295</f>
        <v>26634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7" t="s">
        <v>295</v>
      </c>
      <c r="B312" s="2188"/>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3" t="s">
        <v>1053</v>
      </c>
      <c r="B313" s="2184"/>
      <c r="C313" s="627"/>
      <c r="D313" s="627"/>
      <c r="E313" s="627"/>
      <c r="F313" s="627"/>
      <c r="G313" s="627"/>
      <c r="H313" s="627"/>
      <c r="I313" s="627"/>
      <c r="J313" s="627"/>
      <c r="K313" s="1707">
        <f>'Revenues 9-14'!H275-'Expenditures 15-22'!K312</f>
        <v>23489</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42832</v>
      </c>
      <c r="F320" s="467"/>
      <c r="G320" s="467"/>
      <c r="H320" s="467"/>
      <c r="I320" s="467"/>
      <c r="J320" s="467"/>
      <c r="K320" s="1693">
        <f t="shared" ref="K320:K327" si="24">SUM(C320:J320)</f>
        <v>42832</v>
      </c>
      <c r="L320" s="467">
        <v>42832</v>
      </c>
      <c r="M320" s="666"/>
      <c r="N320" s="666"/>
    </row>
    <row r="321" spans="1:14" s="675" customFormat="1" x14ac:dyDescent="0.2">
      <c r="A321" s="1541" t="s">
        <v>318</v>
      </c>
      <c r="B321" s="698" t="s">
        <v>301</v>
      </c>
      <c r="C321" s="467"/>
      <c r="D321" s="467"/>
      <c r="E321" s="467">
        <v>16335</v>
      </c>
      <c r="F321" s="467"/>
      <c r="G321" s="467"/>
      <c r="H321" s="467"/>
      <c r="I321" s="467"/>
      <c r="J321" s="467"/>
      <c r="K321" s="1693">
        <f t="shared" si="24"/>
        <v>16335</v>
      </c>
      <c r="L321" s="467">
        <v>15442</v>
      </c>
      <c r="M321" s="666"/>
      <c r="N321" s="666"/>
    </row>
    <row r="322" spans="1:14" s="675" customFormat="1" x14ac:dyDescent="0.2">
      <c r="A322" s="1541" t="s">
        <v>256</v>
      </c>
      <c r="B322" s="698" t="s">
        <v>302</v>
      </c>
      <c r="C322" s="467"/>
      <c r="D322" s="467"/>
      <c r="E322" s="467">
        <v>80933</v>
      </c>
      <c r="F322" s="467"/>
      <c r="G322" s="467"/>
      <c r="H322" s="467"/>
      <c r="I322" s="467"/>
      <c r="J322" s="467"/>
      <c r="K322" s="1693">
        <f t="shared" si="24"/>
        <v>80933</v>
      </c>
      <c r="L322" s="467">
        <v>79849</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101580</v>
      </c>
      <c r="D325" s="467">
        <v>23899</v>
      </c>
      <c r="E325" s="467">
        <v>5750</v>
      </c>
      <c r="F325" s="467"/>
      <c r="G325" s="467"/>
      <c r="H325" s="467"/>
      <c r="I325" s="467"/>
      <c r="J325" s="467"/>
      <c r="K325" s="1693">
        <f t="shared" si="24"/>
        <v>131229</v>
      </c>
      <c r="L325" s="467">
        <v>129353</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14259</v>
      </c>
      <c r="F327" s="467"/>
      <c r="G327" s="467"/>
      <c r="H327" s="467"/>
      <c r="I327" s="467"/>
      <c r="J327" s="467"/>
      <c r="K327" s="1693">
        <f t="shared" si="24"/>
        <v>14259</v>
      </c>
      <c r="L327" s="467">
        <v>15000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101580</v>
      </c>
      <c r="D330" s="1692">
        <f t="shared" ref="D330:J330" si="25">SUM(D319:D329)</f>
        <v>23899</v>
      </c>
      <c r="E330" s="1692">
        <f t="shared" si="25"/>
        <v>160109</v>
      </c>
      <c r="F330" s="1692">
        <f t="shared" si="25"/>
        <v>0</v>
      </c>
      <c r="G330" s="1692">
        <f t="shared" si="25"/>
        <v>0</v>
      </c>
      <c r="H330" s="1692">
        <f t="shared" si="25"/>
        <v>0</v>
      </c>
      <c r="I330" s="1692">
        <f t="shared" si="25"/>
        <v>0</v>
      </c>
      <c r="J330" s="1692">
        <f t="shared" si="25"/>
        <v>0</v>
      </c>
      <c r="K330" s="1692">
        <f>SUM(K319:K329)</f>
        <v>285588</v>
      </c>
      <c r="L330" s="1692">
        <f>SUM(L319:L329)</f>
        <v>282476</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101580</v>
      </c>
      <c r="D342" s="1692">
        <f>SUM(D330)</f>
        <v>23899</v>
      </c>
      <c r="E342" s="1692">
        <f>SUM(E330)</f>
        <v>160109</v>
      </c>
      <c r="F342" s="1692">
        <f>SUM(F330)</f>
        <v>0</v>
      </c>
      <c r="G342" s="1692">
        <f>SUM(G330)</f>
        <v>0</v>
      </c>
      <c r="H342" s="1692">
        <f>SUM(H330,H334,H340)</f>
        <v>0</v>
      </c>
      <c r="I342" s="1692">
        <f>SUM(I330)</f>
        <v>0</v>
      </c>
      <c r="J342" s="1692">
        <f>SUM(J330)</f>
        <v>0</v>
      </c>
      <c r="K342" s="1692">
        <f>SUM(K330,K334,K340)</f>
        <v>285588</v>
      </c>
      <c r="L342" s="1699">
        <f>SUM(L330,L340,L341)</f>
        <v>282476</v>
      </c>
    </row>
    <row r="343" spans="1:14" ht="12.75" customHeight="1" thickTop="1" x14ac:dyDescent="0.2">
      <c r="A343" s="2185" t="s">
        <v>1053</v>
      </c>
      <c r="B343" s="2186"/>
      <c r="C343" s="617"/>
      <c r="D343" s="617"/>
      <c r="E343" s="617"/>
      <c r="F343" s="617"/>
      <c r="G343" s="617"/>
      <c r="H343" s="617"/>
      <c r="I343" s="617"/>
      <c r="J343" s="617"/>
      <c r="K343" s="1706">
        <f>'Revenues 9-14'!J275-'Expenditures 15-22'!K342</f>
        <v>84348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v>13726</v>
      </c>
      <c r="F349" s="466">
        <v>10903</v>
      </c>
      <c r="G349" s="466"/>
      <c r="H349" s="466"/>
      <c r="I349" s="467"/>
      <c r="J349" s="467"/>
      <c r="K349" s="1693">
        <f>SUM(C349:J349)</f>
        <v>24629</v>
      </c>
      <c r="L349" s="466">
        <v>22000</v>
      </c>
    </row>
    <row r="350" spans="1:14" ht="12.75" customHeight="1" thickBot="1" x14ac:dyDescent="0.25">
      <c r="A350" s="1690" t="s">
        <v>743</v>
      </c>
      <c r="B350" s="1691" t="s">
        <v>35</v>
      </c>
      <c r="C350" s="1692">
        <f>SUM(C348:C349)</f>
        <v>0</v>
      </c>
      <c r="D350" s="1692">
        <f t="shared" ref="D350:L350" si="26">SUM(D348:D349)</f>
        <v>0</v>
      </c>
      <c r="E350" s="1692">
        <f t="shared" si="26"/>
        <v>13726</v>
      </c>
      <c r="F350" s="1692">
        <f t="shared" si="26"/>
        <v>10903</v>
      </c>
      <c r="G350" s="1692">
        <f t="shared" si="26"/>
        <v>0</v>
      </c>
      <c r="H350" s="1692">
        <f t="shared" si="26"/>
        <v>0</v>
      </c>
      <c r="I350" s="1692">
        <f t="shared" si="26"/>
        <v>0</v>
      </c>
      <c r="J350" s="1692">
        <f t="shared" si="26"/>
        <v>0</v>
      </c>
      <c r="K350" s="1692">
        <f t="shared" si="26"/>
        <v>24629</v>
      </c>
      <c r="L350" s="1692">
        <f t="shared" si="26"/>
        <v>22000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13726</v>
      </c>
      <c r="F352" s="1692">
        <f t="shared" si="27"/>
        <v>10903</v>
      </c>
      <c r="G352" s="1692">
        <f t="shared" si="27"/>
        <v>0</v>
      </c>
      <c r="H352" s="1692">
        <f t="shared" si="27"/>
        <v>0</v>
      </c>
      <c r="I352" s="1692">
        <f t="shared" si="27"/>
        <v>0</v>
      </c>
      <c r="J352" s="1692">
        <f t="shared" si="27"/>
        <v>0</v>
      </c>
      <c r="K352" s="1692">
        <f t="shared" si="27"/>
        <v>24629</v>
      </c>
      <c r="L352" s="1692">
        <f t="shared" si="27"/>
        <v>22000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13726</v>
      </c>
      <c r="F367" s="1692">
        <f t="shared" si="28"/>
        <v>10903</v>
      </c>
      <c r="G367" s="1692">
        <f t="shared" si="28"/>
        <v>0</v>
      </c>
      <c r="H367" s="1692">
        <f t="shared" si="28"/>
        <v>0</v>
      </c>
      <c r="I367" s="1692">
        <f t="shared" si="28"/>
        <v>0</v>
      </c>
      <c r="J367" s="1692">
        <f t="shared" si="28"/>
        <v>0</v>
      </c>
      <c r="K367" s="1692">
        <f t="shared" si="28"/>
        <v>24629</v>
      </c>
      <c r="L367" s="1692">
        <f t="shared" si="28"/>
        <v>22000</v>
      </c>
    </row>
    <row r="368" spans="1:14" ht="13.5" thickTop="1" x14ac:dyDescent="0.2">
      <c r="A368" s="2199" t="s">
        <v>1053</v>
      </c>
      <c r="B368" s="2200"/>
      <c r="C368" s="655"/>
      <c r="D368" s="655"/>
      <c r="E368" s="627"/>
      <c r="F368" s="627"/>
      <c r="G368" s="627"/>
      <c r="H368" s="627"/>
      <c r="I368" s="627"/>
      <c r="J368" s="624"/>
      <c r="K368" s="1693">
        <f>'Revenues 9-14'!K275-'Expenditures 15-22'!K367</f>
        <v>9621</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6" fitToHeight="0" orientation="landscape" useFirstPageNumber="1" r:id="rId1"/>
  <headerFooter alignWithMargins="0">
    <oddHeader>&amp;L&amp;8Page &amp;P&amp;C&amp;"Arial,Bold"&amp;9STATEMENT OF EXPENDITURES DISBURSED/EXPENDITURES, BUDGET TO ACTUAL
FOR THE YEAR ENDING JUNE 30, 2018&amp;R&amp;8Page &amp;P</oddHeader>
    <oddFooter>&amp;CThe notes to the financial statements are an integral part of this statement.
&amp;P</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8" sqref="E18"/>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1905</v>
      </c>
      <c r="B2" s="1550" t="s">
        <v>2037</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1651098</v>
      </c>
      <c r="C4" s="1546"/>
      <c r="D4" s="1774">
        <f>B4-C4</f>
        <v>1651098</v>
      </c>
      <c r="E4" s="1546">
        <v>1655786</v>
      </c>
      <c r="F4" s="1774">
        <f>E4-C4</f>
        <v>1655786</v>
      </c>
    </row>
    <row r="5" spans="1:6" ht="13.7" customHeight="1" x14ac:dyDescent="0.2">
      <c r="A5" s="716" t="s">
        <v>925</v>
      </c>
      <c r="B5" s="1772">
        <f>'Revenues 9-14'!D5</f>
        <v>247665</v>
      </c>
      <c r="C5" s="585"/>
      <c r="D5" s="1775">
        <f t="shared" ref="D5:D18" si="0">B5-C5</f>
        <v>247665</v>
      </c>
      <c r="E5" s="585">
        <v>248368</v>
      </c>
      <c r="F5" s="1775">
        <f>E5-C5</f>
        <v>248368</v>
      </c>
    </row>
    <row r="6" spans="1:6" ht="13.7" customHeight="1" x14ac:dyDescent="0.2">
      <c r="A6" s="716" t="s">
        <v>431</v>
      </c>
      <c r="B6" s="1772">
        <f>'Revenues 9-14'!E5</f>
        <v>0</v>
      </c>
      <c r="C6" s="585"/>
      <c r="D6" s="1775">
        <f t="shared" si="0"/>
        <v>0</v>
      </c>
      <c r="E6" s="585">
        <v>0</v>
      </c>
      <c r="F6" s="1775">
        <f t="shared" ref="F6:F18" si="1">E6-C6</f>
        <v>0</v>
      </c>
    </row>
    <row r="7" spans="1:6" ht="13.7" customHeight="1" x14ac:dyDescent="0.2">
      <c r="A7" s="716" t="s">
        <v>157</v>
      </c>
      <c r="B7" s="1772">
        <f>'Revenues 9-14'!F5</f>
        <v>132088</v>
      </c>
      <c r="C7" s="585"/>
      <c r="D7" s="1775">
        <f t="shared" si="0"/>
        <v>132088</v>
      </c>
      <c r="E7" s="585">
        <v>132463</v>
      </c>
      <c r="F7" s="1775">
        <f t="shared" si="1"/>
        <v>132463</v>
      </c>
    </row>
    <row r="8" spans="1:6" ht="13.7" customHeight="1" x14ac:dyDescent="0.2">
      <c r="A8" s="716" t="s">
        <v>1241</v>
      </c>
      <c r="B8" s="1772">
        <f>'Revenues 9-14'!G5</f>
        <v>187368</v>
      </c>
      <c r="C8" s="585"/>
      <c r="D8" s="1775">
        <f t="shared" si="0"/>
        <v>187368</v>
      </c>
      <c r="E8" s="585">
        <v>197005</v>
      </c>
      <c r="F8" s="1775">
        <f t="shared" si="1"/>
        <v>197005</v>
      </c>
    </row>
    <row r="9" spans="1:6" ht="13.7" customHeight="1" x14ac:dyDescent="0.2">
      <c r="A9" s="716" t="s">
        <v>428</v>
      </c>
      <c r="B9" s="1772">
        <f>'Revenues 9-14'!H5</f>
        <v>0</v>
      </c>
      <c r="C9" s="585"/>
      <c r="D9" s="1775">
        <f t="shared" si="0"/>
        <v>0</v>
      </c>
      <c r="E9" s="585">
        <v>0</v>
      </c>
      <c r="F9" s="1775">
        <f t="shared" si="1"/>
        <v>0</v>
      </c>
    </row>
    <row r="10" spans="1:6" ht="13.7" customHeight="1" x14ac:dyDescent="0.2">
      <c r="A10" s="716" t="s">
        <v>427</v>
      </c>
      <c r="B10" s="1772">
        <f>'Revenues 9-14'!I5</f>
        <v>33022</v>
      </c>
      <c r="C10" s="585"/>
      <c r="D10" s="1775">
        <f t="shared" si="0"/>
        <v>33022</v>
      </c>
      <c r="E10" s="585">
        <v>33116</v>
      </c>
      <c r="F10" s="1775">
        <f t="shared" si="1"/>
        <v>33116</v>
      </c>
    </row>
    <row r="11" spans="1:6" x14ac:dyDescent="0.2">
      <c r="A11" s="716" t="s">
        <v>429</v>
      </c>
      <c r="B11" s="1772">
        <f>'Revenues 9-14'!J5</f>
        <v>360711</v>
      </c>
      <c r="C11" s="585"/>
      <c r="D11" s="1775">
        <f t="shared" si="0"/>
        <v>360711</v>
      </c>
      <c r="E11" s="585">
        <v>379003</v>
      </c>
      <c r="F11" s="1775">
        <f t="shared" si="1"/>
        <v>379003</v>
      </c>
    </row>
    <row r="12" spans="1:6" ht="13.7" customHeight="1" x14ac:dyDescent="0.2">
      <c r="A12" s="716" t="s">
        <v>159</v>
      </c>
      <c r="B12" s="1772">
        <f>'Revenues 9-14'!K5</f>
        <v>33022</v>
      </c>
      <c r="C12" s="585"/>
      <c r="D12" s="1775">
        <f t="shared" si="0"/>
        <v>33022</v>
      </c>
      <c r="E12" s="585">
        <v>33115</v>
      </c>
      <c r="F12" s="1775">
        <f t="shared" si="1"/>
        <v>33115</v>
      </c>
    </row>
    <row r="13" spans="1:6" ht="13.7" customHeight="1" x14ac:dyDescent="0.2">
      <c r="A13" s="716" t="s">
        <v>993</v>
      </c>
      <c r="B13" s="1772">
        <f>SUM('Revenues 9-14'!C6:D6)</f>
        <v>33168</v>
      </c>
      <c r="C13" s="585"/>
      <c r="D13" s="1775">
        <f t="shared" si="0"/>
        <v>33168</v>
      </c>
      <c r="E13" s="585">
        <v>33116</v>
      </c>
      <c r="F13" s="1775">
        <f t="shared" si="1"/>
        <v>33116</v>
      </c>
    </row>
    <row r="14" spans="1:6" ht="13.7" customHeight="1" x14ac:dyDescent="0.2">
      <c r="A14" s="716" t="s">
        <v>430</v>
      </c>
      <c r="B14" s="1772">
        <f>SUM('Revenues 9-14'!C7:D7,'Revenues 9-14'!F7:H7)</f>
        <v>26535</v>
      </c>
      <c r="C14" s="585"/>
      <c r="D14" s="1775">
        <f t="shared" si="0"/>
        <v>26535</v>
      </c>
      <c r="E14" s="585">
        <v>26493</v>
      </c>
      <c r="F14" s="1775">
        <f t="shared" si="1"/>
        <v>26493</v>
      </c>
    </row>
    <row r="15" spans="1:6" ht="13.7" customHeight="1" x14ac:dyDescent="0.2">
      <c r="A15" s="716" t="s">
        <v>1220</v>
      </c>
      <c r="B15" s="1772">
        <f>'Revenues 9-14'!E9</f>
        <v>0</v>
      </c>
      <c r="C15" s="585"/>
      <c r="D15" s="1775">
        <f t="shared" si="0"/>
        <v>0</v>
      </c>
      <c r="E15" s="585">
        <v>0</v>
      </c>
      <c r="F15" s="1775">
        <f t="shared" si="1"/>
        <v>0</v>
      </c>
    </row>
    <row r="16" spans="1:6" ht="13.7" customHeight="1" x14ac:dyDescent="0.2">
      <c r="A16" s="716" t="s">
        <v>1221</v>
      </c>
      <c r="B16" s="1772">
        <f>'Revenues 9-14'!G8</f>
        <v>152973</v>
      </c>
      <c r="C16" s="585"/>
      <c r="D16" s="1775">
        <f t="shared" si="0"/>
        <v>152973</v>
      </c>
      <c r="E16" s="585">
        <v>160002</v>
      </c>
      <c r="F16" s="1775">
        <f t="shared" si="1"/>
        <v>160002</v>
      </c>
    </row>
    <row r="17" spans="1:6" ht="13.7" customHeight="1" x14ac:dyDescent="0.2">
      <c r="A17" s="716" t="s">
        <v>1222</v>
      </c>
      <c r="B17" s="1772">
        <f>'Revenues 9-14'!C10</f>
        <v>0</v>
      </c>
      <c r="C17" s="585"/>
      <c r="D17" s="1775">
        <f t="shared" si="0"/>
        <v>0</v>
      </c>
      <c r="E17" s="585">
        <v>0</v>
      </c>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2857650</v>
      </c>
      <c r="C19" s="1773">
        <f>SUM(C4:C18)</f>
        <v>0</v>
      </c>
      <c r="D19" s="1773">
        <f>SUM(D4:D18)</f>
        <v>2857650</v>
      </c>
      <c r="E19" s="1773">
        <f>SUM(E4:E18)</f>
        <v>2898467</v>
      </c>
      <c r="F19" s="1773">
        <f>SUM(F4:F18)</f>
        <v>2898467</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Footer>&amp;C65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I11" sqref="I1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650</v>
      </c>
      <c r="B1" s="2208"/>
      <c r="C1" s="722"/>
    </row>
    <row r="2" spans="1:7" ht="33.75" x14ac:dyDescent="0.2">
      <c r="A2" s="2216" t="s">
        <v>1905</v>
      </c>
      <c r="B2" s="2217"/>
      <c r="C2" s="1909" t="s">
        <v>2038</v>
      </c>
      <c r="D2" s="724" t="s">
        <v>2045</v>
      </c>
      <c r="E2" s="724" t="s">
        <v>2046</v>
      </c>
      <c r="F2" s="1909" t="s">
        <v>2039</v>
      </c>
    </row>
    <row r="3" spans="1:7" ht="15.75" customHeight="1" x14ac:dyDescent="0.2">
      <c r="A3" s="2220" t="s">
        <v>1176</v>
      </c>
      <c r="B3" s="2221"/>
      <c r="C3" s="2209"/>
      <c r="D3" s="2210"/>
      <c r="E3" s="2210"/>
      <c r="F3" s="2211"/>
    </row>
    <row r="4" spans="1:7" ht="12.75" customHeight="1" thickBot="1" x14ac:dyDescent="0.25">
      <c r="A4" s="2218" t="s">
        <v>651</v>
      </c>
      <c r="B4" s="2219"/>
      <c r="C4" s="581"/>
      <c r="D4" s="581"/>
      <c r="E4" s="581"/>
      <c r="F4" s="1777">
        <f>SUM(C4+D4)-E4</f>
        <v>0</v>
      </c>
    </row>
    <row r="5" spans="1:7" ht="15.75" customHeight="1" thickTop="1" x14ac:dyDescent="0.2">
      <c r="A5" s="2203" t="s">
        <v>1172</v>
      </c>
      <c r="B5" s="2204"/>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5" t="s">
        <v>652</v>
      </c>
      <c r="B15" s="2206"/>
      <c r="C15" s="1777">
        <f>SUM(C6:C14)</f>
        <v>0</v>
      </c>
      <c r="D15" s="1777">
        <f>SUM(D6:D14)</f>
        <v>0</v>
      </c>
      <c r="E15" s="1777">
        <f>SUM(E6:E14)</f>
        <v>0</v>
      </c>
      <c r="F15" s="1777">
        <f>SUM(F6:F14)</f>
        <v>0</v>
      </c>
      <c r="G15" s="552"/>
    </row>
    <row r="16" spans="1:7" s="202" customFormat="1" ht="15.75" customHeight="1" thickTop="1" x14ac:dyDescent="0.2">
      <c r="A16" s="2215" t="s">
        <v>1173</v>
      </c>
      <c r="B16" s="2204"/>
      <c r="C16" s="2212"/>
      <c r="D16" s="2213"/>
      <c r="E16" s="2213"/>
      <c r="F16" s="2214"/>
    </row>
    <row r="17" spans="1:11" ht="12.75" customHeight="1" thickBot="1" x14ac:dyDescent="0.25">
      <c r="A17" s="2228" t="s">
        <v>66</v>
      </c>
      <c r="B17" s="2229"/>
      <c r="C17" s="727"/>
      <c r="D17" s="585"/>
      <c r="E17" s="727"/>
      <c r="F17" s="1777">
        <f>SUM(C17+D17)-E17</f>
        <v>0</v>
      </c>
    </row>
    <row r="18" spans="1:11" ht="12.75" customHeight="1" thickTop="1" thickBot="1" x14ac:dyDescent="0.25">
      <c r="A18" s="2228" t="s">
        <v>6</v>
      </c>
      <c r="B18" s="2229"/>
      <c r="C18" s="727"/>
      <c r="D18" s="585"/>
      <c r="E18" s="727"/>
      <c r="F18" s="1777">
        <f>SUM(C18+D18)-E18</f>
        <v>0</v>
      </c>
    </row>
    <row r="19" spans="1:11" ht="12.75" customHeight="1" thickTop="1" thickBot="1" x14ac:dyDescent="0.25">
      <c r="A19" s="2228" t="s">
        <v>406</v>
      </c>
      <c r="B19" s="2229"/>
      <c r="C19" s="727"/>
      <c r="D19" s="585"/>
      <c r="E19" s="727"/>
      <c r="F19" s="1777">
        <f>SUM(C19+D19)-E19</f>
        <v>0</v>
      </c>
    </row>
    <row r="20" spans="1:11" ht="12.75" customHeight="1" thickTop="1" thickBot="1" x14ac:dyDescent="0.25">
      <c r="A20" s="2228" t="s">
        <v>468</v>
      </c>
      <c r="B20" s="2229"/>
      <c r="C20" s="727"/>
      <c r="D20" s="585"/>
      <c r="E20" s="727"/>
      <c r="F20" s="1777">
        <f>SUM(C20+D20)-E20</f>
        <v>0</v>
      </c>
    </row>
    <row r="21" spans="1:11" ht="14.25" thickTop="1" thickBot="1" x14ac:dyDescent="0.25">
      <c r="A21" s="2205" t="s">
        <v>653</v>
      </c>
      <c r="B21" s="2206"/>
      <c r="C21" s="1777">
        <f>SUM(C17:C20)</f>
        <v>0</v>
      </c>
      <c r="D21" s="1777">
        <f>SUM(D17:D20)</f>
        <v>0</v>
      </c>
      <c r="E21" s="1777">
        <f>SUM(E17:E20)</f>
        <v>0</v>
      </c>
      <c r="F21" s="1777">
        <f>SUM(F17:F20)</f>
        <v>0</v>
      </c>
      <c r="G21" s="552"/>
    </row>
    <row r="22" spans="1:11" ht="15.75" customHeight="1" thickTop="1" x14ac:dyDescent="0.2">
      <c r="A22" s="2230" t="s">
        <v>1174</v>
      </c>
      <c r="B22" s="2204"/>
      <c r="C22" s="2212"/>
      <c r="D22" s="2213"/>
      <c r="E22" s="2213"/>
      <c r="F22" s="2214"/>
    </row>
    <row r="23" spans="1:11" ht="13.5" thickBot="1" x14ac:dyDescent="0.25">
      <c r="A23" s="2218" t="s">
        <v>654</v>
      </c>
      <c r="B23" s="2219"/>
      <c r="C23" s="581"/>
      <c r="D23" s="581"/>
      <c r="E23" s="581"/>
      <c r="F23" s="1777">
        <f>SUM(C23+D23)-E23</f>
        <v>0</v>
      </c>
      <c r="G23" s="552"/>
    </row>
    <row r="24" spans="1:11" ht="15.75" customHeight="1" thickTop="1" x14ac:dyDescent="0.2">
      <c r="A24" s="2230" t="s">
        <v>1175</v>
      </c>
      <c r="B24" s="2204"/>
      <c r="C24" s="2212"/>
      <c r="D24" s="2213"/>
      <c r="E24" s="2213"/>
      <c r="F24" s="2214"/>
    </row>
    <row r="25" spans="1:11" ht="13.5" thickBot="1" x14ac:dyDescent="0.25">
      <c r="A25" s="2218" t="s">
        <v>655</v>
      </c>
      <c r="B25" s="2219"/>
      <c r="C25" s="581"/>
      <c r="D25" s="581"/>
      <c r="E25" s="581"/>
      <c r="F25" s="1777">
        <f>SUM(C25+D25)-E25</f>
        <v>0</v>
      </c>
      <c r="G25" s="552"/>
    </row>
    <row r="26" spans="1:11" ht="15.75" customHeight="1" thickTop="1" x14ac:dyDescent="0.2">
      <c r="A26" s="2203" t="s">
        <v>678</v>
      </c>
      <c r="B26" s="2204"/>
      <c r="C26" s="728"/>
      <c r="D26" s="728"/>
      <c r="E26" s="728"/>
      <c r="F26" s="729"/>
    </row>
    <row r="27" spans="1:11" ht="13.5" thickBot="1" x14ac:dyDescent="0.25">
      <c r="A27" s="2205" t="s">
        <v>1130</v>
      </c>
      <c r="B27" s="2206"/>
      <c r="C27" s="585"/>
      <c r="D27" s="585"/>
      <c r="E27" s="585"/>
      <c r="F27" s="1777">
        <f>SUM(C27+D27)-E27</f>
        <v>0</v>
      </c>
      <c r="G27" s="552"/>
    </row>
    <row r="28" spans="1:11" ht="7.5" customHeight="1" thickTop="1" x14ac:dyDescent="0.2">
      <c r="A28" s="594"/>
    </row>
    <row r="29" spans="1:11" ht="23.25" customHeight="1" x14ac:dyDescent="0.2">
      <c r="A29" s="2231" t="s">
        <v>603</v>
      </c>
      <c r="B29" s="2208"/>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2114</v>
      </c>
      <c r="B31" s="734">
        <v>39264</v>
      </c>
      <c r="C31" s="735">
        <v>724618</v>
      </c>
      <c r="D31" s="736" t="s">
        <v>2113</v>
      </c>
      <c r="E31" s="735">
        <v>295349</v>
      </c>
      <c r="F31" s="735"/>
      <c r="G31" s="735"/>
      <c r="H31" s="735">
        <v>53987</v>
      </c>
      <c r="I31" s="1778">
        <f>((E31+F31)-H31)+G31</f>
        <v>241362</v>
      </c>
      <c r="J31" s="735"/>
      <c r="K31" s="737"/>
    </row>
    <row r="32" spans="1:11" ht="12" customHeight="1" x14ac:dyDescent="0.2">
      <c r="A32" s="733" t="s">
        <v>2115</v>
      </c>
      <c r="B32" s="734">
        <v>42491</v>
      </c>
      <c r="C32" s="735">
        <v>87116</v>
      </c>
      <c r="D32" s="736" t="s">
        <v>2116</v>
      </c>
      <c r="E32" s="735">
        <v>52376</v>
      </c>
      <c r="F32" s="735"/>
      <c r="G32" s="735"/>
      <c r="H32" s="735">
        <v>17114</v>
      </c>
      <c r="I32" s="1778">
        <f>((E32+F32)-H32)+G32</f>
        <v>35262</v>
      </c>
      <c r="J32" s="735"/>
      <c r="K32" s="737"/>
    </row>
    <row r="33" spans="1:11" ht="12" customHeight="1" x14ac:dyDescent="0.2">
      <c r="A33" s="733" t="s">
        <v>2117</v>
      </c>
      <c r="B33" s="734">
        <v>42612</v>
      </c>
      <c r="C33" s="735">
        <v>92033</v>
      </c>
      <c r="D33" s="736" t="s">
        <v>2116</v>
      </c>
      <c r="E33" s="735">
        <v>92033</v>
      </c>
      <c r="F33" s="735"/>
      <c r="G33" s="735"/>
      <c r="H33" s="735">
        <v>17444</v>
      </c>
      <c r="I33" s="1778">
        <f t="shared" ref="I33:I48" si="1">((E33+F33)-H33)+G33</f>
        <v>74589</v>
      </c>
      <c r="J33" s="735"/>
      <c r="K33" s="737"/>
    </row>
    <row r="34" spans="1:11" ht="12" customHeight="1" x14ac:dyDescent="0.2">
      <c r="A34" s="733" t="s">
        <v>2115</v>
      </c>
      <c r="B34" s="734">
        <v>43069</v>
      </c>
      <c r="C34" s="735">
        <v>92054</v>
      </c>
      <c r="D34" s="736" t="s">
        <v>2116</v>
      </c>
      <c r="E34" s="735"/>
      <c r="F34" s="735">
        <v>92054</v>
      </c>
      <c r="G34" s="735"/>
      <c r="H34" s="735">
        <v>19051</v>
      </c>
      <c r="I34" s="1778">
        <f t="shared" si="1"/>
        <v>73003</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995821</v>
      </c>
      <c r="D49" s="746"/>
      <c r="E49" s="1778">
        <f t="shared" ref="E49:J49" si="2">SUM(E31:E48)</f>
        <v>439758</v>
      </c>
      <c r="F49" s="1778">
        <f t="shared" si="2"/>
        <v>92054</v>
      </c>
      <c r="G49" s="1778">
        <f t="shared" si="2"/>
        <v>0</v>
      </c>
      <c r="H49" s="1778">
        <f t="shared" si="2"/>
        <v>107596</v>
      </c>
      <c r="I49" s="1778">
        <f t="shared" si="2"/>
        <v>424216</v>
      </c>
      <c r="J49" s="1778">
        <f t="shared" si="2"/>
        <v>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2" t="s">
        <v>605</v>
      </c>
      <c r="C52" s="2223"/>
      <c r="D52" s="2223"/>
      <c r="E52" s="750" t="s">
        <v>900</v>
      </c>
      <c r="F52" s="2224"/>
      <c r="G52" s="2225"/>
      <c r="H52" s="737"/>
      <c r="I52" s="737"/>
      <c r="J52" s="747"/>
    </row>
    <row r="53" spans="1:11" ht="11.25" customHeight="1" x14ac:dyDescent="0.2">
      <c r="A53" s="751" t="s">
        <v>969</v>
      </c>
      <c r="B53" s="752" t="s">
        <v>1008</v>
      </c>
      <c r="C53" s="747"/>
      <c r="D53" s="738"/>
      <c r="E53" s="750" t="s">
        <v>518</v>
      </c>
      <c r="F53" s="2226"/>
      <c r="G53" s="2227"/>
      <c r="H53" s="737"/>
      <c r="I53" s="737"/>
      <c r="J53" s="747"/>
    </row>
    <row r="54" spans="1:11" ht="11.25" customHeight="1" x14ac:dyDescent="0.2">
      <c r="A54" s="753" t="s">
        <v>970</v>
      </c>
      <c r="B54" s="748" t="s">
        <v>1009</v>
      </c>
      <c r="C54" s="747"/>
      <c r="D54" s="738"/>
      <c r="E54" s="750" t="s">
        <v>519</v>
      </c>
      <c r="F54" s="2226"/>
      <c r="G54" s="222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Footer>&amp;C66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23" colorId="8" zoomScale="110" zoomScaleNormal="110" workbookViewId="0">
      <selection activeCell="H31" sqref="H31:K3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911</v>
      </c>
      <c r="B1" s="2257"/>
      <c r="C1" s="2257"/>
      <c r="D1" s="2257"/>
      <c r="E1" s="2257"/>
      <c r="F1" s="2257"/>
      <c r="G1" s="2258"/>
      <c r="H1" s="1552"/>
      <c r="I1" s="761"/>
      <c r="J1" s="433"/>
    </row>
    <row r="2" spans="1:11" ht="26.25" x14ac:dyDescent="0.2">
      <c r="A2" s="2235" t="s">
        <v>1776</v>
      </c>
      <c r="B2" s="2236"/>
      <c r="C2" s="2236"/>
      <c r="D2" s="2236"/>
      <c r="E2" s="2237"/>
      <c r="F2" s="762" t="s">
        <v>960</v>
      </c>
      <c r="G2" s="763" t="s">
        <v>1773</v>
      </c>
      <c r="H2" s="763" t="s">
        <v>430</v>
      </c>
      <c r="I2" s="763" t="s">
        <v>1220</v>
      </c>
      <c r="J2" s="763" t="s">
        <v>1919</v>
      </c>
      <c r="K2" s="763" t="s">
        <v>140</v>
      </c>
    </row>
    <row r="3" spans="1:11" x14ac:dyDescent="0.2">
      <c r="A3" s="2238" t="s">
        <v>1698</v>
      </c>
      <c r="B3" s="2239"/>
      <c r="C3" s="2239"/>
      <c r="D3" s="2239"/>
      <c r="E3" s="2240"/>
      <c r="F3" s="764"/>
      <c r="G3" s="765"/>
      <c r="H3" s="765"/>
      <c r="I3" s="765"/>
      <c r="J3" s="766"/>
      <c r="K3" s="766"/>
    </row>
    <row r="4" spans="1:11" x14ac:dyDescent="0.2">
      <c r="A4" s="2241" t="s">
        <v>387</v>
      </c>
      <c r="B4" s="2242"/>
      <c r="C4" s="2242"/>
      <c r="D4" s="2242"/>
      <c r="E4" s="2223"/>
      <c r="F4" s="767"/>
      <c r="G4" s="768"/>
      <c r="H4" s="769"/>
      <c r="I4" s="768"/>
      <c r="J4" s="770"/>
      <c r="K4" s="770"/>
    </row>
    <row r="5" spans="1:11" x14ac:dyDescent="0.2">
      <c r="A5" s="2259" t="s">
        <v>1129</v>
      </c>
      <c r="B5" s="2232"/>
      <c r="C5" s="2232"/>
      <c r="D5" s="2232"/>
      <c r="E5" s="2260"/>
      <c r="F5" s="771" t="s">
        <v>903</v>
      </c>
      <c r="G5" s="772"/>
      <c r="H5" s="765">
        <v>25535</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1200</v>
      </c>
    </row>
    <row r="8" spans="1:11" x14ac:dyDescent="0.2">
      <c r="A8" s="779" t="s">
        <v>363</v>
      </c>
      <c r="B8" s="780"/>
      <c r="C8" s="780"/>
      <c r="D8" s="780"/>
      <c r="E8" s="781"/>
      <c r="F8" s="771" t="s">
        <v>906</v>
      </c>
      <c r="G8" s="783"/>
      <c r="H8" s="783"/>
      <c r="I8" s="783"/>
      <c r="J8" s="766">
        <v>3186</v>
      </c>
      <c r="K8" s="770"/>
    </row>
    <row r="9" spans="1:11" x14ac:dyDescent="0.2">
      <c r="A9" s="779" t="s">
        <v>140</v>
      </c>
      <c r="B9" s="780"/>
      <c r="C9" s="780"/>
      <c r="D9" s="780"/>
      <c r="E9" s="781"/>
      <c r="F9" s="778" t="s">
        <v>908</v>
      </c>
      <c r="G9" s="783"/>
      <c r="H9" s="772"/>
      <c r="I9" s="772"/>
      <c r="J9" s="782"/>
      <c r="K9" s="766">
        <v>10534</v>
      </c>
    </row>
    <row r="10" spans="1:11" x14ac:dyDescent="0.2">
      <c r="A10" s="2259" t="s">
        <v>1920</v>
      </c>
      <c r="B10" s="2232"/>
      <c r="C10" s="2232"/>
      <c r="D10" s="2232"/>
      <c r="E10" s="2261"/>
      <c r="F10" s="784" t="s">
        <v>917</v>
      </c>
      <c r="G10" s="783"/>
      <c r="H10" s="785"/>
      <c r="I10" s="765"/>
      <c r="J10" s="766"/>
      <c r="K10" s="766"/>
    </row>
    <row r="11" spans="1:11" x14ac:dyDescent="0.2">
      <c r="A11" s="2259" t="s">
        <v>162</v>
      </c>
      <c r="B11" s="2232"/>
      <c r="C11" s="2232"/>
      <c r="D11" s="2232"/>
      <c r="E11" s="2260"/>
      <c r="F11" s="771" t="s">
        <v>907</v>
      </c>
      <c r="G11" s="772"/>
      <c r="H11" s="765"/>
      <c r="I11" s="765"/>
      <c r="J11" s="766"/>
      <c r="K11" s="774"/>
    </row>
    <row r="12" spans="1:11" ht="13.5" thickBot="1" x14ac:dyDescent="0.25">
      <c r="A12" s="2249" t="s">
        <v>961</v>
      </c>
      <c r="B12" s="2250"/>
      <c r="C12" s="2250"/>
      <c r="D12" s="2250"/>
      <c r="E12" s="2251"/>
      <c r="F12" s="1779"/>
      <c r="G12" s="1780">
        <f>SUM(G5:G11)</f>
        <v>0</v>
      </c>
      <c r="H12" s="1780">
        <f>SUM(H5:H11)</f>
        <v>25535</v>
      </c>
      <c r="I12" s="1780">
        <f>SUM(I5:I11)</f>
        <v>0</v>
      </c>
      <c r="J12" s="1780">
        <f>SUM(J5:J11)</f>
        <v>3186</v>
      </c>
      <c r="K12" s="1780">
        <f>SUM(K5:K11)</f>
        <v>11734</v>
      </c>
    </row>
    <row r="13" spans="1:11" ht="13.5" thickTop="1" x14ac:dyDescent="0.2">
      <c r="A13" s="2243" t="s">
        <v>388</v>
      </c>
      <c r="B13" s="2244"/>
      <c r="C13" s="2244"/>
      <c r="D13" s="2244"/>
      <c r="E13" s="2245"/>
      <c r="F13" s="786"/>
      <c r="G13" s="787"/>
      <c r="H13" s="788"/>
      <c r="I13" s="789"/>
      <c r="J13" s="789"/>
      <c r="K13" s="789"/>
    </row>
    <row r="14" spans="1:11" x14ac:dyDescent="0.2">
      <c r="A14" s="2265" t="s">
        <v>476</v>
      </c>
      <c r="B14" s="2265"/>
      <c r="C14" s="2265"/>
      <c r="D14" s="2265"/>
      <c r="E14" s="2266"/>
      <c r="F14" s="790" t="s">
        <v>909</v>
      </c>
      <c r="G14" s="783"/>
      <c r="H14" s="765">
        <v>25535</v>
      </c>
      <c r="I14" s="772"/>
      <c r="J14" s="774"/>
      <c r="K14" s="766">
        <v>11734</v>
      </c>
    </row>
    <row r="15" spans="1:11" x14ac:dyDescent="0.2">
      <c r="A15" s="2232" t="s">
        <v>4</v>
      </c>
      <c r="B15" s="2232"/>
      <c r="C15" s="2232"/>
      <c r="D15" s="2232"/>
      <c r="E15" s="2260"/>
      <c r="F15" s="790" t="s">
        <v>910</v>
      </c>
      <c r="G15" s="772"/>
      <c r="H15" s="765"/>
      <c r="I15" s="765"/>
      <c r="J15" s="766">
        <v>3186</v>
      </c>
      <c r="K15" s="766"/>
    </row>
    <row r="16" spans="1:11" x14ac:dyDescent="0.2">
      <c r="A16" s="2232" t="s">
        <v>316</v>
      </c>
      <c r="B16" s="2232"/>
      <c r="C16" s="2232"/>
      <c r="D16" s="2232"/>
      <c r="E16" s="2260"/>
      <c r="F16" s="790" t="s">
        <v>980</v>
      </c>
      <c r="G16" s="773"/>
      <c r="H16" s="768"/>
      <c r="I16" s="768"/>
      <c r="J16" s="770"/>
      <c r="K16" s="770"/>
    </row>
    <row r="17" spans="1:11" x14ac:dyDescent="0.2">
      <c r="A17" s="2254" t="s">
        <v>992</v>
      </c>
      <c r="B17" s="2254"/>
      <c r="C17" s="2254"/>
      <c r="D17" s="2254"/>
      <c r="E17" s="2255"/>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67" t="s">
        <v>1916</v>
      </c>
      <c r="B19" s="2267"/>
      <c r="C19" s="2267"/>
      <c r="D19" s="2267"/>
      <c r="E19" s="2268"/>
      <c r="F19" s="790" t="s">
        <v>990</v>
      </c>
      <c r="G19" s="783"/>
      <c r="H19" s="783"/>
      <c r="I19" s="783"/>
      <c r="J19" s="766" t="s">
        <v>1231</v>
      </c>
      <c r="K19" s="796"/>
    </row>
    <row r="20" spans="1:11" x14ac:dyDescent="0.2">
      <c r="A20" s="2246" t="s">
        <v>1921</v>
      </c>
      <c r="B20" s="2247"/>
      <c r="C20" s="2247"/>
      <c r="D20" s="2247"/>
      <c r="E20" s="2248"/>
      <c r="F20" s="790" t="s">
        <v>991</v>
      </c>
      <c r="G20" s="783"/>
      <c r="H20" s="783"/>
      <c r="I20" s="783"/>
      <c r="J20" s="766"/>
      <c r="K20" s="796"/>
    </row>
    <row r="21" spans="1:11" ht="13.5" thickBot="1" x14ac:dyDescent="0.25">
      <c r="A21" s="2252" t="s">
        <v>659</v>
      </c>
      <c r="B21" s="2252"/>
      <c r="C21" s="2252"/>
      <c r="D21" s="2252"/>
      <c r="E21" s="2252"/>
      <c r="F21" s="1781"/>
      <c r="G21" s="793"/>
      <c r="H21" s="797"/>
      <c r="I21" s="797"/>
      <c r="J21" s="1782">
        <f>SUM(J18:J20)</f>
        <v>0</v>
      </c>
      <c r="K21" s="794"/>
    </row>
    <row r="22" spans="1:11" ht="13.5" thickTop="1" x14ac:dyDescent="0.2">
      <c r="A22" s="2232" t="s">
        <v>1922</v>
      </c>
      <c r="B22" s="2232"/>
      <c r="C22" s="2232"/>
      <c r="D22" s="2232"/>
      <c r="E22" s="2260"/>
      <c r="F22" s="790" t="s">
        <v>917</v>
      </c>
      <c r="G22" s="783"/>
      <c r="H22" s="765"/>
      <c r="I22" s="765"/>
      <c r="J22" s="798"/>
      <c r="K22" s="766"/>
    </row>
    <row r="23" spans="1:11" ht="13.5" thickBot="1" x14ac:dyDescent="0.25">
      <c r="A23" s="2253" t="s">
        <v>962</v>
      </c>
      <c r="B23" s="2252"/>
      <c r="C23" s="2252"/>
      <c r="D23" s="2252"/>
      <c r="E23" s="2252"/>
      <c r="F23" s="1783"/>
      <c r="G23" s="1780">
        <f>SUM(G14:G16,G21,G22)</f>
        <v>0</v>
      </c>
      <c r="H23" s="1780">
        <f>SUM(H14:H16,H21,H22)</f>
        <v>25535</v>
      </c>
      <c r="I23" s="1780">
        <f>SUM(I14:I16,I21,I22)</f>
        <v>0</v>
      </c>
      <c r="J23" s="1780">
        <f>SUM(J14:J16,J21,J22)</f>
        <v>3186</v>
      </c>
      <c r="K23" s="1780">
        <f>SUM(K14:K16,K21,K22)</f>
        <v>11734</v>
      </c>
    </row>
    <row r="24" spans="1:11" ht="14.25" thickTop="1" thickBot="1" x14ac:dyDescent="0.25">
      <c r="A24" s="2253" t="s">
        <v>2026</v>
      </c>
      <c r="B24" s="2252"/>
      <c r="C24" s="2252"/>
      <c r="D24" s="2252"/>
      <c r="E24" s="2252"/>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t="s">
        <v>2134</v>
      </c>
      <c r="E30" s="809" t="s">
        <v>792</v>
      </c>
      <c r="F30" s="202"/>
      <c r="G30" s="806"/>
    </row>
    <row r="31" spans="1:11" x14ac:dyDescent="0.2">
      <c r="A31" s="810"/>
      <c r="D31" s="237"/>
      <c r="E31" s="811" t="s">
        <v>793</v>
      </c>
      <c r="F31" s="812" t="s">
        <v>560</v>
      </c>
      <c r="G31" s="765"/>
      <c r="H31" s="2262"/>
      <c r="I31" s="2263"/>
      <c r="J31" s="2263"/>
      <c r="K31" s="2263"/>
    </row>
    <row r="32" spans="1:11" x14ac:dyDescent="0.2">
      <c r="A32" s="810"/>
      <c r="B32" s="237"/>
      <c r="C32" s="237"/>
      <c r="D32" s="237"/>
      <c r="E32" s="806"/>
      <c r="F32" s="812" t="s">
        <v>561</v>
      </c>
      <c r="G32" s="765"/>
      <c r="H32" s="2264"/>
      <c r="I32" s="2263"/>
      <c r="J32" s="2263"/>
      <c r="K32" s="2263"/>
    </row>
    <row r="33" spans="1:11" ht="1.5" customHeight="1" x14ac:dyDescent="0.2">
      <c r="A33" s="813" t="s">
        <v>1231</v>
      </c>
      <c r="B33" s="364"/>
      <c r="C33" s="364"/>
      <c r="D33" s="364"/>
      <c r="E33" s="364"/>
      <c r="F33" s="364"/>
      <c r="G33" s="814"/>
      <c r="H33" s="2264"/>
      <c r="I33" s="2263"/>
      <c r="J33" s="2263"/>
      <c r="K33" s="2263"/>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2" t="s">
        <v>562</v>
      </c>
      <c r="B41" s="2233"/>
      <c r="C41" s="2233"/>
      <c r="D41" s="2233"/>
      <c r="E41" s="2233"/>
      <c r="F41" s="223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 xml:space="preserve">&amp;C&amp;"Arial,Bold"Schedule of Restricted Local Tax Levies and Selected Revenues Sources 
Schedule of Tort Immunity Expenditures </oddHeader>
    <oddFooter>&amp;C67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2035</v>
      </c>
      <c r="B1" s="2272"/>
      <c r="C1" s="2273"/>
      <c r="D1" s="827"/>
      <c r="E1" s="828"/>
      <c r="F1" s="828"/>
      <c r="G1" s="829"/>
      <c r="H1" s="830"/>
      <c r="I1" s="831"/>
      <c r="J1" s="2269"/>
      <c r="K1" s="2270"/>
      <c r="L1" s="2270"/>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217233</v>
      </c>
      <c r="D5" s="842"/>
      <c r="E5" s="842"/>
      <c r="F5" s="1782">
        <f>(C5+D5)-E5</f>
        <v>217233</v>
      </c>
      <c r="G5" s="838"/>
      <c r="H5" s="843"/>
      <c r="I5" s="843"/>
      <c r="J5" s="843"/>
      <c r="K5" s="794"/>
      <c r="L5" s="1791">
        <f>F5-K5</f>
        <v>217233</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5990265</v>
      </c>
      <c r="D8" s="845"/>
      <c r="E8" s="845"/>
      <c r="F8" s="1782">
        <f>(C8+D8)-E8</f>
        <v>5990265</v>
      </c>
      <c r="G8" s="844">
        <v>50</v>
      </c>
      <c r="H8" s="766">
        <v>3069911</v>
      </c>
      <c r="I8" s="766">
        <v>119987</v>
      </c>
      <c r="J8" s="766"/>
      <c r="K8" s="1791">
        <f>(H8+I8)-J8</f>
        <v>3189898</v>
      </c>
      <c r="L8" s="1791">
        <f>F8-K8</f>
        <v>2800367</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3774345</v>
      </c>
      <c r="D10" s="847">
        <v>103098</v>
      </c>
      <c r="E10" s="847"/>
      <c r="F10" s="1786">
        <f>(C10+D10)-E10</f>
        <v>3877443</v>
      </c>
      <c r="G10" s="844">
        <v>20</v>
      </c>
      <c r="H10" s="848">
        <v>303512</v>
      </c>
      <c r="I10" s="848">
        <v>17497</v>
      </c>
      <c r="J10" s="848"/>
      <c r="K10" s="1791">
        <f>(H10+I10)-J10</f>
        <v>321009</v>
      </c>
      <c r="L10" s="1791">
        <f>F10-K10</f>
        <v>3556434</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1703452</v>
      </c>
      <c r="D12" s="845">
        <v>18222</v>
      </c>
      <c r="E12" s="845"/>
      <c r="F12" s="1782">
        <f>(C12+D12)-E12</f>
        <v>1721674</v>
      </c>
      <c r="G12" s="844">
        <v>10</v>
      </c>
      <c r="H12" s="766">
        <v>1619393</v>
      </c>
      <c r="I12" s="766">
        <v>35614</v>
      </c>
      <c r="J12" s="766"/>
      <c r="K12" s="1791">
        <f>(H12+I12)-J12</f>
        <v>1655007</v>
      </c>
      <c r="L12" s="1791">
        <f>F12-K12</f>
        <v>66667</v>
      </c>
    </row>
    <row r="13" spans="1:14" ht="14.25" thickTop="1" thickBot="1" x14ac:dyDescent="0.25">
      <c r="A13" s="849" t="s">
        <v>1184</v>
      </c>
      <c r="B13" s="841">
        <v>252</v>
      </c>
      <c r="C13" s="845">
        <v>1220353</v>
      </c>
      <c r="D13" s="845">
        <v>239027</v>
      </c>
      <c r="E13" s="845">
        <v>197308</v>
      </c>
      <c r="F13" s="1782">
        <f>(C13+D13)-E13</f>
        <v>1262072</v>
      </c>
      <c r="G13" s="844">
        <v>5</v>
      </c>
      <c r="H13" s="766">
        <v>957985</v>
      </c>
      <c r="I13" s="766">
        <v>88780</v>
      </c>
      <c r="J13" s="766">
        <v>197308</v>
      </c>
      <c r="K13" s="1791">
        <f>(H13+I13)-J13</f>
        <v>849457</v>
      </c>
      <c r="L13" s="1791">
        <f>F13-K13</f>
        <v>412615</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12905648</v>
      </c>
      <c r="D16" s="1782">
        <f>SUM(D3,D5:D6,D8:D10,D12:D15)</f>
        <v>360347</v>
      </c>
      <c r="E16" s="1782">
        <f>SUM(E3,E5:E6,E8:E10,E12:E15)</f>
        <v>197308</v>
      </c>
      <c r="F16" s="1782">
        <f>SUM(F3,F5:F6,F8:F10,F12:F15)</f>
        <v>13068687</v>
      </c>
      <c r="G16" s="844"/>
      <c r="H16" s="1782">
        <f>SUM(H3,H6,H8:H10,H12:H14,)</f>
        <v>5950801</v>
      </c>
      <c r="I16" s="1782">
        <f>SUM(I3,I6,I8:I10,I12:I14,)</f>
        <v>261878</v>
      </c>
      <c r="J16" s="1782">
        <f>SUM(J3,J6,J8:J10,J12:J14,)</f>
        <v>197308</v>
      </c>
      <c r="K16" s="1782">
        <f>(H16+I16)-J16</f>
        <v>6015371</v>
      </c>
      <c r="L16" s="1782">
        <f>F16-K16</f>
        <v>7053316</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261878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 xml:space="preserve">&amp;C </oddHeader>
    <oddFooter>&amp;C68</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70"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5850048</v>
      </c>
      <c r="G8" s="866"/>
    </row>
    <row r="9" spans="1:7" x14ac:dyDescent="0.2">
      <c r="A9" s="870" t="s">
        <v>480</v>
      </c>
      <c r="B9" s="871" t="s">
        <v>1989</v>
      </c>
      <c r="C9" s="872"/>
      <c r="D9" s="870" t="s">
        <v>522</v>
      </c>
      <c r="E9" s="869"/>
      <c r="F9" s="1935">
        <f>'Expenditures 15-22'!K151</f>
        <v>332794</v>
      </c>
      <c r="G9" s="873"/>
    </row>
    <row r="10" spans="1:7" x14ac:dyDescent="0.2">
      <c r="A10" s="870" t="s">
        <v>520</v>
      </c>
      <c r="B10" s="871" t="s">
        <v>1990</v>
      </c>
      <c r="C10" s="872"/>
      <c r="D10" s="870" t="s">
        <v>522</v>
      </c>
      <c r="E10" s="869"/>
      <c r="F10" s="1935">
        <f>'Expenditures 15-22'!K174</f>
        <v>67278</v>
      </c>
      <c r="G10" s="873"/>
    </row>
    <row r="11" spans="1:7" x14ac:dyDescent="0.2">
      <c r="A11" s="870" t="s">
        <v>481</v>
      </c>
      <c r="B11" s="871" t="s">
        <v>1991</v>
      </c>
      <c r="C11" s="872"/>
      <c r="D11" s="870" t="s">
        <v>522</v>
      </c>
      <c r="E11" s="869"/>
      <c r="F11" s="1935">
        <f>'Expenditures 15-22'!K210</f>
        <v>519116</v>
      </c>
      <c r="G11" s="873"/>
    </row>
    <row r="12" spans="1:7" x14ac:dyDescent="0.2">
      <c r="A12" s="870" t="s">
        <v>482</v>
      </c>
      <c r="B12" s="871" t="s">
        <v>1992</v>
      </c>
      <c r="C12" s="872"/>
      <c r="D12" s="870" t="s">
        <v>522</v>
      </c>
      <c r="E12" s="869"/>
      <c r="F12" s="1935">
        <f>'Expenditures 15-22'!K295</f>
        <v>368767</v>
      </c>
      <c r="G12" s="873"/>
    </row>
    <row r="13" spans="1:7" x14ac:dyDescent="0.2">
      <c r="A13" s="870" t="s">
        <v>108</v>
      </c>
      <c r="B13" s="871" t="s">
        <v>1993</v>
      </c>
      <c r="C13" s="872"/>
      <c r="D13" s="870" t="s">
        <v>522</v>
      </c>
      <c r="E13" s="869"/>
      <c r="F13" s="1935">
        <f>'Expenditures 15-22'!K342</f>
        <v>285588</v>
      </c>
      <c r="G13" s="874"/>
    </row>
    <row r="14" spans="1:7" ht="12" customHeight="1" thickBot="1" x14ac:dyDescent="0.25">
      <c r="A14" s="1792"/>
      <c r="B14" s="1793"/>
      <c r="C14" s="1794"/>
      <c r="D14" s="1795" t="s">
        <v>522</v>
      </c>
      <c r="E14" s="1796" t="s">
        <v>1015</v>
      </c>
      <c r="F14" s="1797">
        <f>SUM(F8:F13)</f>
        <v>7423591</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228148</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7715</v>
      </c>
      <c r="G52" s="866"/>
    </row>
    <row r="53" spans="1:7" x14ac:dyDescent="0.2">
      <c r="A53" s="870" t="s">
        <v>479</v>
      </c>
      <c r="B53" s="870" t="s">
        <v>1551</v>
      </c>
      <c r="C53" s="890">
        <f>'Expenditures 15-22'!B102</f>
        <v>4000</v>
      </c>
      <c r="D53" s="889" t="str">
        <f>'Expenditures 15-22'!A102</f>
        <v>Total Payments to Other Govt Units</v>
      </c>
      <c r="E53" s="869"/>
      <c r="F53" s="1939">
        <f>'Expenditures 15-22'!K102</f>
        <v>187192</v>
      </c>
      <c r="G53" s="866"/>
    </row>
    <row r="54" spans="1:7" x14ac:dyDescent="0.2">
      <c r="A54" s="870" t="s">
        <v>479</v>
      </c>
      <c r="B54" s="870" t="s">
        <v>1552</v>
      </c>
      <c r="C54" s="890" t="s">
        <v>1039</v>
      </c>
      <c r="D54" s="886" t="s">
        <v>1157</v>
      </c>
      <c r="E54" s="869"/>
      <c r="F54" s="1939">
        <f>'Expenditures 15-22'!G114</f>
        <v>152533</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20553</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53987</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53352</v>
      </c>
      <c r="G64" s="866"/>
    </row>
    <row r="65" spans="1:8" x14ac:dyDescent="0.2">
      <c r="A65" s="870" t="s">
        <v>481</v>
      </c>
      <c r="B65" s="870" t="s">
        <v>2002</v>
      </c>
      <c r="C65" s="887" t="s">
        <v>1039</v>
      </c>
      <c r="D65" s="886" t="s">
        <v>1157</v>
      </c>
      <c r="E65" s="869"/>
      <c r="F65" s="1939">
        <f>'Expenditures 15-22'!G210</f>
        <v>19969</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12216</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735665</v>
      </c>
      <c r="G76" s="866"/>
    </row>
    <row r="77" spans="1:8" s="894" customFormat="1" ht="12" customHeight="1" thickTop="1" thickBot="1" x14ac:dyDescent="0.25">
      <c r="A77" s="1801"/>
      <c r="B77" s="1798"/>
      <c r="C77" s="1794"/>
      <c r="D77" s="1799" t="s">
        <v>2012</v>
      </c>
      <c r="E77" s="1796"/>
      <c r="F77" s="1802">
        <f>(F14-F76)</f>
        <v>6687926</v>
      </c>
      <c r="G77" s="870"/>
    </row>
    <row r="78" spans="1:8" s="894" customFormat="1" ht="12" customHeight="1" thickTop="1" x14ac:dyDescent="0.2">
      <c r="A78" s="1803"/>
      <c r="B78" s="1798"/>
      <c r="C78" s="1794"/>
      <c r="D78" s="1799" t="s">
        <v>2059</v>
      </c>
      <c r="E78" s="1796"/>
      <c r="F78" s="899">
        <v>690.28</v>
      </c>
      <c r="G78" s="900"/>
      <c r="H78" s="870"/>
    </row>
    <row r="79" spans="1:8" s="894" customFormat="1" ht="12" customHeight="1" thickBot="1" x14ac:dyDescent="0.25">
      <c r="A79" s="1804"/>
      <c r="B79" s="1798"/>
      <c r="C79" s="1794"/>
      <c r="D79" s="1799" t="s">
        <v>2013</v>
      </c>
      <c r="E79" s="1796" t="s">
        <v>1015</v>
      </c>
      <c r="F79" s="1805">
        <f>IF(F78&gt;0,F77/F78," Complete Line 78")</f>
        <v>9688.7147244596399</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45568</v>
      </c>
      <c r="G94" s="913"/>
    </row>
    <row r="95" spans="1:7" x14ac:dyDescent="0.2">
      <c r="A95" s="909" t="s">
        <v>142</v>
      </c>
      <c r="B95" s="909" t="s">
        <v>177</v>
      </c>
      <c r="C95" s="911">
        <v>1700</v>
      </c>
      <c r="D95" s="919" t="str">
        <f>'Revenues 9-14'!A82</f>
        <v>Total District/School Activity Income</v>
      </c>
      <c r="E95" s="907"/>
      <c r="F95" s="1811">
        <f>SUM('Revenues 9-14'!C82,'Revenues 9-14'!D82)</f>
        <v>24406</v>
      </c>
      <c r="G95" s="913"/>
    </row>
    <row r="96" spans="1:7" x14ac:dyDescent="0.2">
      <c r="A96" s="909" t="s">
        <v>479</v>
      </c>
      <c r="B96" s="909" t="s">
        <v>178</v>
      </c>
      <c r="C96" s="911">
        <f>'Revenues 9-14'!B84</f>
        <v>1811</v>
      </c>
      <c r="D96" s="912" t="str">
        <f>'Revenues 9-14'!A84</f>
        <v>Rentals - Regular Textbooks</v>
      </c>
      <c r="E96" s="907"/>
      <c r="F96" s="1811">
        <f>'Revenues 9-14'!C84</f>
        <v>6603</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131099</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33627</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4503</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10534</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351206</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37230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56478</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13052</v>
      </c>
      <c r="G128" s="931"/>
    </row>
    <row r="129" spans="1:7" x14ac:dyDescent="0.2">
      <c r="A129" s="928" t="s">
        <v>685</v>
      </c>
      <c r="B129" s="928" t="s">
        <v>803</v>
      </c>
      <c r="C129" s="933">
        <v>4200</v>
      </c>
      <c r="D129" s="930" t="str">
        <f>'Revenues 9-14'!A201</f>
        <v>Total Food Service</v>
      </c>
      <c r="E129" s="907"/>
      <c r="F129" s="1811">
        <f>SUM('Revenues 9-14'!C201,'Revenues 9-14'!G201)</f>
        <v>266997</v>
      </c>
      <c r="G129" s="931"/>
    </row>
    <row r="130" spans="1:7" x14ac:dyDescent="0.2">
      <c r="A130" s="928" t="s">
        <v>689</v>
      </c>
      <c r="B130" s="928" t="s">
        <v>804</v>
      </c>
      <c r="C130" s="933">
        <v>4300</v>
      </c>
      <c r="D130" s="934" t="str">
        <f>'Revenues 9-14'!A211</f>
        <v>Total Title I</v>
      </c>
      <c r="E130" s="907"/>
      <c r="F130" s="1811">
        <f>SUM('Revenues 9-14'!C211,'Revenues 9-14'!D211,'Revenues 9-14'!F211,'Revenues 9-14'!G211)</f>
        <v>178410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15050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29989</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12585</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146963</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3401</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1367701</v>
      </c>
    </row>
    <row r="179" spans="1:7" ht="12" customHeight="1" x14ac:dyDescent="0.2">
      <c r="A179" s="1792"/>
      <c r="B179" s="1806"/>
      <c r="C179" s="1807"/>
      <c r="D179" s="1808" t="s">
        <v>2015</v>
      </c>
      <c r="E179" s="1809"/>
      <c r="F179" s="1811">
        <f>'PCTC-OEPP 27-28'!F77-F178</f>
        <v>5320225</v>
      </c>
    </row>
    <row r="180" spans="1:7" ht="12" customHeight="1" x14ac:dyDescent="0.2">
      <c r="A180" s="1792"/>
      <c r="B180" s="1806"/>
      <c r="C180" s="1807"/>
      <c r="D180" s="1808" t="s">
        <v>1924</v>
      </c>
      <c r="E180" s="1809"/>
      <c r="F180" s="1811">
        <f>'Cap Outlay Deprec 26'!I18</f>
        <v>261878</v>
      </c>
    </row>
    <row r="181" spans="1:7" ht="12" customHeight="1" x14ac:dyDescent="0.2">
      <c r="A181" s="1792"/>
      <c r="B181" s="1806"/>
      <c r="C181" s="1807"/>
      <c r="D181" s="1808" t="s">
        <v>2016</v>
      </c>
      <c r="E181" s="1809"/>
      <c r="F181" s="1811">
        <f>F179+F180</f>
        <v>5582103</v>
      </c>
    </row>
    <row r="182" spans="1:7" ht="12" customHeight="1" x14ac:dyDescent="0.2">
      <c r="A182" s="1792"/>
      <c r="B182" s="1812"/>
      <c r="C182" s="1807"/>
      <c r="D182" s="1808" t="str">
        <f>D78</f>
        <v>9 Month ADA from District Average Daily Attendance/Prior General State Aid Inquiry 2017-2018</v>
      </c>
      <c r="E182" s="1809"/>
      <c r="F182" s="1813">
        <f>'PCTC-OEPP 27-28'!F78</f>
        <v>690.28</v>
      </c>
      <c r="G182" s="931"/>
    </row>
    <row r="183" spans="1:7" ht="12" customHeight="1" thickBot="1" x14ac:dyDescent="0.25">
      <c r="A183" s="1792"/>
      <c r="B183" s="1812"/>
      <c r="C183" s="1807"/>
      <c r="D183" s="1808" t="s">
        <v>2017</v>
      </c>
      <c r="E183" s="1809" t="s">
        <v>1626</v>
      </c>
      <c r="F183" s="1814">
        <f>F181/F182</f>
        <v>8086.7227791620799</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 xml:space="preserve">&amp;C </oddHeader>
    <oddFooter>&amp;C70</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2075</v>
      </c>
      <c r="B7" s="2295"/>
      <c r="C7" s="2295"/>
      <c r="D7" s="2295"/>
      <c r="E7" s="2295"/>
      <c r="F7" s="2295"/>
      <c r="G7" s="2296"/>
    </row>
    <row r="8" spans="1:7" ht="15.75" customHeight="1" x14ac:dyDescent="0.25">
      <c r="A8" s="2297" t="s">
        <v>2024</v>
      </c>
      <c r="B8" s="2298"/>
      <c r="C8" s="2298"/>
      <c r="D8" s="2298"/>
      <c r="E8" s="2298"/>
      <c r="F8" s="2298"/>
      <c r="G8" s="2299"/>
    </row>
    <row r="9" spans="1:7" ht="35.25" customHeight="1" x14ac:dyDescent="0.25">
      <c r="A9" s="2294" t="s">
        <v>2023</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1941</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677"/>
      <c r="B17" s="1868"/>
      <c r="C17" s="1678"/>
      <c r="D17" s="1867"/>
      <c r="E17" s="1562">
        <f t="shared" ref="E17:E141" si="1">IF(D17&lt;=25000,D17,IF(D17&gt;25000,25000,0))</f>
        <v>0</v>
      </c>
      <c r="F17" s="1815">
        <f t="shared" si="0"/>
        <v>0</v>
      </c>
      <c r="G17" s="1816">
        <f>IF(F17=0,0,D17-F17)</f>
        <v>0</v>
      </c>
      <c r="H17" s="1669"/>
    </row>
    <row r="18" spans="1:8" x14ac:dyDescent="0.25">
      <c r="A18" s="1954" t="s">
        <v>2077</v>
      </c>
      <c r="B18" s="1955" t="s">
        <v>2079</v>
      </c>
      <c r="C18" s="1956" t="s">
        <v>2078</v>
      </c>
      <c r="D18" s="1867">
        <v>37716.54</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12716.54</v>
      </c>
    </row>
    <row r="19" spans="1:8" x14ac:dyDescent="0.25">
      <c r="A19" s="1954" t="s">
        <v>2080</v>
      </c>
      <c r="B19" s="1955" t="s">
        <v>2079</v>
      </c>
      <c r="C19" s="1956" t="s">
        <v>2081</v>
      </c>
      <c r="D19" s="1867">
        <v>10039</v>
      </c>
      <c r="E19" s="1562">
        <f t="shared" si="2"/>
        <v>10039</v>
      </c>
      <c r="F19" s="1815">
        <f t="shared" si="3"/>
        <v>10039</v>
      </c>
      <c r="G19" s="1816">
        <f t="shared" si="4"/>
        <v>0</v>
      </c>
    </row>
    <row r="20" spans="1:8" x14ac:dyDescent="0.25">
      <c r="A20" s="1954" t="s">
        <v>2082</v>
      </c>
      <c r="B20" s="1955" t="s">
        <v>2079</v>
      </c>
      <c r="C20" s="1956" t="s">
        <v>2083</v>
      </c>
      <c r="D20" s="1867">
        <v>8471</v>
      </c>
      <c r="E20" s="1562">
        <f t="shared" si="2"/>
        <v>8471</v>
      </c>
      <c r="F20" s="1815">
        <f t="shared" si="3"/>
        <v>8471</v>
      </c>
      <c r="G20" s="1816">
        <f t="shared" si="4"/>
        <v>0</v>
      </c>
    </row>
    <row r="21" spans="1:8" x14ac:dyDescent="0.25">
      <c r="A21" s="1954" t="s">
        <v>2084</v>
      </c>
      <c r="B21" s="1955" t="s">
        <v>2085</v>
      </c>
      <c r="C21" s="1956" t="s">
        <v>2086</v>
      </c>
      <c r="D21" s="1867">
        <v>4285</v>
      </c>
      <c r="E21" s="1562">
        <f t="shared" si="2"/>
        <v>4285</v>
      </c>
      <c r="F21" s="1815">
        <f t="shared" si="3"/>
        <v>4285</v>
      </c>
      <c r="G21" s="1816">
        <f t="shared" si="4"/>
        <v>0</v>
      </c>
    </row>
    <row r="22" spans="1:8" x14ac:dyDescent="0.25">
      <c r="A22" s="1954" t="s">
        <v>2105</v>
      </c>
      <c r="B22" s="1955" t="s">
        <v>2085</v>
      </c>
      <c r="C22" s="1956" t="s">
        <v>2087</v>
      </c>
      <c r="D22" s="1867">
        <v>5388</v>
      </c>
      <c r="E22" s="1562">
        <f t="shared" si="2"/>
        <v>5388</v>
      </c>
      <c r="F22" s="1815">
        <f t="shared" si="3"/>
        <v>5388</v>
      </c>
      <c r="G22" s="1816">
        <f t="shared" si="4"/>
        <v>0</v>
      </c>
    </row>
    <row r="23" spans="1:8" x14ac:dyDescent="0.25">
      <c r="A23" s="1954" t="s">
        <v>2088</v>
      </c>
      <c r="B23" s="1955" t="s">
        <v>2089</v>
      </c>
      <c r="C23" s="1956" t="s">
        <v>2087</v>
      </c>
      <c r="D23" s="1867">
        <v>1700</v>
      </c>
      <c r="E23" s="1562">
        <f t="shared" si="2"/>
        <v>1700</v>
      </c>
      <c r="F23" s="1815">
        <f t="shared" si="3"/>
        <v>1700</v>
      </c>
      <c r="G23" s="1816">
        <f t="shared" si="4"/>
        <v>0</v>
      </c>
    </row>
    <row r="24" spans="1:8" x14ac:dyDescent="0.25">
      <c r="A24" s="1954" t="s">
        <v>2090</v>
      </c>
      <c r="B24" s="1955" t="s">
        <v>2092</v>
      </c>
      <c r="C24" s="1956" t="s">
        <v>2091</v>
      </c>
      <c r="D24" s="1867">
        <v>8747</v>
      </c>
      <c r="E24" s="1562">
        <f t="shared" si="2"/>
        <v>8747</v>
      </c>
      <c r="F24" s="1815">
        <f t="shared" si="3"/>
        <v>8747</v>
      </c>
      <c r="G24" s="1816">
        <f t="shared" si="4"/>
        <v>0</v>
      </c>
    </row>
    <row r="25" spans="1:8" x14ac:dyDescent="0.25">
      <c r="A25" s="1954" t="s">
        <v>2093</v>
      </c>
      <c r="B25" s="1955" t="s">
        <v>2085</v>
      </c>
      <c r="C25" s="1956" t="s">
        <v>2094</v>
      </c>
      <c r="D25" s="1867">
        <v>7645</v>
      </c>
      <c r="E25" s="1562">
        <f t="shared" si="2"/>
        <v>7645</v>
      </c>
      <c r="F25" s="1815">
        <f t="shared" si="3"/>
        <v>7645</v>
      </c>
      <c r="G25" s="1816">
        <f t="shared" si="4"/>
        <v>0</v>
      </c>
    </row>
    <row r="26" spans="1:8" x14ac:dyDescent="0.25">
      <c r="A26" s="1954" t="s">
        <v>2096</v>
      </c>
      <c r="B26" s="1955" t="s">
        <v>2089</v>
      </c>
      <c r="C26" s="1956" t="s">
        <v>2095</v>
      </c>
      <c r="D26" s="1867">
        <v>3584</v>
      </c>
      <c r="E26" s="1562">
        <f t="shared" si="2"/>
        <v>3584</v>
      </c>
      <c r="F26" s="1815">
        <f t="shared" si="3"/>
        <v>3584</v>
      </c>
      <c r="G26" s="1816">
        <f t="shared" si="4"/>
        <v>0</v>
      </c>
    </row>
    <row r="27" spans="1:8" x14ac:dyDescent="0.25">
      <c r="A27" s="1954" t="s">
        <v>2097</v>
      </c>
      <c r="B27" s="1955" t="s">
        <v>2079</v>
      </c>
      <c r="C27" s="1956" t="s">
        <v>2098</v>
      </c>
      <c r="D27" s="1867">
        <v>3092</v>
      </c>
      <c r="E27" s="1562">
        <f t="shared" si="2"/>
        <v>3092</v>
      </c>
      <c r="F27" s="1815">
        <f t="shared" si="3"/>
        <v>3092</v>
      </c>
      <c r="G27" s="1816">
        <f t="shared" si="4"/>
        <v>0</v>
      </c>
    </row>
    <row r="28" spans="1:8" x14ac:dyDescent="0.25">
      <c r="A28" s="1954" t="s">
        <v>2099</v>
      </c>
      <c r="B28" s="1955" t="s">
        <v>2079</v>
      </c>
      <c r="C28" s="1956" t="s">
        <v>2100</v>
      </c>
      <c r="D28" s="1867">
        <v>2798</v>
      </c>
      <c r="E28" s="1562">
        <f t="shared" si="2"/>
        <v>2798</v>
      </c>
      <c r="F28" s="1815">
        <f t="shared" si="3"/>
        <v>2798</v>
      </c>
      <c r="G28" s="1816">
        <f t="shared" si="4"/>
        <v>0</v>
      </c>
    </row>
    <row r="29" spans="1:8" x14ac:dyDescent="0.25">
      <c r="A29" s="1954" t="s">
        <v>2102</v>
      </c>
      <c r="B29" s="1955" t="s">
        <v>2089</v>
      </c>
      <c r="C29" s="1956" t="s">
        <v>2101</v>
      </c>
      <c r="D29" s="1867">
        <v>2790</v>
      </c>
      <c r="E29" s="1562">
        <f t="shared" si="2"/>
        <v>2790</v>
      </c>
      <c r="F29" s="1815">
        <f t="shared" si="3"/>
        <v>2790</v>
      </c>
      <c r="G29" s="1816">
        <f t="shared" si="4"/>
        <v>0</v>
      </c>
    </row>
    <row r="30" spans="1:8" x14ac:dyDescent="0.25">
      <c r="A30" s="1954" t="s">
        <v>2103</v>
      </c>
      <c r="B30" s="1955" t="s">
        <v>2085</v>
      </c>
      <c r="C30" s="1956" t="s">
        <v>2104</v>
      </c>
      <c r="D30" s="1867">
        <v>2560</v>
      </c>
      <c r="E30" s="1562">
        <f t="shared" si="2"/>
        <v>2560</v>
      </c>
      <c r="F30" s="1815">
        <f t="shared" si="3"/>
        <v>2560</v>
      </c>
      <c r="G30" s="1816">
        <f t="shared" si="4"/>
        <v>0</v>
      </c>
    </row>
    <row r="31" spans="1:8" x14ac:dyDescent="0.25">
      <c r="A31" s="1954" t="s">
        <v>2106</v>
      </c>
      <c r="B31" s="1955" t="s">
        <v>2107</v>
      </c>
      <c r="C31" s="1956" t="s">
        <v>2087</v>
      </c>
      <c r="D31" s="1867">
        <v>2500</v>
      </c>
      <c r="E31" s="1562">
        <f t="shared" si="2"/>
        <v>2500</v>
      </c>
      <c r="F31" s="1815">
        <f t="shared" si="3"/>
        <v>2500</v>
      </c>
      <c r="G31" s="1816">
        <f t="shared" si="4"/>
        <v>0</v>
      </c>
    </row>
    <row r="32" spans="1:8" x14ac:dyDescent="0.25">
      <c r="A32" s="1954" t="s">
        <v>2108</v>
      </c>
      <c r="B32" s="1955" t="s">
        <v>2092</v>
      </c>
      <c r="C32" s="1956" t="s">
        <v>2109</v>
      </c>
      <c r="D32" s="1867">
        <v>5975</v>
      </c>
      <c r="E32" s="1562">
        <f t="shared" si="2"/>
        <v>5975</v>
      </c>
      <c r="F32" s="1815">
        <f t="shared" si="3"/>
        <v>5975</v>
      </c>
      <c r="G32" s="1816">
        <f t="shared" si="4"/>
        <v>0</v>
      </c>
    </row>
    <row r="33" spans="1:7" x14ac:dyDescent="0.25">
      <c r="A33" s="1954" t="s">
        <v>2110</v>
      </c>
      <c r="B33" s="1955" t="s">
        <v>2112</v>
      </c>
      <c r="C33" s="1956" t="s">
        <v>2111</v>
      </c>
      <c r="D33" s="1867">
        <v>4475</v>
      </c>
      <c r="E33" s="1562">
        <f t="shared" si="2"/>
        <v>4475</v>
      </c>
      <c r="F33" s="1815">
        <f t="shared" si="3"/>
        <v>4475</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111765.54000000001</v>
      </c>
      <c r="E141" s="1563">
        <f t="shared" si="1"/>
        <v>25000</v>
      </c>
      <c r="F141" s="1817">
        <f>SUM(F17:F140)</f>
        <v>99049</v>
      </c>
      <c r="G141" s="1818">
        <f>SUM(G17:G140)</f>
        <v>12716.54</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Footer>&amp;C73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248232</v>
      </c>
      <c r="F10" s="975"/>
      <c r="G10" s="976"/>
      <c r="H10" s="162"/>
      <c r="I10" s="162"/>
    </row>
    <row r="11" spans="1:9" s="669" customFormat="1" ht="22.5" customHeight="1" x14ac:dyDescent="0.2">
      <c r="A11" s="2305" t="s">
        <v>1945</v>
      </c>
      <c r="B11" s="2306"/>
      <c r="C11" s="2306"/>
      <c r="D11" s="2307"/>
      <c r="E11" s="978">
        <v>28550</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4100728</v>
      </c>
      <c r="F19" s="1822"/>
      <c r="G19" s="1824">
        <f>'Expenditures 15-22'!K33-SUM('Expenditures 15-22'!G33,'Expenditures 15-22'!I33)+'Expenditures 15-22'!D229</f>
        <v>4100728</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248372</v>
      </c>
      <c r="F21" s="1825"/>
      <c r="G21" s="1828">
        <f>'Expenditures 15-22'!K42-SUM('Expenditures 15-22'!G42,'Expenditures 15-22'!I42)+'Expenditures 15-22'!K120-SUM('Expenditures 15-22'!G120,'Expenditures 15-22'!I120)+'Expenditures 15-22'!K180-SUM('Expenditures 15-22'!G180,'Expenditures 15-22'!I180)+'Expenditures 15-22'!D238</f>
        <v>248372</v>
      </c>
      <c r="H21" s="988"/>
      <c r="I21" s="162"/>
    </row>
    <row r="22" spans="1:9" s="669" customFormat="1" ht="12" customHeight="1" x14ac:dyDescent="0.2">
      <c r="A22" s="995" t="s">
        <v>585</v>
      </c>
      <c r="B22" s="996"/>
      <c r="C22" s="994">
        <v>2200</v>
      </c>
      <c r="D22" s="1825"/>
      <c r="E22" s="1827">
        <f>'Expenditures 15-22'!K47-SUM('Expenditures 15-22'!G47,'Expenditures 15-22'!I47)+'Expenditures 15-22'!D243</f>
        <v>91455</v>
      </c>
      <c r="F22" s="1825"/>
      <c r="G22" s="1828">
        <f>'Expenditures 15-22'!K47-SUM('Expenditures 15-22'!G47,'Expenditures 15-22'!I47)+'Expenditures 15-22'!D243</f>
        <v>91455</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490579</v>
      </c>
      <c r="F23" s="1825"/>
      <c r="G23" s="1827">
        <f>'Expenditures 15-22'!K53-SUM('Expenditures 15-22'!G53,'Expenditures 15-22'!I53)+'Expenditures 15-22'!D257+'Expenditures 15-22'!K330-SUM('Expenditures 15-22'!G330,'Expenditures 15-22'!I330)</f>
        <v>490579</v>
      </c>
      <c r="H23" s="988"/>
      <c r="I23" s="162"/>
    </row>
    <row r="24" spans="1:9" s="669" customFormat="1" ht="12" customHeight="1" x14ac:dyDescent="0.2">
      <c r="A24" s="995" t="s">
        <v>587</v>
      </c>
      <c r="B24" s="996"/>
      <c r="C24" s="994">
        <v>2400</v>
      </c>
      <c r="D24" s="1825"/>
      <c r="E24" s="1827">
        <f>'Expenditures 15-22'!K57-SUM('Expenditures 15-22'!G57,'Expenditures 15-22'!I57)+'Expenditures 15-22'!D261</f>
        <v>347171</v>
      </c>
      <c r="F24" s="1825"/>
      <c r="G24" s="1828">
        <f>'Expenditures 15-22'!K57-SUM('Expenditures 15-22'!G57,'Expenditures 15-22'!I57)+'Expenditures 15-22'!D261</f>
        <v>347171</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131708</v>
      </c>
      <c r="E27" s="1827">
        <f>E8</f>
        <v>0</v>
      </c>
      <c r="F27" s="1827">
        <f>'Expenditures 15-22'!K60-SUM('Expenditures 15-22'!G60,'Expenditures 15-22'!I60)+'Expenditures 15-22'!D264-E8</f>
        <v>131708</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567009</v>
      </c>
      <c r="F28" s="1829">
        <f>'Expenditures 15-22'!K61-SUM('Expenditures 15-22'!G61,'Expenditures 15-22'!I61)+'Expenditures 15-22'!K124-SUM('Expenditures 15-22'!G124,'Expenditures 15-22'!I124)+'Expenditures 15-22'!D266-E9</f>
        <v>567009</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482742</v>
      </c>
      <c r="F29" s="1825"/>
      <c r="G29" s="1828">
        <f>'Expenditures 15-22'!K62-SUM('Expenditures 15-22'!G62,'Expenditures 15-22'!I62)+'Expenditures 15-22'!K125-SUM('Expenditures 15-22'!G125,'Expenditures 15-22'!I125)+'Expenditures 15-22'!K182-SUM('Expenditures 15-22'!G182,'Expenditures 15-22'!I182)+'Expenditures 15-22'!D267</f>
        <v>482742</v>
      </c>
      <c r="H29" s="986"/>
    </row>
    <row r="30" spans="1:9" ht="12" customHeight="1" x14ac:dyDescent="0.2">
      <c r="A30" s="995" t="s">
        <v>102</v>
      </c>
      <c r="B30" s="998"/>
      <c r="C30" s="994">
        <v>2560</v>
      </c>
      <c r="D30" s="1825"/>
      <c r="E30" s="1827">
        <f>'Expenditures 15-22'!K63-SUM('Expenditures 15-22'!G63,'Expenditures 15-22'!I63)+'Expenditures 15-22'!D268-E10</f>
        <v>172099</v>
      </c>
      <c r="F30" s="1825"/>
      <c r="G30" s="1827">
        <f>'Expenditures 15-22'!K63-SUM('Expenditures 15-22'!G63,'Expenditures 15-22'!I63)+'Expenditures 15-22'!D268-E10</f>
        <v>172099</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30762</v>
      </c>
      <c r="F38" s="1825"/>
      <c r="G38" s="1827">
        <f>'Expenditures 15-22'!K73-SUM('Expenditures 15-22'!G73,'Expenditures 15-22'!I73)+'Expenditures 15-22'!K128-SUM('Expenditures 15-22'!G128,'Expenditures 15-22'!I128)+'Expenditures 15-22'!K183-SUM('Expenditures 15-22'!G183,'Expenditures 15-22'!I183)+'Expenditures 15-22'!D278</f>
        <v>30762</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7715</v>
      </c>
      <c r="F39" s="1825"/>
      <c r="G39" s="1827">
        <f>'Expenditures 15-22'!K75-SUM('Expenditures 15-22'!G75,'Expenditures 15-22'!I75)+'Expenditures 15-22'!K130-SUM('Expenditures 15-22'!G130,'Expenditures 15-22'!I130)+'Expenditures 15-22'!K185-SUM('Expenditures 15-22'!G185,'Expenditures 15-22'!I185)+'Expenditures 15-22'!D280</f>
        <v>7715</v>
      </c>
    </row>
    <row r="40" spans="1:7" ht="12" customHeight="1" x14ac:dyDescent="0.2">
      <c r="A40" s="991" t="s">
        <v>1930</v>
      </c>
      <c r="B40" s="992"/>
      <c r="C40" s="994"/>
      <c r="D40" s="1825"/>
      <c r="E40" s="1829">
        <f>-'Contracts Paid in CY 29'!G141</f>
        <v>-12716.54</v>
      </c>
      <c r="F40" s="1825"/>
      <c r="G40" s="1829">
        <f>-'Contracts Paid in CY 29'!G141</f>
        <v>-12716.54</v>
      </c>
    </row>
    <row r="41" spans="1:7" ht="12" customHeight="1" x14ac:dyDescent="0.2">
      <c r="A41" s="999" t="s">
        <v>158</v>
      </c>
      <c r="B41" s="1000"/>
      <c r="C41" s="1001"/>
      <c r="D41" s="1829">
        <f>SUM(D19:D39)</f>
        <v>131708</v>
      </c>
      <c r="E41" s="1829">
        <f>SUM(E19:E40)</f>
        <v>6525915.46</v>
      </c>
      <c r="F41" s="1829">
        <f>SUM(F19:F39)</f>
        <v>698717</v>
      </c>
      <c r="G41" s="1829">
        <f>SUM(G19:G40)</f>
        <v>5958906.46</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131708</v>
      </c>
      <c r="F43" s="1830" t="s">
        <v>495</v>
      </c>
      <c r="G43" s="1831">
        <f>F41</f>
        <v>698717</v>
      </c>
    </row>
    <row r="44" spans="1:7" ht="12" customHeight="1" x14ac:dyDescent="0.2">
      <c r="A44" s="988"/>
      <c r="B44" s="162"/>
      <c r="C44" s="1002"/>
      <c r="D44" s="1830" t="s">
        <v>494</v>
      </c>
      <c r="E44" s="1831">
        <f>E41</f>
        <v>6525915.46</v>
      </c>
      <c r="F44" s="1830" t="s">
        <v>494</v>
      </c>
      <c r="G44" s="1831">
        <f>G41</f>
        <v>5958906.46</v>
      </c>
    </row>
    <row r="45" spans="1:7" ht="12" customHeight="1" x14ac:dyDescent="0.2">
      <c r="A45" s="988"/>
      <c r="B45" s="162"/>
      <c r="C45" s="162"/>
      <c r="D45" s="1832" t="s">
        <v>1063</v>
      </c>
      <c r="E45" s="1833">
        <f>(E43/E44)</f>
        <v>2.0182302514841342E-2</v>
      </c>
      <c r="F45" s="1832" t="s">
        <v>1063</v>
      </c>
      <c r="G45" s="1833">
        <f>(G43/G44)</f>
        <v>0.11725591007179528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&amp;C&amp;"Arial,Bold"
ESTIMATED INDIRECT COST DATA</oddHeader>
    <oddFooter>&amp;C76</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1" t="s">
        <v>1446</v>
      </c>
      <c r="B1" s="2311"/>
      <c r="C1" s="2311"/>
      <c r="D1" s="2311"/>
      <c r="E1" s="2311"/>
      <c r="F1" s="2311"/>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2" t="s">
        <v>1627</v>
      </c>
      <c r="B5" s="2313"/>
      <c r="C5" s="2314"/>
      <c r="D5" s="2314"/>
      <c r="E5" s="2314"/>
      <c r="F5" s="2314"/>
    </row>
    <row r="6" spans="1:10" ht="12" customHeight="1" x14ac:dyDescent="0.25">
      <c r="A6" s="1875"/>
      <c r="B6" s="1876"/>
      <c r="C6" s="2315" t="str">
        <f>COVER!A17</f>
        <v>Gallatin CUSD 7</v>
      </c>
      <c r="D6" s="2315"/>
      <c r="E6" s="2315"/>
      <c r="F6" s="1877"/>
    </row>
    <row r="7" spans="1:10" ht="11.25" customHeight="1" thickBot="1" x14ac:dyDescent="0.3">
      <c r="A7" s="1875"/>
      <c r="B7" s="1876"/>
      <c r="C7" s="2316">
        <f>COVER!A13</f>
        <v>20030007026</v>
      </c>
      <c r="D7" s="2316"/>
      <c r="E7" s="2316"/>
      <c r="F7" s="1877"/>
    </row>
    <row r="8" spans="1:10" ht="25.5" customHeight="1" thickBot="1" x14ac:dyDescent="0.25">
      <c r="A8" s="1918" t="s">
        <v>2025</v>
      </c>
      <c r="B8" s="1878" t="s">
        <v>2134</v>
      </c>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c r="D26" s="1890"/>
      <c r="E26" s="1893"/>
      <c r="F26" s="1892" t="s">
        <v>2146</v>
      </c>
      <c r="H26" s="1903">
        <f t="shared" si="0"/>
        <v>0</v>
      </c>
      <c r="I26" s="1903">
        <f t="shared" si="1"/>
        <v>0</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t="s">
        <v>2134</v>
      </c>
      <c r="D33" s="1890" t="s">
        <v>2134</v>
      </c>
      <c r="E33" s="1893"/>
      <c r="F33" s="1892" t="s">
        <v>2144</v>
      </c>
      <c r="H33" s="1903">
        <f t="shared" si="0"/>
        <v>5</v>
      </c>
      <c r="I33" s="1903">
        <f t="shared" si="1"/>
        <v>5</v>
      </c>
      <c r="J33" s="1903">
        <f t="shared" si="2"/>
        <v>0</v>
      </c>
    </row>
    <row r="34" spans="1:11" ht="12" customHeight="1" x14ac:dyDescent="0.25">
      <c r="A34" s="1895"/>
      <c r="B34" s="1895"/>
      <c r="C34" s="1895"/>
      <c r="D34" s="1895"/>
      <c r="E34" s="1895"/>
      <c r="F34" s="1895"/>
      <c r="H34" s="1903">
        <f>SUM(H11:H32)</f>
        <v>0</v>
      </c>
      <c r="I34" s="1903">
        <f>SUM(I11:I32)</f>
        <v>0</v>
      </c>
      <c r="J34" s="1903">
        <f>SUM(J11:J32)</f>
        <v>0</v>
      </c>
      <c r="K34" s="1903">
        <f>SUM(H34:J34)</f>
        <v>0</v>
      </c>
    </row>
    <row r="35" spans="1:11" ht="12" customHeight="1" x14ac:dyDescent="0.2">
      <c r="A35" s="1896" t="s">
        <v>1459</v>
      </c>
      <c r="B35" s="1897"/>
      <c r="C35" s="2317"/>
      <c r="D35" s="2317"/>
      <c r="E35" s="2317"/>
      <c r="F35" s="2318"/>
    </row>
    <row r="36" spans="1:11" ht="12" customHeight="1" x14ac:dyDescent="0.2">
      <c r="A36" s="2308"/>
      <c r="B36" s="2309"/>
      <c r="C36" s="2309"/>
      <c r="D36" s="2309"/>
      <c r="E36" s="2309"/>
      <c r="F36" s="2310"/>
    </row>
    <row r="37" spans="1:11" ht="12" customHeight="1" x14ac:dyDescent="0.2">
      <c r="A37" s="2322"/>
      <c r="B37" s="2309"/>
      <c r="C37" s="2309"/>
      <c r="D37" s="2309"/>
      <c r="E37" s="2309"/>
      <c r="F37" s="2310"/>
    </row>
    <row r="38" spans="1:11" ht="12" customHeight="1" x14ac:dyDescent="0.2">
      <c r="A38" s="2323"/>
      <c r="B38" s="2324"/>
      <c r="C38" s="2324"/>
      <c r="D38" s="2324"/>
      <c r="E38" s="2324"/>
      <c r="F38" s="2325"/>
    </row>
    <row r="39" spans="1:11" ht="4.5" hidden="1" customHeight="1" x14ac:dyDescent="0.2">
      <c r="A39" s="1898"/>
      <c r="B39" s="1898"/>
      <c r="C39" s="1898"/>
      <c r="D39" s="1898"/>
      <c r="E39" s="1898"/>
      <c r="F39" s="1898"/>
    </row>
    <row r="40" spans="1:11" s="1895" customFormat="1" ht="12" customHeight="1" x14ac:dyDescent="0.25">
      <c r="A40" s="1899" t="s">
        <v>1458</v>
      </c>
      <c r="B40" s="1900"/>
      <c r="C40" s="2326"/>
      <c r="D40" s="2326"/>
      <c r="E40" s="2326"/>
      <c r="F40" s="2327"/>
      <c r="H40" s="1904"/>
      <c r="I40" s="1904"/>
      <c r="J40" s="1904"/>
      <c r="K40" s="1904"/>
    </row>
    <row r="41" spans="1:11" s="1895" customFormat="1" ht="12" customHeight="1" x14ac:dyDescent="0.25">
      <c r="A41" s="2328"/>
      <c r="B41" s="2329"/>
      <c r="C41" s="2329"/>
      <c r="D41" s="2329"/>
      <c r="E41" s="2329"/>
      <c r="F41" s="2330"/>
      <c r="H41" s="1904"/>
      <c r="I41" s="1904"/>
      <c r="J41" s="1904"/>
      <c r="K41" s="1904"/>
    </row>
    <row r="42" spans="1:11" s="1895" customFormat="1" ht="12" customHeight="1" x14ac:dyDescent="0.25">
      <c r="A42" s="2322" t="s">
        <v>2145</v>
      </c>
      <c r="B42" s="2309"/>
      <c r="C42" s="2309"/>
      <c r="D42" s="2309"/>
      <c r="E42" s="2309"/>
      <c r="F42" s="2310"/>
      <c r="H42" s="1904"/>
      <c r="I42" s="1904"/>
      <c r="J42" s="1904"/>
      <c r="K42" s="1904"/>
    </row>
    <row r="43" spans="1:11" s="1895" customFormat="1" ht="15" x14ac:dyDescent="0.25">
      <c r="A43" s="2319"/>
      <c r="B43" s="2320"/>
      <c r="C43" s="2320"/>
      <c r="D43" s="2320"/>
      <c r="E43" s="2320"/>
      <c r="F43" s="2321"/>
      <c r="H43" s="1904"/>
      <c r="I43" s="1904"/>
      <c r="J43" s="1904"/>
      <c r="K43" s="1904"/>
    </row>
    <row r="44" spans="1:11" s="1895" customFormat="1" ht="12" hidden="1" customHeight="1" x14ac:dyDescent="0.25">
      <c r="A44" s="2319"/>
      <c r="B44" s="2320"/>
      <c r="C44" s="2320"/>
      <c r="D44" s="2320"/>
      <c r="E44" s="2320"/>
      <c r="F44" s="232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fitToHeight="0" orientation="landscape" r:id="rId1"/>
  <headerFooter>
    <oddFooter>&amp;C&amp;8 74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6" t="str">
        <f>COVER!A17</f>
        <v>Gallatin CUSD 7</v>
      </c>
      <c r="J6" s="2337"/>
      <c r="Q6" s="1686"/>
    </row>
    <row r="7" spans="1:17" x14ac:dyDescent="0.2">
      <c r="A7" s="2338" t="s">
        <v>924</v>
      </c>
      <c r="B7" s="2339"/>
      <c r="C7" s="2339"/>
      <c r="D7" s="2339"/>
      <c r="E7" s="2340"/>
      <c r="F7" s="1018"/>
      <c r="G7" s="1010"/>
      <c r="H7" s="1017" t="s">
        <v>390</v>
      </c>
      <c r="I7" s="2341">
        <f>COVER!A13</f>
        <v>20030007026</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159095</v>
      </c>
      <c r="F12" s="1040"/>
      <c r="G12" s="1834">
        <f t="shared" ref="G12:G18" si="0">SUM(E12:F12)</f>
        <v>159095</v>
      </c>
      <c r="H12" s="1041">
        <v>145891</v>
      </c>
      <c r="I12" s="1040"/>
      <c r="J12" s="1834">
        <f t="shared" ref="J12:J18" si="1">SUM(H12:I12)</f>
        <v>145891</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159095</v>
      </c>
      <c r="F19" s="1836">
        <f t="shared" si="2"/>
        <v>0</v>
      </c>
      <c r="G19" s="1836">
        <f t="shared" si="2"/>
        <v>159095</v>
      </c>
      <c r="H19" s="1836">
        <f t="shared" si="2"/>
        <v>145891</v>
      </c>
      <c r="I19" s="1836">
        <f t="shared" si="2"/>
        <v>0</v>
      </c>
      <c r="J19" s="1836">
        <f t="shared" si="2"/>
        <v>145891</v>
      </c>
    </row>
    <row r="20" spans="1:10" ht="13.5" thickTop="1" x14ac:dyDescent="0.2">
      <c r="A20" s="1036">
        <v>9</v>
      </c>
      <c r="B20" s="2348" t="s">
        <v>1703</v>
      </c>
      <c r="C20" s="2348"/>
      <c r="D20" s="2349"/>
      <c r="E20" s="1047"/>
      <c r="F20" s="1047"/>
      <c r="G20" s="1047"/>
      <c r="H20" s="1047"/>
      <c r="I20" s="1047"/>
      <c r="J20" s="1837">
        <f>IF(AND(G19&gt;0,J19&gt;0),(((J19-G19)/G19)),"Enter Budget Data")</f>
        <v>-8.2994437285898365E-2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1944</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 xml:space="preserve">&amp;C </oddHeader>
    <oddFooter>&amp;C77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6"/>
  <sheetViews>
    <sheetView showGridLines="0" zoomScale="110" zoomScaleNormal="110" workbookViewId="0">
      <selection activeCell="B12" sqref="B1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2149</v>
      </c>
    </row>
    <row r="6" spans="1:2" x14ac:dyDescent="0.2">
      <c r="A6" s="1069">
        <v>2</v>
      </c>
      <c r="B6" s="329" t="s">
        <v>2148</v>
      </c>
    </row>
    <row r="7" spans="1:2" x14ac:dyDescent="0.2">
      <c r="A7" s="1069">
        <v>3</v>
      </c>
      <c r="B7" s="329" t="s">
        <v>2143</v>
      </c>
    </row>
    <row r="8" spans="1:2" x14ac:dyDescent="0.2">
      <c r="A8" s="1069"/>
      <c r="B8" s="329" t="s">
        <v>2142</v>
      </c>
    </row>
    <row r="9" spans="1:2" x14ac:dyDescent="0.2">
      <c r="A9" s="1069">
        <v>4</v>
      </c>
      <c r="B9" s="329" t="s">
        <v>2135</v>
      </c>
    </row>
    <row r="10" spans="1:2" x14ac:dyDescent="0.2">
      <c r="A10" s="1070"/>
      <c r="B10" s="329" t="s">
        <v>2136</v>
      </c>
    </row>
    <row r="11" spans="1:2" x14ac:dyDescent="0.2">
      <c r="A11" s="1070"/>
      <c r="B11" s="329" t="s">
        <v>2137</v>
      </c>
    </row>
    <row r="12" spans="1:2" x14ac:dyDescent="0.2">
      <c r="A12" s="1070"/>
      <c r="B12" s="329" t="s">
        <v>2138</v>
      </c>
    </row>
    <row r="13" spans="1:2" x14ac:dyDescent="0.2">
      <c r="A13" s="1070"/>
      <c r="B13" s="329" t="s">
        <v>2139</v>
      </c>
    </row>
    <row r="14" spans="1:2" x14ac:dyDescent="0.2">
      <c r="A14" s="1070"/>
      <c r="B14" s="329" t="s">
        <v>2140</v>
      </c>
    </row>
    <row r="15" spans="1:2" x14ac:dyDescent="0.2">
      <c r="A15" s="1070"/>
      <c r="B15" s="329" t="s">
        <v>2147</v>
      </c>
    </row>
    <row r="16" spans="1:2" x14ac:dyDescent="0.2">
      <c r="A16" s="1070"/>
      <c r="B16" s="329" t="s">
        <v>2141</v>
      </c>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c r="B65" s="258" t="str">
        <f>COVER!A17</f>
        <v>Gallatin CUSD 7</v>
      </c>
    </row>
    <row r="66" spans="1:2" x14ac:dyDescent="0.2">
      <c r="B66" s="1071">
        <f>COVER!A13</f>
        <v>20030007026</v>
      </c>
    </row>
  </sheetData>
  <phoneticPr fontId="14" type="noConversion"/>
  <pageMargins left="0.2" right="0.2" top="1.17" bottom="0.75" header="0.19" footer="0.16"/>
  <pageSetup scale="80" firstPageNumber="32" orientation="portrait" useFirstPageNumber="1" r:id="rId1"/>
  <headerFooter alignWithMargins="0">
    <oddHeader xml:space="preserve">&amp;C </oddHeader>
    <oddFooter>&amp;CThe notes to the financial statements are an integral part of this statement.
25</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2056</v>
      </c>
      <c r="B4" s="2376"/>
      <c r="C4" s="2376"/>
      <c r="D4" s="2376"/>
      <c r="E4" s="2376"/>
      <c r="F4" s="2377"/>
      <c r="G4" s="1075"/>
      <c r="H4" s="1075"/>
    </row>
    <row r="5" spans="1:8" ht="14.25" customHeight="1" x14ac:dyDescent="0.2">
      <c r="A5" s="2378" t="s">
        <v>2057</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6334189</v>
      </c>
      <c r="C8" s="1838">
        <f>'Acct Summary 7-8'!D8</f>
        <v>253671</v>
      </c>
      <c r="D8" s="1838">
        <f>'Acct Summary 7-8'!F8</f>
        <v>658929</v>
      </c>
      <c r="E8" s="1838">
        <f>'Acct Summary 7-8'!I8</f>
        <v>33168</v>
      </c>
      <c r="F8" s="1838">
        <f>SUM(B8:E8)</f>
        <v>7279957</v>
      </c>
    </row>
    <row r="9" spans="1:8" s="1080" customFormat="1" ht="14.25" customHeight="1" thickBot="1" x14ac:dyDescent="0.25">
      <c r="A9" s="1079" t="s">
        <v>1436</v>
      </c>
      <c r="B9" s="1839">
        <f>'Acct Summary 7-8'!C17</f>
        <v>5850048</v>
      </c>
      <c r="C9" s="1839">
        <f>'Acct Summary 7-8'!D17</f>
        <v>332794</v>
      </c>
      <c r="D9" s="1839">
        <f>'Acct Summary 7-8'!F17</f>
        <v>519116</v>
      </c>
      <c r="E9" s="1838"/>
      <c r="F9" s="1838">
        <f>SUM(B9:E9)</f>
        <v>6701958</v>
      </c>
    </row>
    <row r="10" spans="1:8" s="1080" customFormat="1" ht="14.25" thickTop="1" thickBot="1" x14ac:dyDescent="0.25">
      <c r="A10" s="1081" t="s">
        <v>1437</v>
      </c>
      <c r="B10" s="1840">
        <f>(B8-B9)</f>
        <v>484141</v>
      </c>
      <c r="C10" s="1840">
        <f>(C8-C9)</f>
        <v>-79123</v>
      </c>
      <c r="D10" s="1840">
        <f>(D8-D9)</f>
        <v>139813</v>
      </c>
      <c r="E10" s="1839">
        <f>(E8-E9)</f>
        <v>33168</v>
      </c>
      <c r="F10" s="1841">
        <f>SUM(F8-F9)</f>
        <v>577999</v>
      </c>
    </row>
    <row r="11" spans="1:8" s="1080" customFormat="1" ht="14.25" thickTop="1" thickBot="1" x14ac:dyDescent="0.25">
      <c r="A11" s="1082" t="s">
        <v>1785</v>
      </c>
      <c r="B11" s="1842">
        <f>'Acct Summary 7-8'!C81</f>
        <v>2482973</v>
      </c>
      <c r="C11" s="1842">
        <f>'Acct Summary 7-8'!D81</f>
        <v>287773</v>
      </c>
      <c r="D11" s="1842">
        <f>'Acct Summary 7-8'!F81</f>
        <v>436356</v>
      </c>
      <c r="E11" s="1842">
        <f>'Acct Summary 7-8'!I81</f>
        <v>0</v>
      </c>
      <c r="F11" s="1843">
        <f>SUM(B11:E11)</f>
        <v>3207102</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Footer>&amp;C75</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D81" sqref="D81"/>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ERROR!</v>
      </c>
    </row>
    <row r="69" spans="1:4" x14ac:dyDescent="0.2">
      <c r="A69" s="1101"/>
      <c r="B69" s="1111"/>
      <c r="C69" s="1103" t="s">
        <v>2052</v>
      </c>
      <c r="D69" s="1125" t="str">
        <f>IF('Expenditures 15-22'!H170&lt;&gt;'Short-Term Long-Term Debt 24'!H49,"ERROR!","OK")</f>
        <v>ERROR!</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20030007026</v>
      </c>
    </row>
    <row r="3" spans="1:2" x14ac:dyDescent="0.2">
      <c r="A3" t="s">
        <v>1013</v>
      </c>
      <c r="B3" s="138" t="str">
        <f>COVER!A15</f>
        <v>Gallatin</v>
      </c>
    </row>
    <row r="4" spans="1:2" x14ac:dyDescent="0.2">
      <c r="A4" t="s">
        <v>1064</v>
      </c>
      <c r="B4" s="138" t="str">
        <f>COVER!A17</f>
        <v>Gallatin CUSD 7</v>
      </c>
    </row>
    <row r="5" spans="1:2" x14ac:dyDescent="0.2">
      <c r="A5" t="s">
        <v>728</v>
      </c>
      <c r="B5" s="138" t="str">
        <f>COVER!A38</f>
        <v>Judy Kaegi</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060-009547</v>
      </c>
    </row>
    <row r="16" spans="1:2" x14ac:dyDescent="0.2">
      <c r="A16" t="s">
        <v>442</v>
      </c>
      <c r="B16" s="138" t="str">
        <f>COVER!T13</f>
        <v>Greg M McCalley, PC</v>
      </c>
    </row>
    <row r="17" spans="1:2" x14ac:dyDescent="0.2">
      <c r="A17" t="s">
        <v>939</v>
      </c>
      <c r="B17" s="138" t="str">
        <f>COVER!T15</f>
        <v>Greg McCalley</v>
      </c>
    </row>
    <row r="18" spans="1:2" x14ac:dyDescent="0.2">
      <c r="A18" t="s">
        <v>1212</v>
      </c>
      <c r="B18" s="138" t="str">
        <f>COVER!T17</f>
        <v>855 E Ferguson Abve</v>
      </c>
    </row>
    <row r="19" spans="1:2" x14ac:dyDescent="0.2">
      <c r="A19" t="s">
        <v>941</v>
      </c>
      <c r="B19" s="138">
        <f>COVER!T25</f>
        <v>0</v>
      </c>
    </row>
    <row r="20" spans="1:2" x14ac:dyDescent="0.2">
      <c r="A20" t="s">
        <v>942</v>
      </c>
      <c r="B20" s="138" t="str">
        <f>COVER!T19</f>
        <v>Wood River</v>
      </c>
    </row>
    <row r="21" spans="1:2" x14ac:dyDescent="0.2">
      <c r="A21" t="s">
        <v>500</v>
      </c>
      <c r="B21" s="138" t="str">
        <f>COVER!X19</f>
        <v>IL</v>
      </c>
    </row>
    <row r="22" spans="1:2" x14ac:dyDescent="0.2">
      <c r="A22" t="s">
        <v>943</v>
      </c>
      <c r="B22" s="138">
        <f>COVER!Z19</f>
        <v>62095</v>
      </c>
    </row>
    <row r="23" spans="1:2" x14ac:dyDescent="0.2">
      <c r="A23" t="s">
        <v>1214</v>
      </c>
      <c r="B23" s="138" t="str">
        <f>COVER!T21</f>
        <v>(618) 254-8183</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1030501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2482973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2482973</v>
      </c>
      <c r="D92" s="2" t="str">
        <f t="shared" si="0"/>
        <v>Error?</v>
      </c>
    </row>
    <row r="93" spans="1:4" x14ac:dyDescent="0.2">
      <c r="A93" s="5">
        <v>32</v>
      </c>
      <c r="B93" s="138">
        <f>'Assets-Liab 5-6'!C41</f>
        <v>2482973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220071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287773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287773</v>
      </c>
      <c r="D123" s="2" t="str">
        <f t="shared" si="0"/>
        <v>Error?</v>
      </c>
    </row>
    <row r="124" spans="1:4" x14ac:dyDescent="0.2">
      <c r="A124" s="5">
        <v>63</v>
      </c>
      <c r="B124" s="138">
        <f>'Assets-Liab 5-6'!D41</f>
        <v>287773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126009</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436356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436356</v>
      </c>
      <c r="D170" s="2" t="str">
        <f t="shared" si="1"/>
        <v>Error?</v>
      </c>
    </row>
    <row r="171" spans="1:4" x14ac:dyDescent="0.2">
      <c r="A171" s="5">
        <v>110</v>
      </c>
      <c r="B171" s="138">
        <f>'Assets-Liab 5-6'!F41</f>
        <v>436356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324070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419483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419483</v>
      </c>
      <c r="D189" s="2" t="str">
        <f t="shared" si="1"/>
        <v>Error?</v>
      </c>
    </row>
    <row r="190" spans="1:4" x14ac:dyDescent="0.2">
      <c r="A190" s="5">
        <v>129</v>
      </c>
      <c r="B190" s="138">
        <f>'Assets-Liab 5-6'!G41</f>
        <v>419483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202367</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242875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242875</v>
      </c>
      <c r="D212" s="2" t="str">
        <f t="shared" si="2"/>
        <v>Error?</v>
      </c>
    </row>
    <row r="213" spans="1:4" x14ac:dyDescent="0.2">
      <c r="A213" s="12">
        <v>152</v>
      </c>
      <c r="B213" s="138">
        <f>'Assets-Liab 5-6'!H41</f>
        <v>242875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217233</v>
      </c>
      <c r="D273" s="2" t="str">
        <f t="shared" si="3"/>
        <v>Error?</v>
      </c>
    </row>
    <row r="274" spans="1:4" x14ac:dyDescent="0.2">
      <c r="A274" s="5">
        <v>213</v>
      </c>
      <c r="B274" s="138">
        <f>'Assets-Liab 5-6'!M17</f>
        <v>5990265</v>
      </c>
      <c r="D274" s="2" t="str">
        <f t="shared" si="3"/>
        <v>Error?</v>
      </c>
    </row>
    <row r="275" spans="1:4" x14ac:dyDescent="0.2">
      <c r="A275" s="5">
        <v>214</v>
      </c>
      <c r="B275" s="138">
        <f>'Assets-Liab 5-6'!M18</f>
        <v>3877443</v>
      </c>
      <c r="D275" s="2" t="str">
        <f t="shared" si="3"/>
        <v>Error?</v>
      </c>
    </row>
    <row r="276" spans="1:4" x14ac:dyDescent="0.2">
      <c r="A276" s="5">
        <v>215</v>
      </c>
      <c r="B276" s="138">
        <f>'Assets-Liab 5-6'!M19</f>
        <v>2983746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13068687</v>
      </c>
      <c r="C279" s="2" t="s">
        <v>594</v>
      </c>
      <c r="D279" s="2" t="str">
        <f t="shared" si="3"/>
        <v>Error?</v>
      </c>
    </row>
    <row r="280" spans="1:4" x14ac:dyDescent="0.2">
      <c r="A280" s="5">
        <v>219</v>
      </c>
      <c r="B280" s="138">
        <f>'Assets-Liab 5-6'!M40</f>
        <v>13068687</v>
      </c>
      <c r="D280" s="2" t="str">
        <f t="shared" si="3"/>
        <v>Error?</v>
      </c>
    </row>
    <row r="281" spans="1:4" x14ac:dyDescent="0.2">
      <c r="A281" s="5">
        <v>220</v>
      </c>
      <c r="B281" s="138">
        <f>'Assets-Liab 5-6'!M41</f>
        <v>13068687</v>
      </c>
      <c r="C281" s="2" t="s">
        <v>594</v>
      </c>
      <c r="D281" s="2" t="str">
        <f t="shared" si="3"/>
        <v>Error?</v>
      </c>
    </row>
    <row r="282" spans="1:4" x14ac:dyDescent="0.2">
      <c r="A282" s="5">
        <v>221</v>
      </c>
      <c r="B282" s="138">
        <f>'Assets-Liab 5-6'!N21</f>
        <v>424216</v>
      </c>
      <c r="D282" s="2" t="str">
        <f t="shared" si="3"/>
        <v>Error?</v>
      </c>
    </row>
    <row r="283" spans="1:4" x14ac:dyDescent="0.2">
      <c r="A283" s="5">
        <v>222</v>
      </c>
      <c r="B283" s="138">
        <f>'Assets-Liab 5-6'!N22</f>
        <v>0</v>
      </c>
      <c r="D283" s="2" t="str">
        <f t="shared" si="3"/>
        <v>Error?</v>
      </c>
    </row>
    <row r="284" spans="1:4" x14ac:dyDescent="0.2">
      <c r="A284" s="5">
        <v>223</v>
      </c>
      <c r="B284" s="138">
        <f>'Assets-Liab 5-6'!N23</f>
        <v>424216</v>
      </c>
      <c r="C284" s="2" t="s">
        <v>594</v>
      </c>
      <c r="D284" s="2" t="str">
        <f t="shared" si="3"/>
        <v>Error?</v>
      </c>
    </row>
    <row r="285" spans="1:4" x14ac:dyDescent="0.2">
      <c r="A285" s="5">
        <v>224</v>
      </c>
      <c r="B285" s="138">
        <f>'Assets-Liab 5-6'!N36</f>
        <v>424216</v>
      </c>
      <c r="D285" s="2" t="str">
        <f t="shared" si="3"/>
        <v>Error?</v>
      </c>
    </row>
    <row r="286" spans="1:4" x14ac:dyDescent="0.2">
      <c r="A286" s="10">
        <v>225</v>
      </c>
      <c r="D286" s="2" t="str">
        <f t="shared" si="3"/>
        <v>OK</v>
      </c>
    </row>
    <row r="287" spans="1:4" x14ac:dyDescent="0.2">
      <c r="A287" s="5">
        <v>226</v>
      </c>
      <c r="B287" s="138">
        <f>'Assets-Liab 5-6'!N37</f>
        <v>424216</v>
      </c>
      <c r="C287" s="2" t="s">
        <v>594</v>
      </c>
      <c r="D287" s="2" t="str">
        <f t="shared" si="3"/>
        <v>Error?</v>
      </c>
    </row>
    <row r="288" spans="1:4" x14ac:dyDescent="0.2">
      <c r="A288" s="5">
        <v>227</v>
      </c>
      <c r="B288" s="138">
        <f>'Assets-Liab 5-6'!N41</f>
        <v>424216</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33168</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1672922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157775</v>
      </c>
      <c r="D717" s="2" t="str">
        <f t="shared" si="10"/>
        <v>Error?</v>
      </c>
    </row>
    <row r="718" spans="1:4" x14ac:dyDescent="0.2">
      <c r="A718" s="5">
        <v>657</v>
      </c>
      <c r="B718" s="138">
        <f>'Expenditures 15-22'!C14</f>
        <v>63245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2830574</v>
      </c>
      <c r="C720" s="2" t="s">
        <v>594</v>
      </c>
      <c r="D720" s="2" t="str">
        <f t="shared" si="10"/>
        <v>Error?</v>
      </c>
    </row>
    <row r="721" spans="1:4" x14ac:dyDescent="0.2">
      <c r="A721" s="5">
        <v>660</v>
      </c>
      <c r="B721" s="138">
        <f>'Expenditures 15-22'!C36</f>
        <v>55766</v>
      </c>
      <c r="D721" s="2" t="str">
        <f t="shared" si="10"/>
        <v>Error?</v>
      </c>
    </row>
    <row r="722" spans="1:4" x14ac:dyDescent="0.2">
      <c r="A722" s="5">
        <v>661</v>
      </c>
      <c r="B722" s="138">
        <f>'Expenditures 15-22'!C37</f>
        <v>51182</v>
      </c>
      <c r="D722" s="2" t="str">
        <f t="shared" si="10"/>
        <v>Error?</v>
      </c>
    </row>
    <row r="723" spans="1:4" x14ac:dyDescent="0.2">
      <c r="A723" s="5">
        <v>662</v>
      </c>
      <c r="B723" s="138">
        <f>'Expenditures 15-22'!C38</f>
        <v>64622</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4632</v>
      </c>
      <c r="D726" s="2" t="str">
        <f t="shared" si="10"/>
        <v>Error?</v>
      </c>
    </row>
    <row r="727" spans="1:4" x14ac:dyDescent="0.2">
      <c r="A727" s="5">
        <v>666</v>
      </c>
      <c r="B727" s="138">
        <f>'Expenditures 15-22'!C42</f>
        <v>176202</v>
      </c>
      <c r="C727" s="2" t="s">
        <v>594</v>
      </c>
      <c r="D727" s="2" t="str">
        <f t="shared" si="10"/>
        <v>Error?</v>
      </c>
    </row>
    <row r="728" spans="1:4" x14ac:dyDescent="0.2">
      <c r="A728" s="5">
        <v>667</v>
      </c>
      <c r="B728" s="138">
        <f>'Expenditures 15-22'!C44</f>
        <v>650</v>
      </c>
      <c r="D728" s="2" t="str">
        <f t="shared" si="10"/>
        <v>Error?</v>
      </c>
    </row>
    <row r="729" spans="1:4" x14ac:dyDescent="0.2">
      <c r="A729" s="5">
        <v>668</v>
      </c>
      <c r="B729" s="138">
        <f>'Expenditures 15-22'!C45</f>
        <v>35520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36170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115509</v>
      </c>
      <c r="D733" s="2" t="str">
        <f t="shared" si="10"/>
        <v>Error?</v>
      </c>
    </row>
    <row r="734" spans="1:4" x14ac:dyDescent="0.2">
      <c r="A734" s="5">
        <v>673</v>
      </c>
      <c r="B734" s="138">
        <f>'Expenditures 15-22'!C53</f>
        <v>115509</v>
      </c>
      <c r="C734" s="2" t="s">
        <v>594</v>
      </c>
      <c r="D734" s="2" t="str">
        <f t="shared" si="10"/>
        <v>Error?</v>
      </c>
    </row>
    <row r="735" spans="1:4" x14ac:dyDescent="0.2">
      <c r="A735" s="5">
        <v>674</v>
      </c>
      <c r="B735" s="138">
        <f>'Expenditures 15-22'!C55</f>
        <v>233670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233670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74073</v>
      </c>
      <c r="D739" s="2" t="str">
        <f t="shared" si="10"/>
        <v>Error?</v>
      </c>
    </row>
    <row r="740" spans="1:4" x14ac:dyDescent="0.2">
      <c r="A740" s="5">
        <v>679</v>
      </c>
      <c r="B740" s="138">
        <f>'Expenditures 15-22'!C61</f>
        <v>175030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114354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363457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9336</v>
      </c>
      <c r="D754" s="2" t="str">
        <f t="shared" si="10"/>
        <v>Error?</v>
      </c>
    </row>
    <row r="755" spans="1:4" x14ac:dyDescent="0.2">
      <c r="A755" s="5">
        <v>694</v>
      </c>
      <c r="B755" s="138">
        <f>'Expenditures 15-22'!C74</f>
        <v>934344</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3764918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451771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59558</v>
      </c>
      <c r="D775" s="2" t="str">
        <f t="shared" si="11"/>
        <v>Error?</v>
      </c>
    </row>
    <row r="776" spans="1:4" x14ac:dyDescent="0.2">
      <c r="A776" s="5">
        <v>715</v>
      </c>
      <c r="B776" s="138">
        <f>'Expenditures 15-22'!D14</f>
        <v>6098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761958</v>
      </c>
      <c r="C778" s="2" t="s">
        <v>594</v>
      </c>
      <c r="D778" s="2" t="str">
        <f t="shared" si="11"/>
        <v>Error?</v>
      </c>
    </row>
    <row r="779" spans="1:4" x14ac:dyDescent="0.2">
      <c r="A779" s="5">
        <v>718</v>
      </c>
      <c r="B779" s="138">
        <f>'Expenditures 15-22'!D36</f>
        <v>15509</v>
      </c>
      <c r="D779" s="2" t="str">
        <f t="shared" si="11"/>
        <v>Error?</v>
      </c>
    </row>
    <row r="780" spans="1:4" x14ac:dyDescent="0.2">
      <c r="A780" s="5">
        <v>719</v>
      </c>
      <c r="B780" s="138">
        <f>'Expenditures 15-22'!D37</f>
        <v>12980</v>
      </c>
      <c r="D780" s="2" t="str">
        <f t="shared" si="11"/>
        <v>Error?</v>
      </c>
    </row>
    <row r="781" spans="1:4" x14ac:dyDescent="0.2">
      <c r="A781" s="5">
        <v>720</v>
      </c>
      <c r="B781" s="138">
        <f>'Expenditures 15-22'!D38</f>
        <v>12642</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656</v>
      </c>
      <c r="D784" s="2" t="str">
        <f t="shared" si="11"/>
        <v>Error?</v>
      </c>
    </row>
    <row r="785" spans="1:4" x14ac:dyDescent="0.2">
      <c r="A785" s="5">
        <v>724</v>
      </c>
      <c r="B785" s="138">
        <f>'Expenditures 15-22'!D42</f>
        <v>41787</v>
      </c>
      <c r="C785" s="2" t="s">
        <v>594</v>
      </c>
      <c r="D785" s="2" t="str">
        <f t="shared" si="11"/>
        <v>Error?</v>
      </c>
    </row>
    <row r="786" spans="1:4" x14ac:dyDescent="0.2">
      <c r="A786" s="5">
        <v>725</v>
      </c>
      <c r="B786" s="138">
        <f>'Expenditures 15-22'!D44</f>
        <v>853</v>
      </c>
      <c r="D786" s="2" t="str">
        <f t="shared" si="11"/>
        <v>Error?</v>
      </c>
    </row>
    <row r="787" spans="1:4" x14ac:dyDescent="0.2">
      <c r="A787" s="5">
        <v>726</v>
      </c>
      <c r="B787" s="138">
        <f>'Expenditures 15-22'!D45</f>
        <v>5022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5875</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33435</v>
      </c>
      <c r="D791" s="2" t="str">
        <f t="shared" si="11"/>
        <v>Error?</v>
      </c>
    </row>
    <row r="792" spans="1:4" x14ac:dyDescent="0.2">
      <c r="A792" s="5">
        <v>731</v>
      </c>
      <c r="B792" s="138">
        <f>'Expenditures 15-22'!D53</f>
        <v>33435</v>
      </c>
      <c r="C792" s="2" t="s">
        <v>594</v>
      </c>
      <c r="D792" s="2" t="str">
        <f t="shared" si="11"/>
        <v>Error?</v>
      </c>
    </row>
    <row r="793" spans="1:4" x14ac:dyDescent="0.2">
      <c r="A793" s="5">
        <v>732</v>
      </c>
      <c r="B793" s="138">
        <f>'Expenditures 15-22'!D55</f>
        <v>65790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65790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26901</v>
      </c>
      <c r="D797" s="2" t="str">
        <f t="shared" si="11"/>
        <v>Error?</v>
      </c>
    </row>
    <row r="798" spans="1:4" x14ac:dyDescent="0.2">
      <c r="A798" s="5">
        <v>737</v>
      </c>
      <c r="B798" s="138">
        <f>'Expenditures 15-22'!D61</f>
        <v>25137</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27503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79541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1054</v>
      </c>
      <c r="D812" s="2" t="str">
        <f t="shared" si="11"/>
        <v>Error?</v>
      </c>
    </row>
    <row r="813" spans="1:4" x14ac:dyDescent="0.2">
      <c r="A813" s="5">
        <v>752</v>
      </c>
      <c r="B813" s="138">
        <f>'Expenditures 15-22'!D74</f>
        <v>227482</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989440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15766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3360</v>
      </c>
      <c r="D833" s="2" t="str">
        <f t="shared" si="12"/>
        <v>Error?</v>
      </c>
    </row>
    <row r="834" spans="1:4" x14ac:dyDescent="0.2">
      <c r="A834" s="5">
        <v>773</v>
      </c>
      <c r="B834" s="138">
        <f>'Expenditures 15-22'!E14</f>
        <v>17932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38016</v>
      </c>
      <c r="C836" s="2" t="s">
        <v>594</v>
      </c>
      <c r="D836" s="2" t="str">
        <f t="shared" si="12"/>
        <v>Error?</v>
      </c>
    </row>
    <row r="837" spans="1:4" x14ac:dyDescent="0.2">
      <c r="A837" s="5">
        <v>776</v>
      </c>
      <c r="B837" s="138">
        <f>'Expenditures 15-22'!E36</f>
        <v>3695</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510</v>
      </c>
      <c r="D842" s="2" t="str">
        <f t="shared" si="12"/>
        <v>Error?</v>
      </c>
    </row>
    <row r="843" spans="1:4" x14ac:dyDescent="0.2">
      <c r="A843" s="5">
        <v>782</v>
      </c>
      <c r="B843" s="138">
        <f>'Expenditures 15-22'!E42</f>
        <v>4268</v>
      </c>
      <c r="C843" s="2" t="s">
        <v>594</v>
      </c>
      <c r="D843" s="2" t="str">
        <f t="shared" si="12"/>
        <v>Error?</v>
      </c>
    </row>
    <row r="844" spans="1:4" x14ac:dyDescent="0.2">
      <c r="A844" s="5">
        <v>783</v>
      </c>
      <c r="B844" s="138">
        <f>'Expenditures 15-22'!E44</f>
        <v>9742</v>
      </c>
      <c r="D844" s="2" t="str">
        <f t="shared" si="12"/>
        <v>Error?</v>
      </c>
    </row>
    <row r="845" spans="1:4" x14ac:dyDescent="0.2">
      <c r="A845" s="5">
        <v>784</v>
      </c>
      <c r="B845" s="138">
        <f>'Expenditures 15-22'!E45</f>
        <v>3139</v>
      </c>
      <c r="D845" s="2" t="str">
        <f t="shared" si="12"/>
        <v>Error?</v>
      </c>
    </row>
    <row r="846" spans="1:4" x14ac:dyDescent="0.2">
      <c r="A846" s="5">
        <v>785</v>
      </c>
      <c r="B846" s="138">
        <f>'Expenditures 15-22'!E46</f>
        <v>9430</v>
      </c>
      <c r="D846" s="2" t="str">
        <f t="shared" si="12"/>
        <v>Error?</v>
      </c>
    </row>
    <row r="847" spans="1:4" x14ac:dyDescent="0.2">
      <c r="A847" s="5">
        <v>786</v>
      </c>
      <c r="B847" s="138">
        <f>'Expenditures 15-22'!E47</f>
        <v>22311</v>
      </c>
      <c r="C847" s="2" t="s">
        <v>594</v>
      </c>
      <c r="D847" s="2" t="str">
        <f t="shared" si="12"/>
        <v>Error?</v>
      </c>
    </row>
    <row r="848" spans="1:4" x14ac:dyDescent="0.2">
      <c r="A848" s="5">
        <v>787</v>
      </c>
      <c r="B848" s="138">
        <f>'Expenditures 15-22'!E49</f>
        <v>11163</v>
      </c>
      <c r="D848" s="2" t="str">
        <f t="shared" si="12"/>
        <v>Error?</v>
      </c>
    </row>
    <row r="849" spans="1:4" x14ac:dyDescent="0.2">
      <c r="A849" s="5">
        <v>788</v>
      </c>
      <c r="B849" s="138">
        <f>'Expenditures 15-22'!E50</f>
        <v>2625</v>
      </c>
      <c r="D849" s="2" t="str">
        <f t="shared" si="12"/>
        <v>Error?</v>
      </c>
    </row>
    <row r="850" spans="1:4" x14ac:dyDescent="0.2">
      <c r="A850" s="5">
        <v>789</v>
      </c>
      <c r="B850" s="138">
        <f>'Expenditures 15-22'!E53</f>
        <v>13788</v>
      </c>
      <c r="C850" s="2" t="s">
        <v>594</v>
      </c>
      <c r="D850" s="2" t="str">
        <f t="shared" si="12"/>
        <v>Error?</v>
      </c>
    </row>
    <row r="851" spans="1:4" x14ac:dyDescent="0.2">
      <c r="A851" s="5">
        <v>790</v>
      </c>
      <c r="B851" s="138">
        <f>'Expenditures 15-22'!E55</f>
        <v>5891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5891</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11939</v>
      </c>
      <c r="D855" s="2" t="str">
        <f t="shared" si="12"/>
        <v>Error?</v>
      </c>
    </row>
    <row r="856" spans="1:4" x14ac:dyDescent="0.2">
      <c r="A856" s="5">
        <v>795</v>
      </c>
      <c r="B856" s="138">
        <f>'Expenditures 15-22'!E61</f>
        <v>9264</v>
      </c>
      <c r="D856" s="2" t="str">
        <f t="shared" si="12"/>
        <v>Error?</v>
      </c>
    </row>
    <row r="857" spans="1:4" x14ac:dyDescent="0.2">
      <c r="A857" s="5">
        <v>796</v>
      </c>
      <c r="B857" s="138">
        <f>'Expenditures 15-22'!E62</f>
        <v>874</v>
      </c>
      <c r="D857" s="2" t="str">
        <f t="shared" si="12"/>
        <v>Error?</v>
      </c>
    </row>
    <row r="858" spans="1:4" x14ac:dyDescent="0.2">
      <c r="A858" s="5">
        <v>797</v>
      </c>
      <c r="B858" s="138">
        <f>'Expenditures 15-22'!E63</f>
        <v>1257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23334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69592</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135055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102734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24732</v>
      </c>
      <c r="D891" s="2" t="str">
        <f t="shared" si="12"/>
        <v>Error?</v>
      </c>
    </row>
    <row r="892" spans="1:4" x14ac:dyDescent="0.2">
      <c r="A892" s="5">
        <v>831</v>
      </c>
      <c r="B892" s="138">
        <f>'Expenditures 15-22'!F14</f>
        <v>1205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273159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4003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4003</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18052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18052</v>
      </c>
      <c r="C905" s="2" t="s">
        <v>594</v>
      </c>
      <c r="D905" s="2" t="str">
        <f t="shared" si="13"/>
        <v>Error?</v>
      </c>
    </row>
    <row r="906" spans="1:4" x14ac:dyDescent="0.2">
      <c r="A906" s="5">
        <v>845</v>
      </c>
      <c r="B906" s="138">
        <f>'Expenditures 15-22'!F49</f>
        <v>408</v>
      </c>
      <c r="D906" s="2" t="str">
        <f t="shared" si="13"/>
        <v>Error?</v>
      </c>
    </row>
    <row r="907" spans="1:4" x14ac:dyDescent="0.2">
      <c r="A907" s="5">
        <v>846</v>
      </c>
      <c r="B907" s="138">
        <f>'Expenditures 15-22'!F50</f>
        <v>3923</v>
      </c>
      <c r="D907" s="2" t="str">
        <f t="shared" si="13"/>
        <v>Error?</v>
      </c>
    </row>
    <row r="908" spans="1:4" x14ac:dyDescent="0.2">
      <c r="A908" s="5">
        <v>847</v>
      </c>
      <c r="B908" s="138">
        <f>'Expenditures 15-22'!F53</f>
        <v>4331</v>
      </c>
      <c r="C908" s="2" t="s">
        <v>594</v>
      </c>
      <c r="D908" s="2" t="str">
        <f t="shared" si="13"/>
        <v>Error?</v>
      </c>
    </row>
    <row r="909" spans="1:4" x14ac:dyDescent="0.2">
      <c r="A909" s="5">
        <v>848</v>
      </c>
      <c r="B909" s="138">
        <f>'Expenditures 15-22'!F55</f>
        <v>6198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6198</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742</v>
      </c>
      <c r="D913" s="2" t="str">
        <f t="shared" si="13"/>
        <v>Error?</v>
      </c>
    </row>
    <row r="914" spans="1:4" x14ac:dyDescent="0.2">
      <c r="A914" s="5">
        <v>853</v>
      </c>
      <c r="B914" s="138">
        <f>'Expenditures 15-22'!F61</f>
        <v>2080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246976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249798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303</v>
      </c>
      <c r="D928" s="2" t="str">
        <f t="shared" si="13"/>
        <v>Error?</v>
      </c>
    </row>
    <row r="929" spans="1:4" x14ac:dyDescent="0.2">
      <c r="A929" s="5">
        <v>868</v>
      </c>
      <c r="B929" s="138">
        <f>'Expenditures 15-22'!F74</f>
        <v>282685</v>
      </c>
      <c r="C929" s="2" t="s">
        <v>594</v>
      </c>
      <c r="D929" s="2" t="str">
        <f t="shared" si="13"/>
        <v>Error?</v>
      </c>
    </row>
    <row r="930" spans="1:4" x14ac:dyDescent="0.2">
      <c r="A930" s="5">
        <v>869</v>
      </c>
      <c r="B930" s="138">
        <f>'Expenditures 15-22'!F75</f>
        <v>7715</v>
      </c>
      <c r="D930" s="2" t="str">
        <f t="shared" si="13"/>
        <v>Error?</v>
      </c>
    </row>
    <row r="931" spans="1:4" x14ac:dyDescent="0.2">
      <c r="A931" s="5">
        <v>870</v>
      </c>
      <c r="B931" s="138">
        <f>'Expenditures 15-22'!F114</f>
        <v>563559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4690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42427</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1068</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1068</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93988</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15050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109038</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110106</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152533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6946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2141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71319</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9386</v>
      </c>
      <c r="D1022" s="2" t="str">
        <f t="shared" si="14"/>
        <v>Error?</v>
      </c>
    </row>
    <row r="1023" spans="1:4" x14ac:dyDescent="0.2">
      <c r="A1023" s="5">
        <v>962</v>
      </c>
      <c r="B1023" s="138">
        <f>'Expenditures 15-22'!H50</f>
        <v>3603</v>
      </c>
      <c r="D1023" s="2" t="str">
        <f t="shared" ref="D1023:D1086" si="15">IF(ISBLANK(B1023),"OK",IF(A1023-B1023=0,"OK","Error?"))</f>
        <v>Error?</v>
      </c>
    </row>
    <row r="1024" spans="1:4" x14ac:dyDescent="0.2">
      <c r="A1024" s="5">
        <v>963</v>
      </c>
      <c r="B1024" s="138">
        <f>'Expenditures 15-22'!H53</f>
        <v>12989</v>
      </c>
      <c r="C1024" s="2" t="s">
        <v>594</v>
      </c>
      <c r="D1024" s="2" t="str">
        <f t="shared" si="15"/>
        <v>Error?</v>
      </c>
    </row>
    <row r="1025" spans="1:4" x14ac:dyDescent="0.2">
      <c r="A1025" s="5">
        <v>964</v>
      </c>
      <c r="B1025" s="138">
        <f>'Expenditures 15-22'!H55</f>
        <v>490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490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13479</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159745</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244543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2254829</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245425</v>
      </c>
      <c r="C1105" s="2" t="s">
        <v>594</v>
      </c>
      <c r="D1105" s="2" t="str">
        <f t="shared" si="16"/>
        <v>Error?</v>
      </c>
    </row>
    <row r="1106" spans="1:4" x14ac:dyDescent="0.2">
      <c r="A1106" s="5">
        <v>1045</v>
      </c>
      <c r="B1106" s="138">
        <f>'Expenditures 15-22'!K14</f>
        <v>90621</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4017453</v>
      </c>
      <c r="C1108" s="2" t="s">
        <v>594</v>
      </c>
      <c r="D1108" s="2" t="str">
        <f t="shared" si="16"/>
        <v>Error?</v>
      </c>
    </row>
    <row r="1109" spans="1:4" x14ac:dyDescent="0.2">
      <c r="A1109" s="5">
        <v>1048</v>
      </c>
      <c r="B1109" s="138">
        <f>'Expenditures 15-22'!K36</f>
        <v>74970</v>
      </c>
      <c r="C1109" s="2" t="s">
        <v>594</v>
      </c>
      <c r="D1109" s="2" t="str">
        <f t="shared" si="16"/>
        <v>Error?</v>
      </c>
    </row>
    <row r="1110" spans="1:4" x14ac:dyDescent="0.2">
      <c r="A1110" s="5">
        <v>1049</v>
      </c>
      <c r="B1110" s="138">
        <f>'Expenditures 15-22'!K37</f>
        <v>64162</v>
      </c>
      <c r="C1110" s="2" t="s">
        <v>594</v>
      </c>
      <c r="D1110" s="2" t="str">
        <f t="shared" si="16"/>
        <v>Error?</v>
      </c>
    </row>
    <row r="1111" spans="1:4" x14ac:dyDescent="0.2">
      <c r="A1111" s="5">
        <v>1050</v>
      </c>
      <c r="B1111" s="138">
        <f>'Expenditures 15-22'!K38</f>
        <v>81330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5798</v>
      </c>
      <c r="C1114" s="2" t="s">
        <v>594</v>
      </c>
      <c r="D1114" s="2" t="str">
        <f t="shared" si="16"/>
        <v>Error?</v>
      </c>
    </row>
    <row r="1115" spans="1:4" x14ac:dyDescent="0.2">
      <c r="A1115" s="5">
        <v>1054</v>
      </c>
      <c r="B1115" s="138">
        <f>'Expenditures 15-22'!K42</f>
        <v>226260</v>
      </c>
      <c r="C1115" s="2" t="s">
        <v>594</v>
      </c>
      <c r="D1115" s="2" t="str">
        <f t="shared" si="16"/>
        <v>Error?</v>
      </c>
    </row>
    <row r="1116" spans="1:4" x14ac:dyDescent="0.2">
      <c r="A1116" s="5">
        <v>1055</v>
      </c>
      <c r="B1116" s="138">
        <f>'Expenditures 15-22'!K44</f>
        <v>11245</v>
      </c>
      <c r="C1116" s="2" t="s">
        <v>594</v>
      </c>
      <c r="D1116" s="2" t="str">
        <f t="shared" si="16"/>
        <v>Error?</v>
      </c>
    </row>
    <row r="1117" spans="1:4" x14ac:dyDescent="0.2">
      <c r="A1117" s="5">
        <v>1056</v>
      </c>
      <c r="B1117" s="138">
        <f>'Expenditures 15-22'!K45</f>
        <v>62801</v>
      </c>
      <c r="C1117" s="2" t="s">
        <v>594</v>
      </c>
      <c r="D1117" s="2" t="str">
        <f t="shared" si="16"/>
        <v>Error?</v>
      </c>
    </row>
    <row r="1118" spans="1:4" x14ac:dyDescent="0.2">
      <c r="A1118" s="5">
        <v>1057</v>
      </c>
      <c r="B1118" s="138">
        <f>'Expenditures 15-22'!K46</f>
        <v>9430</v>
      </c>
      <c r="C1118" s="2" t="s">
        <v>594</v>
      </c>
      <c r="D1118" s="2" t="str">
        <f t="shared" si="16"/>
        <v>Error?</v>
      </c>
    </row>
    <row r="1119" spans="1:4" x14ac:dyDescent="0.2">
      <c r="A1119" s="5">
        <v>1058</v>
      </c>
      <c r="B1119" s="138">
        <f>'Expenditures 15-22'!K47</f>
        <v>83476</v>
      </c>
      <c r="C1119" s="2" t="s">
        <v>594</v>
      </c>
      <c r="D1119" s="2" t="str">
        <f t="shared" si="16"/>
        <v>Error?</v>
      </c>
    </row>
    <row r="1120" spans="1:4" x14ac:dyDescent="0.2">
      <c r="A1120" s="5">
        <v>1059</v>
      </c>
      <c r="B1120" s="138">
        <f>'Expenditures 15-22'!K49</f>
        <v>20957</v>
      </c>
      <c r="C1120" s="2" t="s">
        <v>594</v>
      </c>
      <c r="D1120" s="2" t="str">
        <f t="shared" si="16"/>
        <v>Error?</v>
      </c>
    </row>
    <row r="1121" spans="1:4" x14ac:dyDescent="0.2">
      <c r="A1121" s="5">
        <v>1060</v>
      </c>
      <c r="B1121" s="138">
        <f>'Expenditures 15-22'!K50</f>
        <v>159095</v>
      </c>
      <c r="C1121" s="2" t="s">
        <v>594</v>
      </c>
      <c r="D1121" s="2" t="str">
        <f t="shared" si="16"/>
        <v>Error?</v>
      </c>
    </row>
    <row r="1122" spans="1:4" x14ac:dyDescent="0.2">
      <c r="A1122" s="5">
        <v>1061</v>
      </c>
      <c r="B1122" s="138">
        <f>'Expenditures 15-22'!K53</f>
        <v>180052</v>
      </c>
      <c r="C1122" s="2" t="s">
        <v>594</v>
      </c>
      <c r="D1122" s="2" t="str">
        <f t="shared" si="16"/>
        <v>Error?</v>
      </c>
    </row>
    <row r="1123" spans="1:4" x14ac:dyDescent="0.2">
      <c r="A1123" s="5">
        <v>1062</v>
      </c>
      <c r="B1123" s="138">
        <f>'Expenditures 15-22'!K55</f>
        <v>312039</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312039</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113655</v>
      </c>
      <c r="C1127" s="2" t="s">
        <v>594</v>
      </c>
      <c r="D1127" s="2" t="str">
        <f t="shared" si="16"/>
        <v>Error?</v>
      </c>
    </row>
    <row r="1128" spans="1:4" x14ac:dyDescent="0.2">
      <c r="A1128" s="5">
        <v>1067</v>
      </c>
      <c r="B1128" s="138">
        <f>'Expenditures 15-22'!K61</f>
        <v>305499</v>
      </c>
      <c r="C1128" s="2" t="s">
        <v>594</v>
      </c>
      <c r="D1128" s="2" t="str">
        <f t="shared" si="16"/>
        <v>Error?</v>
      </c>
    </row>
    <row r="1129" spans="1:4" x14ac:dyDescent="0.2">
      <c r="A1129" s="5">
        <v>1068</v>
      </c>
      <c r="B1129" s="138">
        <f>'Expenditures 15-22'!K62</f>
        <v>874</v>
      </c>
      <c r="C1129" s="2" t="s">
        <v>594</v>
      </c>
      <c r="D1129" s="2" t="str">
        <f t="shared" si="16"/>
        <v>Error?</v>
      </c>
    </row>
    <row r="1130" spans="1:4" x14ac:dyDescent="0.2">
      <c r="A1130" s="5">
        <v>1069</v>
      </c>
      <c r="B1130" s="138">
        <f>'Expenditures 15-22'!K63</f>
        <v>405140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825168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10693</v>
      </c>
      <c r="C1142" s="2" t="s">
        <v>594</v>
      </c>
      <c r="D1142" s="2" t="str">
        <f t="shared" si="16"/>
        <v>Error?</v>
      </c>
    </row>
    <row r="1143" spans="1:4" x14ac:dyDescent="0.2">
      <c r="A1143" s="5">
        <v>1082</v>
      </c>
      <c r="B1143" s="138">
        <f>'Expenditures 15-22'!K74</f>
        <v>1637688</v>
      </c>
      <c r="C1143" s="2" t="s">
        <v>594</v>
      </c>
      <c r="D1143" s="2" t="str">
        <f t="shared" si="16"/>
        <v>Error?</v>
      </c>
    </row>
    <row r="1144" spans="1:4" x14ac:dyDescent="0.2">
      <c r="A1144" s="5">
        <v>1083</v>
      </c>
      <c r="B1144" s="138">
        <f>'Expenditures 15-22'!K75</f>
        <v>7715</v>
      </c>
      <c r="C1144" s="2" t="s">
        <v>594</v>
      </c>
      <c r="D1144" s="2" t="str">
        <f t="shared" si="16"/>
        <v>Error?</v>
      </c>
    </row>
    <row r="1145" spans="1:4" x14ac:dyDescent="0.2">
      <c r="A1145" s="5">
        <v>1084</v>
      </c>
      <c r="B1145" s="138">
        <f>'Expenditures 15-22'!K102</f>
        <v>187192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5850048</v>
      </c>
      <c r="C1152" s="2" t="s">
        <v>594</v>
      </c>
      <c r="D1152" s="2" t="str">
        <f t="shared" si="17"/>
        <v>Error?</v>
      </c>
    </row>
    <row r="1153" spans="1:4" x14ac:dyDescent="0.2">
      <c r="A1153" s="5">
        <v>1092</v>
      </c>
      <c r="B1153" s="138">
        <f>'Expenditures 15-22'!K115</f>
        <v>484141</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59199</v>
      </c>
      <c r="D1237" s="2" t="str">
        <f t="shared" si="18"/>
        <v>Error?</v>
      </c>
    </row>
    <row r="1238" spans="1:4" x14ac:dyDescent="0.2">
      <c r="A1238" s="10">
        <v>1177</v>
      </c>
      <c r="D1238" s="2" t="str">
        <f t="shared" si="18"/>
        <v>OK</v>
      </c>
    </row>
    <row r="1239" spans="1:4" x14ac:dyDescent="0.2">
      <c r="A1239" s="5">
        <v>1178</v>
      </c>
      <c r="B1239" s="138">
        <f>'Expenditures 15-22'!E127</f>
        <v>59199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59199</v>
      </c>
      <c r="C1241" s="2" t="s">
        <v>594</v>
      </c>
      <c r="D1241" s="2" t="str">
        <f t="shared" si="18"/>
        <v>Error?</v>
      </c>
    </row>
    <row r="1242" spans="1:4" x14ac:dyDescent="0.2">
      <c r="A1242" s="5">
        <v>1181</v>
      </c>
      <c r="B1242" s="138">
        <f>'Expenditures 15-22'!E151</f>
        <v>59199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252992</v>
      </c>
      <c r="D1245" s="2" t="str">
        <f t="shared" si="18"/>
        <v>Error?</v>
      </c>
    </row>
    <row r="1246" spans="1:4" x14ac:dyDescent="0.2">
      <c r="A1246" s="10">
        <v>1185</v>
      </c>
      <c r="D1246" s="2" t="str">
        <f t="shared" si="18"/>
        <v>OK</v>
      </c>
    </row>
    <row r="1247" spans="1:4" x14ac:dyDescent="0.2">
      <c r="A1247" s="5">
        <v>1186</v>
      </c>
      <c r="B1247" s="138">
        <f>'Expenditures 15-22'!F127</f>
        <v>252992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252992</v>
      </c>
      <c r="C1249" s="2" t="s">
        <v>594</v>
      </c>
      <c r="D1249" s="2" t="str">
        <f t="shared" si="18"/>
        <v>Error?</v>
      </c>
    </row>
    <row r="1250" spans="1:4" x14ac:dyDescent="0.2">
      <c r="A1250" s="5">
        <v>1189</v>
      </c>
      <c r="B1250" s="138">
        <f>'Expenditures 15-22'!F151</f>
        <v>252992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20553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20553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20553</v>
      </c>
      <c r="C1258" s="2" t="s">
        <v>594</v>
      </c>
      <c r="D1258" s="2" t="str">
        <f t="shared" si="18"/>
        <v>Error?</v>
      </c>
    </row>
    <row r="1259" spans="1:4" x14ac:dyDescent="0.2">
      <c r="A1259" s="5">
        <v>1198</v>
      </c>
      <c r="B1259" s="138">
        <f>'Expenditures 15-22'!G151</f>
        <v>20553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50</v>
      </c>
      <c r="D1262" s="2" t="str">
        <f t="shared" si="18"/>
        <v>Error?</v>
      </c>
    </row>
    <row r="1263" spans="1:4" x14ac:dyDescent="0.2">
      <c r="A1263" s="10">
        <v>1202</v>
      </c>
      <c r="D1263" s="2" t="str">
        <f t="shared" si="18"/>
        <v>OK</v>
      </c>
    </row>
    <row r="1264" spans="1:4" x14ac:dyDescent="0.2">
      <c r="A1264" s="5">
        <v>1203</v>
      </c>
      <c r="B1264" s="138">
        <f>'Expenditures 15-22'!H127</f>
        <v>50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50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332794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332794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332794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332794</v>
      </c>
      <c r="C1288" s="2" t="s">
        <v>594</v>
      </c>
      <c r="D1288" s="2" t="str">
        <f t="shared" si="19"/>
        <v>Error?</v>
      </c>
    </row>
    <row r="1289" spans="1:4" x14ac:dyDescent="0.2">
      <c r="A1289" s="5">
        <v>1228</v>
      </c>
      <c r="B1289" s="138">
        <f>'Expenditures 15-22'!K152</f>
        <v>-79123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13291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53987</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67278</v>
      </c>
      <c r="C1317" s="2" t="s">
        <v>594</v>
      </c>
      <c r="D1317" s="2" t="str">
        <f t="shared" si="19"/>
        <v>Error?</v>
      </c>
    </row>
    <row r="1318" spans="1:4" x14ac:dyDescent="0.2">
      <c r="A1318" s="5">
        <v>1257</v>
      </c>
      <c r="B1318" s="138">
        <f>'Expenditures 15-22'!H174</f>
        <v>67278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13291</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53987</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67278</v>
      </c>
      <c r="C1331" s="2" t="s">
        <v>594</v>
      </c>
      <c r="D1331" s="2" t="str">
        <f t="shared" si="19"/>
        <v>Error?</v>
      </c>
    </row>
    <row r="1332" spans="1:4" x14ac:dyDescent="0.2">
      <c r="A1332" s="5">
        <v>1271</v>
      </c>
      <c r="B1332" s="138">
        <f>'Expenditures 15-22'!K174</f>
        <v>67278</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259639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4721</v>
      </c>
      <c r="D1338" s="2" t="str">
        <f t="shared" si="19"/>
        <v>Error?</v>
      </c>
    </row>
    <row r="1339" spans="1:4" x14ac:dyDescent="0.2">
      <c r="A1339" s="5">
        <v>1278</v>
      </c>
      <c r="B1339" s="138">
        <f>'Expenditures 15-22'!C184</f>
        <v>264360</v>
      </c>
      <c r="C1339" s="2" t="s">
        <v>594</v>
      </c>
      <c r="D1339" s="2" t="str">
        <f t="shared" si="19"/>
        <v>Error?</v>
      </c>
    </row>
    <row r="1340" spans="1:4" x14ac:dyDescent="0.2">
      <c r="A1340" s="5">
        <v>1279</v>
      </c>
      <c r="B1340" s="138">
        <f>'Expenditures 15-22'!C210</f>
        <v>264360</v>
      </c>
      <c r="C1340" s="2" t="s">
        <v>594</v>
      </c>
      <c r="D1340" s="2" t="str">
        <f t="shared" si="19"/>
        <v>Error?</v>
      </c>
    </row>
    <row r="1341" spans="1:4" x14ac:dyDescent="0.2">
      <c r="A1341" s="5">
        <v>1280</v>
      </c>
      <c r="B1341" s="138">
        <f>'Expenditures 15-22'!D182</f>
        <v>33933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1437</v>
      </c>
      <c r="D1344" s="2" t="str">
        <f t="shared" si="20"/>
        <v>Error?</v>
      </c>
    </row>
    <row r="1345" spans="1:4" x14ac:dyDescent="0.2">
      <c r="A1345" s="5">
        <v>1284</v>
      </c>
      <c r="B1345" s="138">
        <f>'Expenditures 15-22'!D184</f>
        <v>35370</v>
      </c>
      <c r="C1345" s="2" t="s">
        <v>594</v>
      </c>
      <c r="D1345" s="2" t="str">
        <f t="shared" si="20"/>
        <v>Error?</v>
      </c>
    </row>
    <row r="1346" spans="1:4" x14ac:dyDescent="0.2">
      <c r="A1346" s="5">
        <v>1285</v>
      </c>
      <c r="B1346" s="138">
        <f>'Expenditures 15-22'!D210</f>
        <v>35370</v>
      </c>
      <c r="C1346" s="2" t="s">
        <v>594</v>
      </c>
      <c r="D1346" s="2" t="str">
        <f t="shared" si="20"/>
        <v>Error?</v>
      </c>
    </row>
    <row r="1347" spans="1:4" x14ac:dyDescent="0.2">
      <c r="A1347" s="5">
        <v>1286</v>
      </c>
      <c r="B1347" s="138">
        <f>'Expenditures 15-22'!E182</f>
        <v>26109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13776</v>
      </c>
      <c r="D1350" s="2" t="str">
        <f t="shared" si="20"/>
        <v>Error?</v>
      </c>
    </row>
    <row r="1351" spans="1:4" x14ac:dyDescent="0.2">
      <c r="A1351" s="5">
        <v>1290</v>
      </c>
      <c r="B1351" s="138">
        <f>'Expenditures 15-22'!E184</f>
        <v>39885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39885</v>
      </c>
      <c r="C1353" s="2" t="s">
        <v>594</v>
      </c>
      <c r="D1353" s="2" t="str">
        <f t="shared" si="20"/>
        <v>Error?</v>
      </c>
    </row>
    <row r="1354" spans="1:4" x14ac:dyDescent="0.2">
      <c r="A1354" s="5">
        <v>1293</v>
      </c>
      <c r="B1354" s="138">
        <f>'Expenditures 15-22'!F182</f>
        <v>95642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95642</v>
      </c>
      <c r="C1358" s="2" t="s">
        <v>594</v>
      </c>
      <c r="D1358" s="2" t="str">
        <f t="shared" si="20"/>
        <v>Error?</v>
      </c>
    </row>
    <row r="1359" spans="1:4" x14ac:dyDescent="0.2">
      <c r="A1359" s="5">
        <v>1298</v>
      </c>
      <c r="B1359" s="138">
        <f>'Expenditures 15-22'!F210</f>
        <v>95642</v>
      </c>
      <c r="C1359" s="2" t="s">
        <v>594</v>
      </c>
      <c r="D1359" s="2" t="str">
        <f t="shared" si="20"/>
        <v>Error?</v>
      </c>
    </row>
    <row r="1360" spans="1:4" x14ac:dyDescent="0.2">
      <c r="A1360" s="5">
        <v>1299</v>
      </c>
      <c r="B1360" s="138">
        <f>'Expenditures 15-22'!G182</f>
        <v>19969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19969</v>
      </c>
      <c r="C1364" s="2" t="s">
        <v>594</v>
      </c>
      <c r="D1364" s="2" t="str">
        <f t="shared" si="20"/>
        <v>Error?</v>
      </c>
    </row>
    <row r="1365" spans="1:4" x14ac:dyDescent="0.2">
      <c r="A1365" s="5">
        <v>1304</v>
      </c>
      <c r="B1365" s="138">
        <f>'Expenditures 15-22'!G210</f>
        <v>19969</v>
      </c>
      <c r="C1365" s="2" t="s">
        <v>594</v>
      </c>
      <c r="D1365" s="2" t="str">
        <f t="shared" si="20"/>
        <v>Error?</v>
      </c>
    </row>
    <row r="1366" spans="1:4" x14ac:dyDescent="0.2">
      <c r="A1366" s="5">
        <v>1305</v>
      </c>
      <c r="B1366" s="138">
        <f>'Expenditures 15-22'!H182</f>
        <v>6396</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6396</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57494</v>
      </c>
      <c r="C1375" s="2" t="s">
        <v>594</v>
      </c>
      <c r="D1375" s="2" t="str">
        <f t="shared" si="20"/>
        <v>Error?</v>
      </c>
    </row>
    <row r="1376" spans="1:4" x14ac:dyDescent="0.2">
      <c r="A1376" s="5">
        <v>1315</v>
      </c>
      <c r="B1376" s="138">
        <f>'Expenditures 15-22'!H210</f>
        <v>63890</v>
      </c>
      <c r="C1376" s="2" t="s">
        <v>594</v>
      </c>
      <c r="D1376" s="2" t="str">
        <f t="shared" si="20"/>
        <v>Error?</v>
      </c>
    </row>
    <row r="1377" spans="1:4" x14ac:dyDescent="0.2">
      <c r="A1377" s="5">
        <v>1316</v>
      </c>
      <c r="B1377" s="138">
        <f>'Expenditures 15-22'!K182</f>
        <v>441688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19934</v>
      </c>
      <c r="C1380" s="2" t="s">
        <v>594</v>
      </c>
      <c r="D1380" s="2" t="str">
        <f t="shared" si="20"/>
        <v>Error?</v>
      </c>
    </row>
    <row r="1381" spans="1:4" x14ac:dyDescent="0.2">
      <c r="A1381" s="5">
        <v>1320</v>
      </c>
      <c r="B1381" s="138">
        <f>'Expenditures 15-22'!K184</f>
        <v>461622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57494</v>
      </c>
      <c r="C1387" s="2" t="s">
        <v>594</v>
      </c>
      <c r="D1387" s="2" t="str">
        <f t="shared" si="20"/>
        <v>Error?</v>
      </c>
    </row>
    <row r="1388" spans="1:4" x14ac:dyDescent="0.2">
      <c r="A1388" s="5">
        <v>1327</v>
      </c>
      <c r="B1388" s="138">
        <f>'Expenditures 15-22'!K210</f>
        <v>519116</v>
      </c>
      <c r="C1388" s="2" t="s">
        <v>594</v>
      </c>
      <c r="D1388" s="2" t="str">
        <f t="shared" si="20"/>
        <v>Error?</v>
      </c>
    </row>
    <row r="1389" spans="1:4" x14ac:dyDescent="0.2">
      <c r="A1389" s="5">
        <v>1328</v>
      </c>
      <c r="B1389" s="138">
        <f>'Expenditures 15-22'!K211</f>
        <v>139813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2223</v>
      </c>
      <c r="D1407" s="2" t="str">
        <f t="shared" ref="D1407:D1470" si="21">IF(ISBLANK(B1407),"OK",IF(A1407-B1407=0,"OK","Error?"))</f>
        <v>Error?</v>
      </c>
    </row>
    <row r="1408" spans="1:4" x14ac:dyDescent="0.2">
      <c r="A1408" s="5">
        <v>1347</v>
      </c>
      <c r="B1408" s="138">
        <f>'Expenditures 15-22'!D223</f>
        <v>2507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125702</v>
      </c>
      <c r="C1410" s="2" t="s">
        <v>594</v>
      </c>
      <c r="D1410" s="2" t="str">
        <f t="shared" si="21"/>
        <v>Error?</v>
      </c>
    </row>
    <row r="1411" spans="1:4" x14ac:dyDescent="0.2">
      <c r="A1411" s="5">
        <v>1350</v>
      </c>
      <c r="B1411" s="138">
        <f>'Expenditures 15-22'!D232</f>
        <v>4969</v>
      </c>
      <c r="D1411" s="2" t="str">
        <f t="shared" si="21"/>
        <v>Error?</v>
      </c>
    </row>
    <row r="1412" spans="1:4" x14ac:dyDescent="0.2">
      <c r="A1412" s="5">
        <v>1351</v>
      </c>
      <c r="B1412" s="138">
        <f>'Expenditures 15-22'!D233</f>
        <v>916</v>
      </c>
      <c r="D1412" s="2" t="str">
        <f t="shared" si="21"/>
        <v>Error?</v>
      </c>
    </row>
    <row r="1413" spans="1:4" x14ac:dyDescent="0.2">
      <c r="A1413" s="5">
        <v>1352</v>
      </c>
      <c r="B1413" s="138">
        <f>'Expenditures 15-22'!D234</f>
        <v>16160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67</v>
      </c>
      <c r="D1416" s="2" t="str">
        <f t="shared" si="21"/>
        <v>Error?</v>
      </c>
    </row>
    <row r="1417" spans="1:4" x14ac:dyDescent="0.2">
      <c r="A1417" s="5">
        <v>1356</v>
      </c>
      <c r="B1417" s="138">
        <f>'Expenditures 15-22'!D238</f>
        <v>22112</v>
      </c>
      <c r="C1417" s="2" t="s">
        <v>594</v>
      </c>
      <c r="D1417" s="2" t="str">
        <f t="shared" si="21"/>
        <v>Error?</v>
      </c>
    </row>
    <row r="1418" spans="1:4" x14ac:dyDescent="0.2">
      <c r="A1418" s="5">
        <v>1357</v>
      </c>
      <c r="B1418" s="138">
        <f>'Expenditures 15-22'!D240</f>
        <v>10</v>
      </c>
      <c r="D1418" s="2" t="str">
        <f t="shared" si="21"/>
        <v>Error?</v>
      </c>
    </row>
    <row r="1419" spans="1:4" x14ac:dyDescent="0.2">
      <c r="A1419" s="5">
        <v>1358</v>
      </c>
      <c r="B1419" s="138">
        <f>'Expenditures 15-22'!D241</f>
        <v>9037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9047</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9393</v>
      </c>
      <c r="D1423" s="2" t="str">
        <f t="shared" si="21"/>
        <v>Error?</v>
      </c>
    </row>
    <row r="1424" spans="1:4" x14ac:dyDescent="0.2">
      <c r="A1424" s="5">
        <v>1363</v>
      </c>
      <c r="B1424" s="138">
        <f>'Expenditures 15-22'!D257</f>
        <v>24939</v>
      </c>
      <c r="C1424" s="2" t="s">
        <v>594</v>
      </c>
      <c r="D1424" s="2" t="str">
        <f t="shared" si="21"/>
        <v>Error?</v>
      </c>
    </row>
    <row r="1425" spans="1:4" x14ac:dyDescent="0.2">
      <c r="A1425" s="5">
        <v>1364</v>
      </c>
      <c r="B1425" s="138">
        <f>'Expenditures 15-22'!D259</f>
        <v>35132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35132</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18053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43257</v>
      </c>
      <c r="D1431" s="2" t="str">
        <f t="shared" si="21"/>
        <v>Error?</v>
      </c>
    </row>
    <row r="1432" spans="1:4" x14ac:dyDescent="0.2">
      <c r="A1432" s="5">
        <v>1371</v>
      </c>
      <c r="B1432" s="138">
        <f>'Expenditures 15-22'!D267</f>
        <v>60149</v>
      </c>
      <c r="D1432" s="2" t="str">
        <f t="shared" si="21"/>
        <v>Error?</v>
      </c>
    </row>
    <row r="1433" spans="1:4" x14ac:dyDescent="0.2">
      <c r="A1433" s="5">
        <v>1372</v>
      </c>
      <c r="B1433" s="138">
        <f>'Expenditures 15-22'!D268</f>
        <v>30241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151700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135</v>
      </c>
      <c r="D1445" s="2" t="str">
        <f t="shared" si="21"/>
        <v>Error?</v>
      </c>
    </row>
    <row r="1446" spans="1:4" x14ac:dyDescent="0.2">
      <c r="A1446" s="5">
        <v>1385</v>
      </c>
      <c r="B1446" s="138">
        <f>'Expenditures 15-22'!D279</f>
        <v>243065</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368767</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2223</v>
      </c>
      <c r="C1471" s="2" t="s">
        <v>594</v>
      </c>
      <c r="D1471" s="2" t="str">
        <f t="shared" ref="D1471:D1534" si="22">IF(ISBLANK(B1471),"OK",IF(A1471-B1471=0,"OK","Error?"))</f>
        <v>Error?</v>
      </c>
    </row>
    <row r="1472" spans="1:4" x14ac:dyDescent="0.2">
      <c r="A1472" s="5">
        <v>1411</v>
      </c>
      <c r="B1472" s="138">
        <f>'Expenditures 15-22'!K223</f>
        <v>2507</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125702</v>
      </c>
      <c r="C1474" s="2" t="s">
        <v>594</v>
      </c>
      <c r="D1474" s="2" t="str">
        <f t="shared" si="22"/>
        <v>Error?</v>
      </c>
    </row>
    <row r="1475" spans="1:4" x14ac:dyDescent="0.2">
      <c r="A1475" s="5">
        <v>1414</v>
      </c>
      <c r="B1475" s="138">
        <f>'Expenditures 15-22'!K232</f>
        <v>4969</v>
      </c>
      <c r="C1475" s="2" t="s">
        <v>594</v>
      </c>
      <c r="D1475" s="2" t="str">
        <f t="shared" si="22"/>
        <v>Error?</v>
      </c>
    </row>
    <row r="1476" spans="1:4" x14ac:dyDescent="0.2">
      <c r="A1476" s="5">
        <v>1415</v>
      </c>
      <c r="B1476" s="138">
        <f>'Expenditures 15-22'!K233</f>
        <v>916</v>
      </c>
      <c r="C1476" s="2" t="s">
        <v>594</v>
      </c>
      <c r="D1476" s="2" t="str">
        <f t="shared" si="22"/>
        <v>Error?</v>
      </c>
    </row>
    <row r="1477" spans="1:4" x14ac:dyDescent="0.2">
      <c r="A1477" s="5">
        <v>1416</v>
      </c>
      <c r="B1477" s="138">
        <f>'Expenditures 15-22'!K234</f>
        <v>16160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67</v>
      </c>
      <c r="C1480" s="2" t="s">
        <v>594</v>
      </c>
      <c r="D1480" s="2" t="str">
        <f t="shared" si="22"/>
        <v>Error?</v>
      </c>
    </row>
    <row r="1481" spans="1:4" x14ac:dyDescent="0.2">
      <c r="A1481" s="5">
        <v>1420</v>
      </c>
      <c r="B1481" s="138">
        <f>'Expenditures 15-22'!K238</f>
        <v>22112</v>
      </c>
      <c r="C1481" s="2" t="s">
        <v>594</v>
      </c>
      <c r="D1481" s="2" t="str">
        <f t="shared" si="22"/>
        <v>Error?</v>
      </c>
    </row>
    <row r="1482" spans="1:4" x14ac:dyDescent="0.2">
      <c r="A1482" s="5">
        <v>1421</v>
      </c>
      <c r="B1482" s="138">
        <f>'Expenditures 15-22'!K240</f>
        <v>10</v>
      </c>
      <c r="C1482" s="2" t="s">
        <v>594</v>
      </c>
      <c r="D1482" s="2" t="str">
        <f t="shared" si="22"/>
        <v>Error?</v>
      </c>
    </row>
    <row r="1483" spans="1:4" x14ac:dyDescent="0.2">
      <c r="A1483" s="5">
        <v>1422</v>
      </c>
      <c r="B1483" s="138">
        <f>'Expenditures 15-22'!K241</f>
        <v>9037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9047</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9393</v>
      </c>
      <c r="C1487" s="2" t="s">
        <v>594</v>
      </c>
      <c r="D1487" s="2" t="str">
        <f t="shared" si="22"/>
        <v>Error?</v>
      </c>
    </row>
    <row r="1488" spans="1:4" x14ac:dyDescent="0.2">
      <c r="A1488" s="5">
        <v>1427</v>
      </c>
      <c r="B1488" s="138">
        <f>'Expenditures 15-22'!K257</f>
        <v>24939</v>
      </c>
      <c r="C1488" s="2" t="s">
        <v>594</v>
      </c>
      <c r="D1488" s="2" t="str">
        <f t="shared" si="22"/>
        <v>Error?</v>
      </c>
    </row>
    <row r="1489" spans="1:4" x14ac:dyDescent="0.2">
      <c r="A1489" s="5">
        <v>1428</v>
      </c>
      <c r="B1489" s="138">
        <f>'Expenditures 15-22'!K259</f>
        <v>35132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35132</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18053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43257</v>
      </c>
      <c r="C1495" s="2" t="s">
        <v>594</v>
      </c>
      <c r="D1495" s="2" t="str">
        <f t="shared" si="22"/>
        <v>Error?</v>
      </c>
    </row>
    <row r="1496" spans="1:4" x14ac:dyDescent="0.2">
      <c r="A1496" s="5">
        <v>1435</v>
      </c>
      <c r="B1496" s="138">
        <f>'Expenditures 15-22'!K267</f>
        <v>60149</v>
      </c>
      <c r="C1496" s="2" t="s">
        <v>594</v>
      </c>
      <c r="D1496" s="2" t="str">
        <f t="shared" si="22"/>
        <v>Error?</v>
      </c>
    </row>
    <row r="1497" spans="1:4" x14ac:dyDescent="0.2">
      <c r="A1497" s="5">
        <v>1436</v>
      </c>
      <c r="B1497" s="138">
        <f>'Expenditures 15-22'!K268</f>
        <v>30241</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151700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135</v>
      </c>
      <c r="C1509" s="2" t="s">
        <v>594</v>
      </c>
      <c r="D1509" s="2" t="str">
        <f t="shared" si="22"/>
        <v>Error?</v>
      </c>
    </row>
    <row r="1510" spans="1:4" x14ac:dyDescent="0.2">
      <c r="A1510" s="5">
        <v>1449</v>
      </c>
      <c r="B1510" s="138">
        <f>'Expenditures 15-22'!K279</f>
        <v>243065</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368767</v>
      </c>
      <c r="C1517" s="2" t="s">
        <v>594</v>
      </c>
      <c r="D1517" s="2" t="str">
        <f t="shared" si="22"/>
        <v>Error?</v>
      </c>
    </row>
    <row r="1518" spans="1:4" x14ac:dyDescent="0.2">
      <c r="A1518" s="5">
        <v>1457</v>
      </c>
      <c r="B1518" s="138">
        <f>'Expenditures 15-22'!K296</f>
        <v>26634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23489</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1965664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2482973</v>
      </c>
      <c r="C1630" s="2" t="s">
        <v>594</v>
      </c>
      <c r="D1630" s="2" t="str">
        <f t="shared" si="24"/>
        <v>Error?</v>
      </c>
    </row>
    <row r="1631" spans="1:4" x14ac:dyDescent="0.2">
      <c r="A1631" s="5">
        <v>1570</v>
      </c>
      <c r="B1631" s="138">
        <f>'Acct Summary 7-8'!D79</f>
        <v>366896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287773</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293275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436356</v>
      </c>
      <c r="C1672" s="2" t="s">
        <v>594</v>
      </c>
      <c r="D1672" s="2" t="str">
        <f t="shared" si="25"/>
        <v>Error?</v>
      </c>
    </row>
    <row r="1673" spans="1:4" x14ac:dyDescent="0.2">
      <c r="A1673" s="5">
        <v>1612</v>
      </c>
      <c r="B1673" s="138">
        <f>'Acct Summary 7-8'!G79</f>
        <v>392849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419483</v>
      </c>
      <c r="C1686" s="2" t="s">
        <v>594</v>
      </c>
      <c r="D1686" s="2" t="str">
        <f t="shared" si="25"/>
        <v>Error?</v>
      </c>
    </row>
    <row r="1687" spans="1:4" x14ac:dyDescent="0.2">
      <c r="A1687" s="5">
        <v>1626</v>
      </c>
      <c r="B1687" s="138">
        <f>'Acct Summary 7-8'!H79</f>
        <v>219386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242875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1651098</v>
      </c>
      <c r="C1744" s="2" t="s">
        <v>594</v>
      </c>
      <c r="D1744" s="2" t="str">
        <f t="shared" si="26"/>
        <v>Error?</v>
      </c>
    </row>
    <row r="1745" spans="1:5" x14ac:dyDescent="0.2">
      <c r="A1745" s="5">
        <v>1684</v>
      </c>
      <c r="B1745" s="138">
        <f>'Tax Sched 23'!B5</f>
        <v>247665</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132088</v>
      </c>
      <c r="C1747" s="2" t="s">
        <v>594</v>
      </c>
      <c r="D1747" s="2" t="str">
        <f t="shared" si="26"/>
        <v>Error?</v>
      </c>
    </row>
    <row r="1748" spans="1:5" x14ac:dyDescent="0.2">
      <c r="A1748" s="5">
        <v>1687</v>
      </c>
      <c r="B1748" s="138">
        <f>'Tax Sched 23'!B8</f>
        <v>187368</v>
      </c>
      <c r="C1748" s="2" t="s">
        <v>594</v>
      </c>
      <c r="D1748" s="2" t="str">
        <f t="shared" si="26"/>
        <v>Error?</v>
      </c>
    </row>
    <row r="1749" spans="1:5" x14ac:dyDescent="0.2">
      <c r="A1749" s="5">
        <v>1688</v>
      </c>
      <c r="B1749" s="138">
        <f>'Tax Sched 23'!B10</f>
        <v>33022</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360711</v>
      </c>
      <c r="C1752" s="2" t="s">
        <v>594</v>
      </c>
      <c r="D1752" s="2" t="str">
        <f t="shared" si="26"/>
        <v>Error?</v>
      </c>
    </row>
    <row r="1753" spans="1:5" x14ac:dyDescent="0.2">
      <c r="A1753" s="5">
        <v>1692</v>
      </c>
      <c r="B1753" s="138">
        <f>'Tax Sched 23'!B12</f>
        <v>33022</v>
      </c>
      <c r="C1753" s="2" t="s">
        <v>594</v>
      </c>
      <c r="D1753" s="2" t="str">
        <f t="shared" si="26"/>
        <v>Error?</v>
      </c>
    </row>
    <row r="1754" spans="1:5" x14ac:dyDescent="0.2">
      <c r="A1754" s="5">
        <v>1693</v>
      </c>
      <c r="B1754" s="138">
        <f>'Tax Sched 23'!B14</f>
        <v>26535</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2857650</v>
      </c>
      <c r="C1759" s="2" t="s">
        <v>594</v>
      </c>
      <c r="D1759" s="2" t="str">
        <f t="shared" si="26"/>
        <v>Error?</v>
      </c>
    </row>
    <row r="1760" spans="1:5" x14ac:dyDescent="0.2">
      <c r="A1760" s="5">
        <v>1699</v>
      </c>
      <c r="B1760" s="138">
        <f>'Tax Sched 23'!D4</f>
        <v>1651098</v>
      </c>
      <c r="C1760" s="2" t="s">
        <v>594</v>
      </c>
      <c r="D1760" s="2" t="str">
        <f t="shared" si="26"/>
        <v>Error?</v>
      </c>
    </row>
    <row r="1761" spans="1:5" x14ac:dyDescent="0.2">
      <c r="A1761" s="5">
        <v>1700</v>
      </c>
      <c r="B1761" s="138">
        <f>'Tax Sched 23'!D5</f>
        <v>247665</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132088</v>
      </c>
      <c r="C1763" s="2" t="s">
        <v>594</v>
      </c>
      <c r="D1763" s="2" t="str">
        <f t="shared" si="26"/>
        <v>Error?</v>
      </c>
    </row>
    <row r="1764" spans="1:5" x14ac:dyDescent="0.2">
      <c r="A1764" s="5">
        <v>1703</v>
      </c>
      <c r="B1764" s="138">
        <f>'Tax Sched 23'!D8</f>
        <v>187368</v>
      </c>
      <c r="C1764" s="2" t="s">
        <v>594</v>
      </c>
      <c r="D1764" s="2" t="str">
        <f t="shared" si="26"/>
        <v>Error?</v>
      </c>
    </row>
    <row r="1765" spans="1:5" x14ac:dyDescent="0.2">
      <c r="A1765" s="5">
        <v>1704</v>
      </c>
      <c r="B1765" s="138">
        <f>'Tax Sched 23'!D10</f>
        <v>33022</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360711</v>
      </c>
      <c r="C1768" s="2" t="s">
        <v>594</v>
      </c>
      <c r="D1768" s="2" t="str">
        <f t="shared" si="26"/>
        <v>Error?</v>
      </c>
    </row>
    <row r="1769" spans="1:5" x14ac:dyDescent="0.2">
      <c r="A1769" s="5">
        <v>1708</v>
      </c>
      <c r="B1769" s="138">
        <f>'Tax Sched 23'!D12</f>
        <v>33022</v>
      </c>
      <c r="C1769" s="2" t="s">
        <v>594</v>
      </c>
      <c r="D1769" s="2" t="str">
        <f t="shared" si="26"/>
        <v>Error?</v>
      </c>
    </row>
    <row r="1770" spans="1:5" x14ac:dyDescent="0.2">
      <c r="A1770" s="5">
        <v>1709</v>
      </c>
      <c r="B1770" s="138">
        <f>'Tax Sched 23'!D14</f>
        <v>26535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2857650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1655786</v>
      </c>
      <c r="C1792" s="2" t="s">
        <v>594</v>
      </c>
      <c r="D1792" s="2" t="str">
        <f t="shared" si="27"/>
        <v>Error?</v>
      </c>
    </row>
    <row r="1793" spans="1:4" x14ac:dyDescent="0.2">
      <c r="A1793" s="5">
        <v>1732</v>
      </c>
      <c r="B1793" s="138">
        <f>'Tax Sched 23'!F5</f>
        <v>248368</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132463</v>
      </c>
      <c r="C1795" s="2" t="s">
        <v>594</v>
      </c>
      <c r="D1795" s="2" t="str">
        <f t="shared" si="27"/>
        <v>Error?</v>
      </c>
    </row>
    <row r="1796" spans="1:4" x14ac:dyDescent="0.2">
      <c r="A1796" s="5">
        <v>1735</v>
      </c>
      <c r="B1796" s="138">
        <f>'Tax Sched 23'!F8</f>
        <v>197005</v>
      </c>
      <c r="C1796" s="2" t="s">
        <v>594</v>
      </c>
      <c r="D1796" s="2" t="str">
        <f t="shared" si="27"/>
        <v>Error?</v>
      </c>
    </row>
    <row r="1797" spans="1:4" x14ac:dyDescent="0.2">
      <c r="A1797" s="5">
        <v>1736</v>
      </c>
      <c r="B1797" s="138">
        <f>'Tax Sched 23'!F10</f>
        <v>33116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379003</v>
      </c>
      <c r="C1800" s="2" t="s">
        <v>594</v>
      </c>
      <c r="D1800" s="2" t="str">
        <f t="shared" si="27"/>
        <v>Error?</v>
      </c>
    </row>
    <row r="1801" spans="1:4" x14ac:dyDescent="0.2">
      <c r="A1801" s="5">
        <v>1740</v>
      </c>
      <c r="B1801" s="138">
        <f>'Tax Sched 23'!F12</f>
        <v>33115</v>
      </c>
      <c r="C1801" s="2" t="s">
        <v>594</v>
      </c>
      <c r="D1801" s="2" t="str">
        <f t="shared" si="27"/>
        <v>Error?</v>
      </c>
    </row>
    <row r="1802" spans="1:4" x14ac:dyDescent="0.2">
      <c r="A1802" s="5">
        <v>1741</v>
      </c>
      <c r="B1802" s="138">
        <f>'Tax Sched 23'!F14</f>
        <v>26493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2898467</v>
      </c>
      <c r="C1807" s="2" t="s">
        <v>594</v>
      </c>
      <c r="D1807" s="2" t="str">
        <f t="shared" si="27"/>
        <v>Error?</v>
      </c>
    </row>
    <row r="1808" spans="1:4" x14ac:dyDescent="0.2">
      <c r="A1808" s="5">
        <v>1747</v>
      </c>
      <c r="B1808" s="138">
        <f>'Tax Sched 23'!E4</f>
        <v>1655786</v>
      </c>
      <c r="D1808" s="2" t="str">
        <f t="shared" si="27"/>
        <v>Error?</v>
      </c>
    </row>
    <row r="1809" spans="1:4" x14ac:dyDescent="0.2">
      <c r="A1809" s="5">
        <v>1748</v>
      </c>
      <c r="B1809" s="138">
        <f>'Tax Sched 23'!E5</f>
        <v>248368</v>
      </c>
      <c r="D1809" s="2" t="str">
        <f t="shared" si="27"/>
        <v>Error?</v>
      </c>
    </row>
    <row r="1810" spans="1:4" x14ac:dyDescent="0.2">
      <c r="A1810" s="5">
        <v>1749</v>
      </c>
      <c r="B1810" s="138">
        <f>'Tax Sched 23'!E6</f>
        <v>0</v>
      </c>
      <c r="D1810" s="2" t="str">
        <f t="shared" si="27"/>
        <v>Error?</v>
      </c>
    </row>
    <row r="1811" spans="1:4" x14ac:dyDescent="0.2">
      <c r="A1811" s="5">
        <v>1750</v>
      </c>
      <c r="B1811" s="138">
        <f>'Tax Sched 23'!E7</f>
        <v>132463</v>
      </c>
      <c r="D1811" s="2" t="str">
        <f t="shared" si="27"/>
        <v>Error?</v>
      </c>
    </row>
    <row r="1812" spans="1:4" x14ac:dyDescent="0.2">
      <c r="A1812" s="5">
        <v>1751</v>
      </c>
      <c r="B1812" s="138">
        <f>'Tax Sched 23'!E8</f>
        <v>197005</v>
      </c>
      <c r="D1812" s="2" t="str">
        <f t="shared" si="27"/>
        <v>Error?</v>
      </c>
    </row>
    <row r="1813" spans="1:4" x14ac:dyDescent="0.2">
      <c r="A1813" s="5">
        <v>1752</v>
      </c>
      <c r="B1813" s="138">
        <f>'Tax Sched 23'!E10</f>
        <v>33116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379003</v>
      </c>
      <c r="D1816" s="2" t="str">
        <f t="shared" si="27"/>
        <v>Error?</v>
      </c>
    </row>
    <row r="1817" spans="1:4" x14ac:dyDescent="0.2">
      <c r="A1817" s="5">
        <v>1756</v>
      </c>
      <c r="B1817" s="138">
        <f>'Tax Sched 23'!E12</f>
        <v>33115</v>
      </c>
      <c r="D1817" s="2" t="str">
        <f t="shared" si="27"/>
        <v>Error?</v>
      </c>
    </row>
    <row r="1818" spans="1:4" x14ac:dyDescent="0.2">
      <c r="A1818" s="5">
        <v>1757</v>
      </c>
      <c r="B1818" s="138">
        <f>'Tax Sched 23'!E14</f>
        <v>26493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2898467</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439758</v>
      </c>
      <c r="C1939" s="2" t="s">
        <v>594</v>
      </c>
      <c r="D1939" s="2" t="str">
        <f t="shared" si="29"/>
        <v>Error?</v>
      </c>
    </row>
    <row r="1940" spans="1:5" x14ac:dyDescent="0.2">
      <c r="A1940" s="5">
        <v>1879</v>
      </c>
      <c r="B1940" s="138">
        <f>'Short-Term Long-Term Debt 24'!F49</f>
        <v>92054</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25535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25535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25535</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217233</v>
      </c>
      <c r="D2008" s="2" t="str">
        <f t="shared" si="30"/>
        <v>Error?</v>
      </c>
    </row>
    <row r="2009" spans="1:4" x14ac:dyDescent="0.2">
      <c r="A2009" s="5">
        <v>1948</v>
      </c>
      <c r="B2009" s="138">
        <f>'Cap Outlay Deprec 26'!C8</f>
        <v>5990265</v>
      </c>
      <c r="D2009" s="2" t="str">
        <f t="shared" si="30"/>
        <v>Error?</v>
      </c>
    </row>
    <row r="2010" spans="1:4" x14ac:dyDescent="0.2">
      <c r="A2010" s="5">
        <v>1949</v>
      </c>
      <c r="B2010" s="138">
        <f>'Cap Outlay Deprec 26'!C10</f>
        <v>3774345</v>
      </c>
      <c r="D2010" s="2" t="str">
        <f t="shared" si="30"/>
        <v>Error?</v>
      </c>
    </row>
    <row r="2011" spans="1:4" x14ac:dyDescent="0.2">
      <c r="A2011" s="5">
        <v>1950</v>
      </c>
      <c r="B2011" s="138">
        <f>'Cap Outlay Deprec 26'!C12</f>
        <v>1703452</v>
      </c>
      <c r="D2011" s="2" t="str">
        <f t="shared" si="30"/>
        <v>Error?</v>
      </c>
    </row>
    <row r="2012" spans="1:4" x14ac:dyDescent="0.2">
      <c r="A2012" s="5">
        <v>1951</v>
      </c>
      <c r="B2012" s="138">
        <f>'Cap Outlay Deprec 26'!C13</f>
        <v>1220353</v>
      </c>
      <c r="D2012" s="2" t="str">
        <f t="shared" si="30"/>
        <v>Error?</v>
      </c>
    </row>
    <row r="2013" spans="1:4" x14ac:dyDescent="0.2">
      <c r="A2013" s="5">
        <v>1952</v>
      </c>
      <c r="B2013" s="138">
        <f>'Cap Outlay Deprec 26'!C16</f>
        <v>12905648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103098</v>
      </c>
      <c r="D2016" s="2" t="str">
        <f t="shared" si="30"/>
        <v>Error?</v>
      </c>
    </row>
    <row r="2017" spans="1:4" x14ac:dyDescent="0.2">
      <c r="A2017" s="5">
        <v>1956</v>
      </c>
      <c r="B2017" s="138">
        <f>'Cap Outlay Deprec 26'!D12</f>
        <v>18222</v>
      </c>
      <c r="D2017" s="2" t="str">
        <f t="shared" si="30"/>
        <v>Error?</v>
      </c>
    </row>
    <row r="2018" spans="1:4" x14ac:dyDescent="0.2">
      <c r="A2018" s="5">
        <v>1957</v>
      </c>
      <c r="B2018" s="138">
        <f>'Cap Outlay Deprec 26'!D13</f>
        <v>239027</v>
      </c>
      <c r="D2018" s="2" t="str">
        <f t="shared" si="30"/>
        <v>Error?</v>
      </c>
    </row>
    <row r="2019" spans="1:4" x14ac:dyDescent="0.2">
      <c r="A2019" s="5">
        <v>1958</v>
      </c>
      <c r="B2019" s="138">
        <f>'Cap Outlay Deprec 26'!D16</f>
        <v>360347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197308</v>
      </c>
      <c r="D2024" s="2" t="str">
        <f t="shared" si="30"/>
        <v>Error?</v>
      </c>
    </row>
    <row r="2025" spans="1:4" x14ac:dyDescent="0.2">
      <c r="A2025" s="5">
        <v>1964</v>
      </c>
      <c r="B2025" s="138">
        <f>'Cap Outlay Deprec 26'!E16</f>
        <v>197308</v>
      </c>
      <c r="C2025" s="2" t="s">
        <v>594</v>
      </c>
      <c r="D2025" s="2" t="str">
        <f t="shared" si="30"/>
        <v>Error?</v>
      </c>
    </row>
    <row r="2026" spans="1:4" x14ac:dyDescent="0.2">
      <c r="A2026" s="5">
        <v>1965</v>
      </c>
      <c r="B2026" s="138">
        <f>'Cap Outlay Deprec 26'!F5</f>
        <v>217233</v>
      </c>
      <c r="C2026" s="2" t="s">
        <v>594</v>
      </c>
      <c r="D2026" s="2" t="str">
        <f t="shared" si="30"/>
        <v>Error?</v>
      </c>
    </row>
    <row r="2027" spans="1:4" x14ac:dyDescent="0.2">
      <c r="A2027" s="5">
        <v>1966</v>
      </c>
      <c r="B2027" s="138">
        <f>'Cap Outlay Deprec 26'!F8</f>
        <v>5990265</v>
      </c>
      <c r="C2027" s="2" t="s">
        <v>594</v>
      </c>
      <c r="D2027" s="2" t="str">
        <f t="shared" si="30"/>
        <v>Error?</v>
      </c>
    </row>
    <row r="2028" spans="1:4" x14ac:dyDescent="0.2">
      <c r="A2028" s="5">
        <v>1967</v>
      </c>
      <c r="B2028" s="138">
        <f>'Cap Outlay Deprec 26'!F10</f>
        <v>3877443</v>
      </c>
      <c r="C2028" s="2" t="s">
        <v>594</v>
      </c>
      <c r="D2028" s="2" t="str">
        <f t="shared" si="30"/>
        <v>Error?</v>
      </c>
    </row>
    <row r="2029" spans="1:4" x14ac:dyDescent="0.2">
      <c r="A2029" s="5">
        <v>1968</v>
      </c>
      <c r="B2029" s="138">
        <f>'Cap Outlay Deprec 26'!F12</f>
        <v>1721674</v>
      </c>
      <c r="C2029" s="2" t="s">
        <v>594</v>
      </c>
      <c r="D2029" s="2" t="str">
        <f t="shared" si="30"/>
        <v>Error?</v>
      </c>
    </row>
    <row r="2030" spans="1:4" x14ac:dyDescent="0.2">
      <c r="A2030" s="5">
        <v>1969</v>
      </c>
      <c r="B2030" s="138">
        <f>'Cap Outlay Deprec 26'!F13</f>
        <v>1262072</v>
      </c>
      <c r="C2030" s="2" t="s">
        <v>594</v>
      </c>
      <c r="D2030" s="2" t="str">
        <f t="shared" si="30"/>
        <v>Error?</v>
      </c>
    </row>
    <row r="2031" spans="1:4" x14ac:dyDescent="0.2">
      <c r="A2031" s="5">
        <v>1970</v>
      </c>
      <c r="B2031" s="138">
        <f>'Cap Outlay Deprec 26'!F16</f>
        <v>13068687</v>
      </c>
      <c r="C2031" s="2" t="s">
        <v>594</v>
      </c>
      <c r="D2031" s="2" t="str">
        <f t="shared" si="30"/>
        <v>Error?</v>
      </c>
    </row>
    <row r="2032" spans="1:4" x14ac:dyDescent="0.2">
      <c r="A2032" s="10">
        <v>1971</v>
      </c>
      <c r="D2032" s="2" t="str">
        <f t="shared" si="30"/>
        <v>OK</v>
      </c>
    </row>
    <row r="2033" spans="1:4" x14ac:dyDescent="0.2">
      <c r="A2033" s="5">
        <v>1972</v>
      </c>
      <c r="B2033" s="138">
        <f>'Cap Outlay Deprec 26'!H8</f>
        <v>3069911</v>
      </c>
      <c r="D2033" s="2" t="str">
        <f t="shared" si="30"/>
        <v>Error?</v>
      </c>
    </row>
    <row r="2034" spans="1:4" x14ac:dyDescent="0.2">
      <c r="A2034" s="5">
        <v>1973</v>
      </c>
      <c r="B2034" s="138">
        <f>'Cap Outlay Deprec 26'!H10</f>
        <v>303512</v>
      </c>
      <c r="D2034" s="2" t="str">
        <f t="shared" si="30"/>
        <v>Error?</v>
      </c>
    </row>
    <row r="2035" spans="1:4" x14ac:dyDescent="0.2">
      <c r="A2035" s="5">
        <v>1974</v>
      </c>
      <c r="B2035" s="138">
        <f>'Cap Outlay Deprec 26'!H12</f>
        <v>1619393</v>
      </c>
      <c r="D2035" s="2" t="str">
        <f t="shared" si="30"/>
        <v>Error?</v>
      </c>
    </row>
    <row r="2036" spans="1:4" x14ac:dyDescent="0.2">
      <c r="A2036" s="5">
        <v>1975</v>
      </c>
      <c r="B2036" s="138">
        <f>'Cap Outlay Deprec 26'!H13</f>
        <v>957985</v>
      </c>
      <c r="D2036" s="2" t="str">
        <f t="shared" si="30"/>
        <v>Error?</v>
      </c>
    </row>
    <row r="2037" spans="1:4" x14ac:dyDescent="0.2">
      <c r="A2037" s="5">
        <v>1976</v>
      </c>
      <c r="B2037" s="138">
        <f>'Cap Outlay Deprec 26'!H16</f>
        <v>5950801</v>
      </c>
      <c r="C2037" s="2" t="s">
        <v>594</v>
      </c>
      <c r="D2037" s="2" t="str">
        <f t="shared" si="30"/>
        <v>Error?</v>
      </c>
    </row>
    <row r="2038" spans="1:4" x14ac:dyDescent="0.2">
      <c r="A2038" s="10">
        <v>1977</v>
      </c>
      <c r="D2038" s="2" t="str">
        <f t="shared" si="30"/>
        <v>OK</v>
      </c>
    </row>
    <row r="2039" spans="1:4" x14ac:dyDescent="0.2">
      <c r="A2039" s="5">
        <v>1978</v>
      </c>
      <c r="B2039" s="138">
        <f>'Cap Outlay Deprec 26'!I8</f>
        <v>119987</v>
      </c>
      <c r="D2039" s="2" t="str">
        <f t="shared" si="30"/>
        <v>Error?</v>
      </c>
    </row>
    <row r="2040" spans="1:4" x14ac:dyDescent="0.2">
      <c r="A2040" s="5">
        <v>1979</v>
      </c>
      <c r="B2040" s="138">
        <f>'Cap Outlay Deprec 26'!I10</f>
        <v>17497</v>
      </c>
      <c r="D2040" s="2" t="str">
        <f t="shared" si="30"/>
        <v>Error?</v>
      </c>
    </row>
    <row r="2041" spans="1:4" x14ac:dyDescent="0.2">
      <c r="A2041" s="5">
        <v>1980</v>
      </c>
      <c r="B2041" s="138">
        <f>'Cap Outlay Deprec 26'!I12</f>
        <v>35614</v>
      </c>
      <c r="D2041" s="2" t="str">
        <f t="shared" si="30"/>
        <v>Error?</v>
      </c>
    </row>
    <row r="2042" spans="1:4" x14ac:dyDescent="0.2">
      <c r="A2042" s="5">
        <v>1981</v>
      </c>
      <c r="B2042" s="138">
        <f>'Cap Outlay Deprec 26'!I13</f>
        <v>88780</v>
      </c>
      <c r="D2042" s="2" t="str">
        <f t="shared" si="30"/>
        <v>Error?</v>
      </c>
    </row>
    <row r="2043" spans="1:4" x14ac:dyDescent="0.2">
      <c r="A2043" s="5">
        <v>1982</v>
      </c>
      <c r="B2043" s="138">
        <f>'Cap Outlay Deprec 26'!I16</f>
        <v>261878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197308</v>
      </c>
      <c r="D2048" s="2" t="str">
        <f t="shared" si="31"/>
        <v>Error?</v>
      </c>
    </row>
    <row r="2049" spans="1:4" x14ac:dyDescent="0.2">
      <c r="A2049" s="5">
        <v>1988</v>
      </c>
      <c r="B2049" s="138">
        <f>'Cap Outlay Deprec 26'!J16</f>
        <v>197308</v>
      </c>
      <c r="C2049" s="2" t="s">
        <v>594</v>
      </c>
      <c r="D2049" s="2" t="str">
        <f t="shared" si="31"/>
        <v>Error?</v>
      </c>
    </row>
    <row r="2050" spans="1:4" x14ac:dyDescent="0.2">
      <c r="A2050" s="10">
        <v>1989</v>
      </c>
      <c r="D2050" s="2" t="str">
        <f t="shared" si="31"/>
        <v>OK</v>
      </c>
    </row>
    <row r="2051" spans="1:4" x14ac:dyDescent="0.2">
      <c r="A2051" s="5">
        <v>1990</v>
      </c>
      <c r="B2051" s="138">
        <f>'Cap Outlay Deprec 26'!K8</f>
        <v>3189898</v>
      </c>
      <c r="C2051" s="2" t="s">
        <v>594</v>
      </c>
      <c r="D2051" s="2" t="str">
        <f t="shared" si="31"/>
        <v>Error?</v>
      </c>
    </row>
    <row r="2052" spans="1:4" x14ac:dyDescent="0.2">
      <c r="A2052" s="5">
        <v>1991</v>
      </c>
      <c r="B2052" s="138">
        <f>'Cap Outlay Deprec 26'!K10</f>
        <v>321009</v>
      </c>
      <c r="C2052" s="2" t="s">
        <v>594</v>
      </c>
      <c r="D2052" s="2" t="str">
        <f t="shared" si="31"/>
        <v>Error?</v>
      </c>
    </row>
    <row r="2053" spans="1:4" x14ac:dyDescent="0.2">
      <c r="A2053" s="5">
        <v>1992</v>
      </c>
      <c r="B2053" s="138">
        <f>'Cap Outlay Deprec 26'!K12</f>
        <v>1655007</v>
      </c>
      <c r="C2053" s="2" t="s">
        <v>594</v>
      </c>
      <c r="D2053" s="2" t="str">
        <f t="shared" si="31"/>
        <v>Error?</v>
      </c>
    </row>
    <row r="2054" spans="1:4" x14ac:dyDescent="0.2">
      <c r="A2054" s="5">
        <v>1993</v>
      </c>
      <c r="B2054" s="138">
        <f>'Cap Outlay Deprec 26'!K13</f>
        <v>849457</v>
      </c>
      <c r="C2054" s="2" t="s">
        <v>594</v>
      </c>
      <c r="D2054" s="2" t="str">
        <f t="shared" si="31"/>
        <v>Error?</v>
      </c>
    </row>
    <row r="2055" spans="1:4" x14ac:dyDescent="0.2">
      <c r="A2055" s="5">
        <v>1994</v>
      </c>
      <c r="B2055" s="138">
        <f>'Cap Outlay Deprec 26'!K16</f>
        <v>6015371</v>
      </c>
      <c r="C2055" s="2" t="s">
        <v>594</v>
      </c>
      <c r="D2055" s="2" t="str">
        <f t="shared" si="31"/>
        <v>Error?</v>
      </c>
    </row>
    <row r="2056" spans="1:4" x14ac:dyDescent="0.2">
      <c r="A2056" s="5">
        <v>1995</v>
      </c>
      <c r="B2056" s="138">
        <f>'Cap Outlay Deprec 26'!L5</f>
        <v>217233</v>
      </c>
      <c r="C2056" s="2" t="s">
        <v>594</v>
      </c>
      <c r="D2056" s="2" t="str">
        <f t="shared" si="31"/>
        <v>Error?</v>
      </c>
    </row>
    <row r="2057" spans="1:4" x14ac:dyDescent="0.2">
      <c r="A2057" s="5">
        <v>1996</v>
      </c>
      <c r="B2057" s="138">
        <f>'Cap Outlay Deprec 26'!L8</f>
        <v>2800367</v>
      </c>
      <c r="C2057" s="2" t="s">
        <v>594</v>
      </c>
      <c r="D2057" s="2" t="str">
        <f t="shared" si="31"/>
        <v>Error?</v>
      </c>
    </row>
    <row r="2058" spans="1:4" x14ac:dyDescent="0.2">
      <c r="A2058" s="5">
        <v>1997</v>
      </c>
      <c r="B2058" s="138">
        <f>'Cap Outlay Deprec 26'!L10</f>
        <v>3556434</v>
      </c>
      <c r="C2058" s="2" t="s">
        <v>594</v>
      </c>
      <c r="D2058" s="2" t="str">
        <f t="shared" si="31"/>
        <v>Error?</v>
      </c>
    </row>
    <row r="2059" spans="1:4" x14ac:dyDescent="0.2">
      <c r="A2059" s="5">
        <v>1998</v>
      </c>
      <c r="B2059" s="138">
        <f>'Cap Outlay Deprec 26'!L12</f>
        <v>66667</v>
      </c>
      <c r="C2059" s="2" t="s">
        <v>594</v>
      </c>
      <c r="D2059" s="2" t="str">
        <f t="shared" si="31"/>
        <v>Error?</v>
      </c>
    </row>
    <row r="2060" spans="1:4" x14ac:dyDescent="0.2">
      <c r="A2060" s="5">
        <v>1999</v>
      </c>
      <c r="B2060" s="138">
        <f>'Cap Outlay Deprec 26'!L13</f>
        <v>412615</v>
      </c>
      <c r="C2060" s="2" t="s">
        <v>594</v>
      </c>
      <c r="D2060" s="2" t="str">
        <f t="shared" si="31"/>
        <v>Error?</v>
      </c>
    </row>
    <row r="2061" spans="1:4" x14ac:dyDescent="0.2">
      <c r="A2061" s="5">
        <v>2000</v>
      </c>
      <c r="B2061" s="138">
        <f>'Cap Outlay Deprec 26'!L16</f>
        <v>7053316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27447</v>
      </c>
      <c r="C2088" s="2" t="s">
        <v>594</v>
      </c>
      <c r="D2088" s="2" t="str">
        <f t="shared" si="31"/>
        <v>Error?</v>
      </c>
    </row>
    <row r="2089" spans="1:4" x14ac:dyDescent="0.2">
      <c r="A2089" s="5">
        <v>2028</v>
      </c>
      <c r="B2089" s="138">
        <f>'Expenditures 15-22'!K92</f>
        <v>159745</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33168</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1935273</v>
      </c>
      <c r="C2551" s="2" t="s">
        <v>594</v>
      </c>
      <c r="D2551" s="2" t="str">
        <f t="shared" si="38"/>
        <v>Error?</v>
      </c>
    </row>
    <row r="2552" spans="1:4" x14ac:dyDescent="0.2">
      <c r="A2552" s="10">
        <v>2491</v>
      </c>
      <c r="D2552" s="2" t="str">
        <f t="shared" si="38"/>
        <v>OK</v>
      </c>
    </row>
    <row r="2553" spans="1:4" x14ac:dyDescent="0.2">
      <c r="A2553" s="5">
        <v>2492</v>
      </c>
      <c r="B2553" s="138">
        <f>'Acct Summary 7-8'!C6</f>
        <v>3732469</v>
      </c>
      <c r="C2553" s="2" t="s">
        <v>594</v>
      </c>
      <c r="D2553" s="2" t="str">
        <f t="shared" si="38"/>
        <v>Error?</v>
      </c>
    </row>
    <row r="2554" spans="1:4" x14ac:dyDescent="0.2">
      <c r="A2554" s="5">
        <v>2493</v>
      </c>
      <c r="B2554" s="138">
        <f>'Acct Summary 7-8'!C7</f>
        <v>666447</v>
      </c>
      <c r="C2554" s="2" t="s">
        <v>594</v>
      </c>
      <c r="D2554" s="2" t="str">
        <f t="shared" si="38"/>
        <v>Error?</v>
      </c>
    </row>
    <row r="2555" spans="1:4" x14ac:dyDescent="0.2">
      <c r="A2555" s="5">
        <v>2494</v>
      </c>
      <c r="B2555" s="138">
        <f>'Acct Summary 7-8'!C8</f>
        <v>6334189</v>
      </c>
      <c r="C2555" s="2" t="s">
        <v>594</v>
      </c>
      <c r="D2555" s="2" t="str">
        <f t="shared" si="38"/>
        <v>Error?</v>
      </c>
    </row>
    <row r="2556" spans="1:4" x14ac:dyDescent="0.2">
      <c r="A2556" s="5">
        <v>2495</v>
      </c>
      <c r="B2556" s="138">
        <f>'Acct Summary 7-8'!C12</f>
        <v>4017453</v>
      </c>
      <c r="C2556" s="2" t="s">
        <v>594</v>
      </c>
      <c r="D2556" s="2" t="str">
        <f t="shared" si="38"/>
        <v>Error?</v>
      </c>
    </row>
    <row r="2557" spans="1:4" x14ac:dyDescent="0.2">
      <c r="A2557" s="5">
        <v>2496</v>
      </c>
      <c r="B2557" s="138">
        <f>'Acct Summary 7-8'!C13</f>
        <v>1637688</v>
      </c>
      <c r="C2557" s="2" t="s">
        <v>594</v>
      </c>
      <c r="D2557" s="2" t="str">
        <f t="shared" si="38"/>
        <v>Error?</v>
      </c>
    </row>
    <row r="2558" spans="1:4" x14ac:dyDescent="0.2">
      <c r="A2558" s="5">
        <v>2497</v>
      </c>
      <c r="B2558" s="138">
        <f>'Acct Summary 7-8'!C14</f>
        <v>7715</v>
      </c>
      <c r="C2558" s="2" t="s">
        <v>594</v>
      </c>
      <c r="D2558" s="2" t="str">
        <f t="shared" si="38"/>
        <v>Error?</v>
      </c>
    </row>
    <row r="2559" spans="1:4" x14ac:dyDescent="0.2">
      <c r="A2559" s="5">
        <v>2498</v>
      </c>
      <c r="B2559" s="138">
        <f>'Acct Summary 7-8'!C15</f>
        <v>187192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5850048</v>
      </c>
      <c r="C2561" s="2" t="s">
        <v>594</v>
      </c>
      <c r="D2561" s="2" t="str">
        <f t="shared" si="39"/>
        <v>Error?</v>
      </c>
    </row>
    <row r="2562" spans="1:4" x14ac:dyDescent="0.2">
      <c r="A2562" s="5">
        <v>2501</v>
      </c>
      <c r="B2562" s="138">
        <f>'Acct Summary 7-8'!C20</f>
        <v>484141</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253671</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253671</v>
      </c>
      <c r="C2568" s="2" t="s">
        <v>594</v>
      </c>
      <c r="D2568" s="2" t="str">
        <f t="shared" si="39"/>
        <v>Error?</v>
      </c>
    </row>
    <row r="2569" spans="1:4" x14ac:dyDescent="0.2">
      <c r="A2569" s="5">
        <v>2508</v>
      </c>
      <c r="B2569" s="138">
        <f>'Acct Summary 7-8'!D13</f>
        <v>332794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332794</v>
      </c>
      <c r="C2573" s="2" t="s">
        <v>594</v>
      </c>
      <c r="D2573" s="2" t="str">
        <f t="shared" si="39"/>
        <v>Error?</v>
      </c>
    </row>
    <row r="2574" spans="1:4" x14ac:dyDescent="0.2">
      <c r="A2574" s="5">
        <v>2513</v>
      </c>
      <c r="B2574" s="138">
        <f>'Acct Summary 7-8'!D20</f>
        <v>-79123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307723</v>
      </c>
      <c r="C2591" s="2" t="s">
        <v>594</v>
      </c>
      <c r="D2591" s="2" t="str">
        <f t="shared" si="39"/>
        <v>Error?</v>
      </c>
    </row>
    <row r="2592" spans="1:4" x14ac:dyDescent="0.2">
      <c r="A2592" s="10">
        <v>2531</v>
      </c>
      <c r="D2592" s="2" t="str">
        <f t="shared" si="39"/>
        <v>OK</v>
      </c>
    </row>
    <row r="2593" spans="1:4" x14ac:dyDescent="0.2">
      <c r="A2593" s="5">
        <v>2532</v>
      </c>
      <c r="B2593" s="138">
        <f>'Acct Summary 7-8'!F6</f>
        <v>351206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658929</v>
      </c>
      <c r="C2595" s="2" t="s">
        <v>594</v>
      </c>
      <c r="D2595" s="2" t="str">
        <f t="shared" si="39"/>
        <v>Error?</v>
      </c>
    </row>
    <row r="2596" spans="1:4" x14ac:dyDescent="0.2">
      <c r="A2596" s="5">
        <v>2535</v>
      </c>
      <c r="B2596" s="138">
        <f>'Acct Summary 7-8'!F13</f>
        <v>461622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57494</v>
      </c>
      <c r="C2599" s="2" t="s">
        <v>594</v>
      </c>
      <c r="D2599" s="2" t="str">
        <f t="shared" si="39"/>
        <v>Error?</v>
      </c>
    </row>
    <row r="2600" spans="1:4" x14ac:dyDescent="0.2">
      <c r="A2600" s="5">
        <v>2539</v>
      </c>
      <c r="B2600" s="138">
        <f>'Acct Summary 7-8'!F17</f>
        <v>519116</v>
      </c>
      <c r="C2600" s="2" t="s">
        <v>594</v>
      </c>
      <c r="D2600" s="2" t="str">
        <f t="shared" si="39"/>
        <v>Error?</v>
      </c>
    </row>
    <row r="2601" spans="1:4" x14ac:dyDescent="0.2">
      <c r="A2601" s="5">
        <v>2540</v>
      </c>
      <c r="B2601" s="138">
        <f>'Acct Summary 7-8'!F20</f>
        <v>139813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395401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395401</v>
      </c>
      <c r="C2606" s="2" t="s">
        <v>594</v>
      </c>
      <c r="D2606" s="2" t="str">
        <f t="shared" si="39"/>
        <v>Error?</v>
      </c>
    </row>
    <row r="2607" spans="1:4" x14ac:dyDescent="0.2">
      <c r="A2607" s="5">
        <v>2546</v>
      </c>
      <c r="B2607" s="138">
        <f>'Acct Summary 7-8'!G12</f>
        <v>125702</v>
      </c>
      <c r="C2607" s="2" t="s">
        <v>594</v>
      </c>
      <c r="D2607" s="2" t="str">
        <f t="shared" si="39"/>
        <v>Error?</v>
      </c>
    </row>
    <row r="2608" spans="1:4" x14ac:dyDescent="0.2">
      <c r="A2608" s="5">
        <v>2547</v>
      </c>
      <c r="B2608" s="138">
        <f>'Acct Summary 7-8'!G13</f>
        <v>243065</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368767</v>
      </c>
      <c r="C2612" s="2" t="s">
        <v>594</v>
      </c>
      <c r="D2612" s="2" t="str">
        <f t="shared" si="39"/>
        <v>Error?</v>
      </c>
    </row>
    <row r="2613" spans="1:4" x14ac:dyDescent="0.2">
      <c r="A2613" s="5">
        <v>2552</v>
      </c>
      <c r="B2613" s="138">
        <f>'Acct Summary 7-8'!G20</f>
        <v>26634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67278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67278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67278</v>
      </c>
      <c r="C2634" s="2" t="s">
        <v>594</v>
      </c>
      <c r="D2634" s="2" t="str">
        <f t="shared" si="40"/>
        <v>Error?</v>
      </c>
    </row>
    <row r="2635" spans="1:4" x14ac:dyDescent="0.2">
      <c r="A2635" s="5">
        <v>2574</v>
      </c>
      <c r="B2635" s="138">
        <f>'Acct Summary 7-8'!E17</f>
        <v>67278</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23489</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23489</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23489</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27447</v>
      </c>
      <c r="C2789" s="2" t="s">
        <v>594</v>
      </c>
      <c r="D2789" s="2" t="str">
        <f t="shared" si="42"/>
        <v>Error?</v>
      </c>
    </row>
    <row r="2790" spans="1:4" x14ac:dyDescent="0.2">
      <c r="A2790" s="5">
        <v>2729</v>
      </c>
      <c r="B2790" s="138">
        <f>'Expenditures 15-22'!E102</f>
        <v>27447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200385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200385</v>
      </c>
      <c r="D2914" s="2" t="str">
        <f t="shared" si="44"/>
        <v>Error?</v>
      </c>
    </row>
    <row r="2915" spans="1:4" x14ac:dyDescent="0.2">
      <c r="A2915" s="10">
        <v>2854</v>
      </c>
      <c r="D2915" s="2" t="str">
        <f t="shared" si="44"/>
        <v>OK</v>
      </c>
    </row>
    <row r="2916" spans="1:4" x14ac:dyDescent="0.2">
      <c r="A2916" s="5">
        <v>2855</v>
      </c>
      <c r="B2916" s="138">
        <f>'Assets-Liab 5-6'!L34</f>
        <v>200385</v>
      </c>
      <c r="C2916" s="2" t="s">
        <v>594</v>
      </c>
      <c r="D2916" s="2" t="str">
        <f t="shared" si="44"/>
        <v>Error?</v>
      </c>
    </row>
    <row r="2917" spans="1:4" x14ac:dyDescent="0.2">
      <c r="A2917" s="5">
        <v>2856</v>
      </c>
      <c r="B2917" s="138">
        <f>'Assets-Liab 5-6'!L41</f>
        <v>200385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16475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10972</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16475</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10972</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66365</v>
      </c>
      <c r="D3055" s="2" t="str">
        <f t="shared" si="46"/>
        <v>Error?</v>
      </c>
    </row>
    <row r="3056" spans="1:4" x14ac:dyDescent="0.2">
      <c r="A3056" s="5">
        <v>2995</v>
      </c>
      <c r="B3056" s="138">
        <f>'Expenditures 15-22'!D10</f>
        <v>18845</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66664</v>
      </c>
      <c r="D3058" s="2" t="str">
        <f t="shared" si="46"/>
        <v>Error?</v>
      </c>
    </row>
    <row r="3059" spans="1:4" x14ac:dyDescent="0.2">
      <c r="A3059" s="5">
        <v>2998</v>
      </c>
      <c r="B3059" s="138">
        <f>'Expenditures 15-22'!G10</f>
        <v>6032</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157906</v>
      </c>
      <c r="C3062" s="2" t="s">
        <v>594</v>
      </c>
      <c r="D3062" s="2" t="str">
        <f t="shared" si="46"/>
        <v>Error?</v>
      </c>
    </row>
    <row r="3063" spans="1:4" x14ac:dyDescent="0.2">
      <c r="A3063" s="10">
        <v>3002</v>
      </c>
      <c r="D3063" s="2" t="str">
        <f t="shared" si="46"/>
        <v>OK</v>
      </c>
    </row>
    <row r="3064" spans="1:4" x14ac:dyDescent="0.2">
      <c r="A3064" s="5">
        <v>3003</v>
      </c>
      <c r="B3064" s="138">
        <f>'Expenditures 15-22'!D219</f>
        <v>9197</v>
      </c>
      <c r="D3064" s="2" t="str">
        <f t="shared" si="46"/>
        <v>Error?</v>
      </c>
    </row>
    <row r="3065" spans="1:4" x14ac:dyDescent="0.2">
      <c r="A3065" s="5">
        <v>3004</v>
      </c>
      <c r="B3065" s="138">
        <f>'Expenditures 15-22'!K219</f>
        <v>9197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33168</v>
      </c>
      <c r="C3225" s="2" t="s">
        <v>594</v>
      </c>
      <c r="D3225" s="2" t="str">
        <f t="shared" si="49"/>
        <v>Error?</v>
      </c>
    </row>
    <row r="3226" spans="1:4" x14ac:dyDescent="0.2">
      <c r="A3226" s="5">
        <v>3165</v>
      </c>
      <c r="B3226" s="138">
        <f>'Acct Summary 7-8'!I8</f>
        <v>33168</v>
      </c>
      <c r="C3226" s="2" t="s">
        <v>594</v>
      </c>
      <c r="D3226" s="2" t="str">
        <f t="shared" si="49"/>
        <v>Error?</v>
      </c>
    </row>
    <row r="3227" spans="1:4" x14ac:dyDescent="0.2">
      <c r="A3227" s="5">
        <v>3166</v>
      </c>
      <c r="B3227" s="138">
        <f>'Acct Summary 7-8'!I20</f>
        <v>33168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33168</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33168</v>
      </c>
      <c r="C3232" s="2" t="s">
        <v>594</v>
      </c>
      <c r="D3232" s="2" t="str">
        <f t="shared" si="49"/>
        <v>Error?</v>
      </c>
    </row>
    <row r="3233" spans="1:4" x14ac:dyDescent="0.2">
      <c r="A3233" s="5">
        <v>3172</v>
      </c>
      <c r="B3233" s="138">
        <f>'Acct Summary 7-8'!C78</f>
        <v>517309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-79123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3268</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3268</v>
      </c>
      <c r="C3255" s="2" t="s">
        <v>594</v>
      </c>
      <c r="D3255" s="2" t="str">
        <f t="shared" si="49"/>
        <v>Error?</v>
      </c>
    </row>
    <row r="3256" spans="1:4" x14ac:dyDescent="0.2">
      <c r="A3256" s="5">
        <v>3195</v>
      </c>
      <c r="B3256" s="138">
        <f>'Acct Summary 7-8'!F78</f>
        <v>143081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26634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23489</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33168</v>
      </c>
      <c r="C3318" s="2" t="s">
        <v>594</v>
      </c>
      <c r="D3318" s="2" t="str">
        <f t="shared" si="50"/>
        <v>Error?</v>
      </c>
    </row>
    <row r="3319" spans="1:4" x14ac:dyDescent="0.2">
      <c r="A3319" s="5">
        <v>3258</v>
      </c>
      <c r="B3319" s="138">
        <f>'Acct Summary 7-8'!I77</f>
        <v>-33168</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725763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189501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958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3731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62232</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982185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42669</v>
      </c>
      <c r="D3387" s="2" t="str">
        <f t="shared" si="51"/>
        <v>Error?</v>
      </c>
    </row>
    <row r="3388" spans="1:4" x14ac:dyDescent="0.2">
      <c r="A3388" s="5">
        <v>3327</v>
      </c>
      <c r="B3388" s="138">
        <f>'Expenditures 15-22'!D217</f>
        <v>56507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42669</v>
      </c>
      <c r="C3390" s="2" t="s">
        <v>594</v>
      </c>
      <c r="D3390" s="2" t="str">
        <f t="shared" si="51"/>
        <v>Error?</v>
      </c>
    </row>
    <row r="3391" spans="1:4" x14ac:dyDescent="0.2">
      <c r="A3391" s="5">
        <v>3330</v>
      </c>
      <c r="B3391" s="138">
        <f>'Expenditures 15-22'!K217</f>
        <v>56507</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1452472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67702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310347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95413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40508</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200385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152973</v>
      </c>
      <c r="C3446" s="2" t="s">
        <v>594</v>
      </c>
      <c r="D3446" s="2" t="str">
        <f t="shared" si="52"/>
        <v>Error?</v>
      </c>
    </row>
    <row r="3447" spans="1:4" x14ac:dyDescent="0.2">
      <c r="A3447" s="5">
        <v>3386</v>
      </c>
      <c r="B3447" s="138">
        <f>'Tax Sched 23'!D16</f>
        <v>152973</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160002</v>
      </c>
      <c r="C3449" s="2" t="s">
        <v>594</v>
      </c>
      <c r="D3449" s="2" t="str">
        <f t="shared" si="52"/>
        <v>Error?</v>
      </c>
    </row>
    <row r="3450" spans="1:4" x14ac:dyDescent="0.2">
      <c r="A3450" s="5">
        <v>3389</v>
      </c>
      <c r="B3450" s="138">
        <f>'Tax Sched 23'!E16</f>
        <v>160002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3268</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22078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138272</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160350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160350</v>
      </c>
      <c r="D3567" s="2" t="str">
        <f t="shared" si="54"/>
        <v>Error?</v>
      </c>
    </row>
    <row r="3568" spans="1:4" x14ac:dyDescent="0.2">
      <c r="A3568" s="5">
        <v>3507</v>
      </c>
      <c r="B3568" s="138">
        <f>'Assets-Liab 5-6'!K41</f>
        <v>160350</v>
      </c>
      <c r="C3568" s="2" t="s">
        <v>594</v>
      </c>
      <c r="D3568" s="2" t="str">
        <f t="shared" si="54"/>
        <v>Error?</v>
      </c>
    </row>
    <row r="3569" spans="1:4" x14ac:dyDescent="0.2">
      <c r="A3569" s="5">
        <v>3508</v>
      </c>
      <c r="B3569" s="138">
        <f>'Acct Summary 7-8'!K4</f>
        <v>34250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34250</v>
      </c>
      <c r="C3571" s="2" t="s">
        <v>594</v>
      </c>
      <c r="D3571" s="2" t="str">
        <f t="shared" si="54"/>
        <v>Error?</v>
      </c>
    </row>
    <row r="3572" spans="1:4" x14ac:dyDescent="0.2">
      <c r="A3572" s="5">
        <v>3511</v>
      </c>
      <c r="B3572" s="138">
        <f>'Acct Summary 7-8'!K13</f>
        <v>24629</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24629</v>
      </c>
      <c r="C3575" s="2" t="s">
        <v>594</v>
      </c>
      <c r="D3575" s="2" t="str">
        <f t="shared" si="54"/>
        <v>Error?</v>
      </c>
    </row>
    <row r="3576" spans="1:4" x14ac:dyDescent="0.2">
      <c r="A3576" s="5">
        <v>3515</v>
      </c>
      <c r="B3576" s="138">
        <f>'Acct Summary 7-8'!K20</f>
        <v>9621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9621</v>
      </c>
      <c r="C3588" s="2" t="s">
        <v>594</v>
      </c>
      <c r="D3588" s="2" t="str">
        <f t="shared" si="55"/>
        <v>Error?</v>
      </c>
    </row>
    <row r="3589" spans="1:4" x14ac:dyDescent="0.2">
      <c r="A3589" s="5">
        <v>3528</v>
      </c>
      <c r="B3589" s="138">
        <f>'Acct Summary 7-8'!K79</f>
        <v>150729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160350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13726</v>
      </c>
      <c r="D3632" s="2" t="str">
        <f t="shared" si="55"/>
        <v>Error?</v>
      </c>
    </row>
    <row r="3633" spans="1:4" x14ac:dyDescent="0.2">
      <c r="A3633" s="5">
        <v>3572</v>
      </c>
      <c r="B3633" s="138">
        <f>'Expenditures 15-22'!E350</f>
        <v>13726</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13726</v>
      </c>
      <c r="C3635" s="2" t="s">
        <v>594</v>
      </c>
      <c r="D3635" s="2" t="str">
        <f t="shared" si="55"/>
        <v>Error?</v>
      </c>
    </row>
    <row r="3636" spans="1:4" x14ac:dyDescent="0.2">
      <c r="A3636" s="5">
        <v>3575</v>
      </c>
      <c r="B3636" s="138">
        <f>'Expenditures 15-22'!E367</f>
        <v>13726</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10903</v>
      </c>
      <c r="D3639" s="2" t="str">
        <f t="shared" si="55"/>
        <v>Error?</v>
      </c>
    </row>
    <row r="3640" spans="1:4" x14ac:dyDescent="0.2">
      <c r="A3640" s="5">
        <v>3579</v>
      </c>
      <c r="B3640" s="138">
        <f>'Expenditures 15-22'!F350</f>
        <v>10903</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10903</v>
      </c>
      <c r="C3642" s="2" t="s">
        <v>594</v>
      </c>
      <c r="D3642" s="2" t="str">
        <f t="shared" si="55"/>
        <v>Error?</v>
      </c>
    </row>
    <row r="3643" spans="1:4" x14ac:dyDescent="0.2">
      <c r="A3643" s="5">
        <v>3582</v>
      </c>
      <c r="B3643" s="138">
        <f>'Expenditures 15-22'!F367</f>
        <v>10903</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24629</v>
      </c>
      <c r="C3669" s="2" t="s">
        <v>594</v>
      </c>
      <c r="D3669" s="2" t="str">
        <f t="shared" si="56"/>
        <v>Error?</v>
      </c>
    </row>
    <row r="3670" spans="1:4" x14ac:dyDescent="0.2">
      <c r="A3670" s="5">
        <v>3609</v>
      </c>
      <c r="B3670" s="138">
        <f>'Expenditures 15-22'!K350</f>
        <v>24629</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24629</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24629</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9621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33168</v>
      </c>
      <c r="C3725" s="2" t="s">
        <v>594</v>
      </c>
      <c r="D3725" s="2" t="str">
        <f t="shared" si="57"/>
        <v>Error?</v>
      </c>
    </row>
    <row r="3726" spans="1:4" x14ac:dyDescent="0.2">
      <c r="A3726" s="5">
        <v>3665</v>
      </c>
      <c r="B3726" s="138">
        <f>'Tax Sched 23'!D13</f>
        <v>33168</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33116</v>
      </c>
      <c r="C3728" s="2" t="s">
        <v>594</v>
      </c>
      <c r="D3728" s="2" t="str">
        <f t="shared" si="57"/>
        <v>Error?</v>
      </c>
    </row>
    <row r="3729" spans="1:4" x14ac:dyDescent="0.2">
      <c r="A3729" s="5">
        <v>3668</v>
      </c>
      <c r="B3729" s="138">
        <f>'Tax Sched 23'!E13</f>
        <v>33116</v>
      </c>
      <c r="D3729" s="2" t="str">
        <f t="shared" si="57"/>
        <v>Error?</v>
      </c>
    </row>
    <row r="3730" spans="1:4" x14ac:dyDescent="0.2">
      <c r="A3730" s="5">
        <v>3669</v>
      </c>
      <c r="B3730" s="138">
        <f>'ICR Computation 30'!E10</f>
        <v>248232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2385394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8719583</v>
      </c>
      <c r="C4122" s="2" t="s">
        <v>594</v>
      </c>
      <c r="D4122" s="2" t="str">
        <f t="shared" si="63"/>
        <v>Error?</v>
      </c>
    </row>
    <row r="4123" spans="1:4" x14ac:dyDescent="0.2">
      <c r="A4123" s="5">
        <v>4062</v>
      </c>
      <c r="B4123" s="138">
        <f>'Acct Summary 7-8'!D10</f>
        <v>253671</v>
      </c>
      <c r="C4123" s="2" t="s">
        <v>594</v>
      </c>
      <c r="D4123" s="2" t="str">
        <f t="shared" si="63"/>
        <v>Error?</v>
      </c>
    </row>
    <row r="4124" spans="1:4" x14ac:dyDescent="0.2">
      <c r="A4124" s="5">
        <v>4063</v>
      </c>
      <c r="B4124" s="138">
        <f>'Acct Summary 7-8'!E10</f>
        <v>67278</v>
      </c>
      <c r="C4124" s="2" t="s">
        <v>594</v>
      </c>
      <c r="D4124" s="2" t="str">
        <f t="shared" si="63"/>
        <v>Error?</v>
      </c>
    </row>
    <row r="4125" spans="1:4" x14ac:dyDescent="0.2">
      <c r="A4125" s="5">
        <v>4064</v>
      </c>
      <c r="B4125" s="138">
        <f>'Acct Summary 7-8'!F10</f>
        <v>658929</v>
      </c>
      <c r="C4125" s="2" t="s">
        <v>594</v>
      </c>
      <c r="D4125" s="2" t="str">
        <f t="shared" si="63"/>
        <v>Error?</v>
      </c>
    </row>
    <row r="4126" spans="1:4" x14ac:dyDescent="0.2">
      <c r="A4126" s="5">
        <v>4065</v>
      </c>
      <c r="B4126" s="138">
        <f>'Acct Summary 7-8'!G10</f>
        <v>395401</v>
      </c>
      <c r="C4126" s="2" t="s">
        <v>594</v>
      </c>
      <c r="D4126" s="2" t="str">
        <f t="shared" si="63"/>
        <v>Error?</v>
      </c>
    </row>
    <row r="4127" spans="1:4" x14ac:dyDescent="0.2">
      <c r="A4127" s="5">
        <v>4066</v>
      </c>
      <c r="B4127" s="138">
        <f>'Acct Summary 7-8'!H10</f>
        <v>23489</v>
      </c>
      <c r="C4127" s="2" t="s">
        <v>594</v>
      </c>
      <c r="D4127" s="2" t="str">
        <f t="shared" si="63"/>
        <v>Error?</v>
      </c>
    </row>
    <row r="4128" spans="1:4" x14ac:dyDescent="0.2">
      <c r="A4128" s="5">
        <v>4067</v>
      </c>
      <c r="B4128" s="138">
        <f>'Acct Summary 7-8'!I10</f>
        <v>33168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34250</v>
      </c>
      <c r="C4130" s="2" t="s">
        <v>594</v>
      </c>
      <c r="D4130" s="2" t="str">
        <f t="shared" si="63"/>
        <v>Error?</v>
      </c>
    </row>
    <row r="4131" spans="1:4" x14ac:dyDescent="0.2">
      <c r="A4131" s="5">
        <v>4070</v>
      </c>
      <c r="B4131" s="138">
        <f>'Acct Summary 7-8'!C18</f>
        <v>2385394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8235442</v>
      </c>
      <c r="C4136" s="2" t="s">
        <v>594</v>
      </c>
      <c r="D4136" s="2" t="str">
        <f t="shared" si="63"/>
        <v>Error?</v>
      </c>
    </row>
    <row r="4137" spans="1:4" x14ac:dyDescent="0.2">
      <c r="A4137" s="5">
        <v>4076</v>
      </c>
      <c r="B4137" s="138">
        <f>'Acct Summary 7-8'!D19</f>
        <v>332794</v>
      </c>
      <c r="C4137" s="2" t="s">
        <v>594</v>
      </c>
      <c r="D4137" s="2" t="str">
        <f t="shared" si="63"/>
        <v>Error?</v>
      </c>
    </row>
    <row r="4138" spans="1:4" x14ac:dyDescent="0.2">
      <c r="A4138" s="5">
        <v>4077</v>
      </c>
      <c r="B4138" s="138">
        <f>'Acct Summary 7-8'!E19</f>
        <v>67278</v>
      </c>
      <c r="C4138" s="2" t="s">
        <v>594</v>
      </c>
      <c r="D4138" s="2" t="str">
        <f t="shared" si="63"/>
        <v>Error?</v>
      </c>
    </row>
    <row r="4139" spans="1:4" x14ac:dyDescent="0.2">
      <c r="A4139" s="5">
        <v>4078</v>
      </c>
      <c r="B4139" s="138">
        <f>'Acct Summary 7-8'!F19</f>
        <v>519116</v>
      </c>
      <c r="C4139" s="2" t="s">
        <v>594</v>
      </c>
      <c r="D4139" s="2" t="str">
        <f t="shared" si="63"/>
        <v>Error?</v>
      </c>
    </row>
    <row r="4140" spans="1:4" x14ac:dyDescent="0.2">
      <c r="A4140" s="5">
        <v>4079</v>
      </c>
      <c r="B4140" s="138">
        <f>'Acct Summary 7-8'!G19</f>
        <v>368767</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24629</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424216</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107596</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53352</v>
      </c>
      <c r="D4210" s="2" t="str">
        <f t="shared" si="64"/>
        <v>Error?</v>
      </c>
    </row>
    <row r="4211" spans="1:4" x14ac:dyDescent="0.2">
      <c r="A4211" s="5">
        <v>4150</v>
      </c>
      <c r="B4211" s="138">
        <f>'Expenditures 15-22'!K206</f>
        <v>53352</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2500</v>
      </c>
      <c r="C4265" s="2" t="s">
        <v>594</v>
      </c>
      <c r="D4265" s="2" t="str">
        <f t="shared" si="65"/>
        <v>Error?</v>
      </c>
      <c r="E4265" s="128"/>
    </row>
    <row r="4266" spans="1:5" x14ac:dyDescent="0.2">
      <c r="A4266" s="12">
        <v>4205</v>
      </c>
      <c r="B4266" s="138">
        <f>('FP Info 3'!F10)*100000</f>
        <v>375</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3075</v>
      </c>
      <c r="C4268" s="2" t="s">
        <v>594</v>
      </c>
      <c r="D4268" s="2" t="str">
        <f t="shared" si="65"/>
        <v>Error?</v>
      </c>
    </row>
    <row r="4269" spans="1:5" x14ac:dyDescent="0.2">
      <c r="A4269" s="12">
        <v>4208</v>
      </c>
      <c r="B4269" s="138">
        <f>'FP Info 3'!J16</f>
        <v>3207102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12585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146963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13052</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13052</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29989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56478</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3401</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66230605</v>
      </c>
      <c r="D4995" s="2" t="str">
        <f t="shared" si="77"/>
        <v>Error?</v>
      </c>
    </row>
    <row r="4996" spans="1:4" x14ac:dyDescent="0.2">
      <c r="A4996" s="12">
        <v>4935</v>
      </c>
      <c r="B4996" s="138">
        <f>'FP Info 3'!H31</f>
        <v>9139823.4900000002</v>
      </c>
      <c r="D4996" s="2" t="str">
        <f t="shared" si="77"/>
        <v>Error?</v>
      </c>
    </row>
    <row r="4997" spans="1:4" x14ac:dyDescent="0.2">
      <c r="A4997" s="12">
        <v>4936</v>
      </c>
      <c r="B4997" s="138">
        <f>'FP Info 3'!H37</f>
        <v>424216</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33168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1651098</v>
      </c>
      <c r="D5061" s="2" t="str">
        <f t="shared" si="78"/>
        <v>Error?</v>
      </c>
    </row>
    <row r="5062" spans="1:4" x14ac:dyDescent="0.2">
      <c r="A5062" s="10">
        <v>5001</v>
      </c>
      <c r="D5062" s="2" t="str">
        <f t="shared" si="78"/>
        <v>OK</v>
      </c>
    </row>
    <row r="5063" spans="1:4" x14ac:dyDescent="0.2">
      <c r="A5063" s="5">
        <v>5002</v>
      </c>
      <c r="B5063" s="138">
        <f>'Revenues 9-14'!C7</f>
        <v>26535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1710801</v>
      </c>
      <c r="C5066" s="2" t="s">
        <v>594</v>
      </c>
      <c r="D5066" s="2" t="str">
        <f t="shared" si="78"/>
        <v>Error?</v>
      </c>
    </row>
    <row r="5067" spans="1:4" x14ac:dyDescent="0.2">
      <c r="A5067" s="5">
        <v>5006</v>
      </c>
      <c r="B5067" s="138">
        <f>'Revenues 9-14'!C14</f>
        <v>7308</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57056</v>
      </c>
      <c r="D5069" s="2" t="str">
        <f t="shared" si="78"/>
        <v>Error?</v>
      </c>
    </row>
    <row r="5070" spans="1:4" x14ac:dyDescent="0.2">
      <c r="A5070" s="5">
        <v>5009</v>
      </c>
      <c r="B5070" s="138">
        <f>'Revenues 9-14'!C17</f>
        <v>910</v>
      </c>
      <c r="D5070" s="2" t="str">
        <f t="shared" si="78"/>
        <v>Error?</v>
      </c>
    </row>
    <row r="5071" spans="1:4" x14ac:dyDescent="0.2">
      <c r="A5071" s="5">
        <v>5010</v>
      </c>
      <c r="B5071" s="138">
        <f>'Revenues 9-14'!C18</f>
        <v>65274</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19505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19505</v>
      </c>
      <c r="C5090" s="2" t="s">
        <v>594</v>
      </c>
      <c r="D5090" s="2" t="str">
        <f t="shared" si="78"/>
        <v>Error?</v>
      </c>
    </row>
    <row r="5091" spans="1:4" x14ac:dyDescent="0.2">
      <c r="A5091" s="5">
        <v>5030</v>
      </c>
      <c r="B5091" s="138">
        <f>'Revenues 9-14'!C70</f>
        <v>7738</v>
      </c>
      <c r="D5091" s="2" t="str">
        <f t="shared" si="78"/>
        <v>Error?</v>
      </c>
    </row>
    <row r="5092" spans="1:4" x14ac:dyDescent="0.2">
      <c r="A5092" s="5">
        <v>5031</v>
      </c>
      <c r="B5092" s="138">
        <f>'Revenues 9-14'!C71</f>
        <v>4545</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5084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45568</v>
      </c>
      <c r="C5096" s="2" t="s">
        <v>594</v>
      </c>
      <c r="D5096" s="2" t="str">
        <f t="shared" si="78"/>
        <v>Error?</v>
      </c>
    </row>
    <row r="5097" spans="1:4" x14ac:dyDescent="0.2">
      <c r="A5097" s="5">
        <v>5036</v>
      </c>
      <c r="B5097" s="138">
        <f>'Revenues 9-14'!C77</f>
        <v>19431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4975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24406</v>
      </c>
      <c r="C5102" s="2" t="s">
        <v>594</v>
      </c>
      <c r="D5102" s="2" t="str">
        <f t="shared" si="78"/>
        <v>Error?</v>
      </c>
    </row>
    <row r="5103" spans="1:4" x14ac:dyDescent="0.2">
      <c r="A5103" s="5">
        <v>5042</v>
      </c>
      <c r="B5103" s="138">
        <f>'Revenues 9-14'!C84</f>
        <v>6603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6603</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19363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1350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41203</v>
      </c>
      <c r="D5119" s="2" t="str">
        <f t="shared" ref="D5119:D5182" si="79">IF(ISBLANK(B5119),"OK",IF(A5119-B5119=0,"OK","Error?"))</f>
        <v>Error?</v>
      </c>
    </row>
    <row r="5120" spans="1:4" x14ac:dyDescent="0.2">
      <c r="A5120" s="5">
        <v>5059</v>
      </c>
      <c r="B5120" s="138">
        <f>'Revenues 9-14'!C108</f>
        <v>63116</v>
      </c>
      <c r="C5120" s="2" t="s">
        <v>594</v>
      </c>
      <c r="D5120" s="2" t="str">
        <f t="shared" si="79"/>
        <v>Error?</v>
      </c>
    </row>
    <row r="5121" spans="1:4" x14ac:dyDescent="0.2">
      <c r="A5121" s="5">
        <v>5060</v>
      </c>
      <c r="B5121" s="138">
        <f>'Revenues 9-14'!C109</f>
        <v>1935273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3185046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3185046</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54369</v>
      </c>
      <c r="D5134" s="2" t="str">
        <f t="shared" si="79"/>
        <v>Error?</v>
      </c>
    </row>
    <row r="5135" spans="1:4" x14ac:dyDescent="0.2">
      <c r="A5135" s="5">
        <v>5074</v>
      </c>
      <c r="B5135" s="138">
        <f>'Revenues 9-14'!C126</f>
        <v>60955</v>
      </c>
      <c r="D5135" s="2" t="str">
        <f t="shared" si="79"/>
        <v>Error?</v>
      </c>
    </row>
    <row r="5136" spans="1:4" x14ac:dyDescent="0.2">
      <c r="A5136" s="10">
        <v>5075</v>
      </c>
      <c r="D5136" s="2" t="str">
        <f t="shared" si="79"/>
        <v>OK</v>
      </c>
    </row>
    <row r="5137" spans="1:4" x14ac:dyDescent="0.2">
      <c r="A5137" s="5">
        <v>5076</v>
      </c>
      <c r="B5137" s="138">
        <f>'Revenues 9-14'!C127</f>
        <v>15775</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131099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16780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33627</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4503</v>
      </c>
      <c r="D5167" s="2" t="str">
        <f t="shared" si="79"/>
        <v>Error?</v>
      </c>
    </row>
    <row r="5168" spans="1:4" x14ac:dyDescent="0.2">
      <c r="A5168" s="5">
        <v>5107</v>
      </c>
      <c r="B5168" s="138">
        <f>'Revenues 9-14'!C147</f>
        <v>10534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37230</v>
      </c>
      <c r="D5194" s="2" t="str">
        <f t="shared" si="80"/>
        <v>Error?</v>
      </c>
    </row>
    <row r="5195" spans="1:4" x14ac:dyDescent="0.2">
      <c r="A5195" s="10">
        <v>5134</v>
      </c>
      <c r="D5195" s="2" t="str">
        <f t="shared" si="80"/>
        <v>OK</v>
      </c>
    </row>
    <row r="5196" spans="1:4" x14ac:dyDescent="0.2">
      <c r="A5196" s="5">
        <v>5135</v>
      </c>
      <c r="B5196" s="138">
        <f>'Revenues 9-14'!C158</f>
        <v>273952</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547423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3732469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184990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74846</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7161</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266997</v>
      </c>
      <c r="C5246" s="2" t="s">
        <v>594</v>
      </c>
      <c r="D5246" s="2" t="str">
        <f t="shared" si="80"/>
        <v>Error?</v>
      </c>
    </row>
    <row r="5247" spans="1:4" x14ac:dyDescent="0.2">
      <c r="A5247" s="5">
        <v>5186</v>
      </c>
      <c r="B5247" s="138">
        <f>'Revenues 9-14'!C203</f>
        <v>178410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178410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15050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15050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666447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666447</v>
      </c>
      <c r="C5326" s="2" t="s">
        <v>594</v>
      </c>
      <c r="D5326" s="2" t="str">
        <f t="shared" si="82"/>
        <v>Error?</v>
      </c>
    </row>
    <row r="5327" spans="1:4" x14ac:dyDescent="0.2">
      <c r="A5327" s="5">
        <v>5266</v>
      </c>
      <c r="B5327" s="138">
        <f>'Revenues 9-14'!C275</f>
        <v>6334189</v>
      </c>
      <c r="C5327" s="2" t="s">
        <v>594</v>
      </c>
      <c r="D5327" s="2" t="str">
        <f t="shared" si="82"/>
        <v>Error?</v>
      </c>
    </row>
    <row r="5328" spans="1:4" x14ac:dyDescent="0.2">
      <c r="A5328" s="5">
        <v>5267</v>
      </c>
      <c r="B5328" s="138">
        <f>'Revenues 9-14'!D5</f>
        <v>247665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247665</v>
      </c>
      <c r="C5334" s="2" t="s">
        <v>594</v>
      </c>
      <c r="D5334" s="2" t="str">
        <f t="shared" si="82"/>
        <v>Error?</v>
      </c>
    </row>
    <row r="5335" spans="1:4" x14ac:dyDescent="0.2">
      <c r="A5335" s="5">
        <v>5274</v>
      </c>
      <c r="B5335" s="138">
        <f>'Revenues 9-14'!D14</f>
        <v>1096</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1096</v>
      </c>
      <c r="C5339" s="2" t="s">
        <v>594</v>
      </c>
      <c r="D5339" s="2" t="str">
        <f t="shared" si="82"/>
        <v>Error?</v>
      </c>
    </row>
    <row r="5340" spans="1:4" x14ac:dyDescent="0.2">
      <c r="A5340" s="5">
        <v>5279</v>
      </c>
      <c r="B5340" s="138">
        <f>'Revenues 9-14'!D65</f>
        <v>2065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2065</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2845</v>
      </c>
      <c r="D5354" s="2" t="str">
        <f t="shared" si="82"/>
        <v>Error?</v>
      </c>
    </row>
    <row r="5355" spans="1:4" x14ac:dyDescent="0.2">
      <c r="A5355" s="5">
        <v>5294</v>
      </c>
      <c r="B5355" s="138">
        <f>'Revenues 9-14'!D108</f>
        <v>2845</v>
      </c>
      <c r="C5355" s="2" t="s">
        <v>594</v>
      </c>
      <c r="D5355" s="2" t="str">
        <f t="shared" si="82"/>
        <v>Error?</v>
      </c>
    </row>
    <row r="5356" spans="1:4" x14ac:dyDescent="0.2">
      <c r="A5356" s="5">
        <v>5295</v>
      </c>
      <c r="B5356" s="138">
        <f>'Revenues 9-14'!D109</f>
        <v>253671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253671</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67278</v>
      </c>
      <c r="D5516" s="2" t="str">
        <f t="shared" si="85"/>
        <v>Error?</v>
      </c>
    </row>
    <row r="5517" spans="1:4" x14ac:dyDescent="0.2">
      <c r="A5517" s="5">
        <v>5456</v>
      </c>
      <c r="B5517" s="138">
        <f>'Revenues 9-14'!E17</f>
        <v>0</v>
      </c>
      <c r="D5517" s="2" t="str">
        <f t="shared" si="85"/>
        <v>Error?</v>
      </c>
    </row>
    <row r="5518" spans="1:4" x14ac:dyDescent="0.2">
      <c r="A5518" s="5">
        <v>5457</v>
      </c>
      <c r="B5518" s="138">
        <f>'Revenues 9-14'!E18</f>
        <v>67278</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67278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67278</v>
      </c>
      <c r="C5552" s="2" t="s">
        <v>594</v>
      </c>
      <c r="D5552" s="2" t="str">
        <f t="shared" si="85"/>
        <v>Error?</v>
      </c>
    </row>
    <row r="5553" spans="1:4" x14ac:dyDescent="0.2">
      <c r="A5553" s="5">
        <v>5492</v>
      </c>
      <c r="B5553" s="138">
        <f>'Revenues 9-14'!F5</f>
        <v>132088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132088</v>
      </c>
      <c r="C5557" s="2" t="s">
        <v>594</v>
      </c>
      <c r="D5557" s="2" t="str">
        <f t="shared" si="85"/>
        <v>Error?</v>
      </c>
    </row>
    <row r="5558" spans="1:4" x14ac:dyDescent="0.2">
      <c r="A5558" s="5">
        <v>5497</v>
      </c>
      <c r="B5558" s="138">
        <f>'Revenues 9-14'!F14</f>
        <v>585</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174061</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174646</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989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989</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307723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293439</v>
      </c>
      <c r="D5615" s="2" t="str">
        <f t="shared" si="86"/>
        <v>Error?</v>
      </c>
    </row>
    <row r="5616" spans="1:4" x14ac:dyDescent="0.2">
      <c r="A5616" s="10">
        <v>5555</v>
      </c>
      <c r="D5616" s="2" t="str">
        <f t="shared" si="86"/>
        <v>OK</v>
      </c>
    </row>
    <row r="5617" spans="1:4" x14ac:dyDescent="0.2">
      <c r="A5617" s="5">
        <v>5556</v>
      </c>
      <c r="B5617" s="138">
        <f>'Revenues 9-14'!F152</f>
        <v>57767</v>
      </c>
      <c r="D5617" s="2" t="str">
        <f t="shared" si="86"/>
        <v>Error?</v>
      </c>
    </row>
    <row r="5618" spans="1:4" x14ac:dyDescent="0.2">
      <c r="A5618" s="5">
        <v>5557</v>
      </c>
      <c r="B5618" s="138">
        <f>'Revenues 9-14'!F154</f>
        <v>351206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351206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351206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658929</v>
      </c>
      <c r="C5720" s="2" t="s">
        <v>594</v>
      </c>
      <c r="D5720" s="2" t="str">
        <f t="shared" si="88"/>
        <v>Error?</v>
      </c>
    </row>
    <row r="5721" spans="1:4" x14ac:dyDescent="0.2">
      <c r="A5721" s="5">
        <v>5660</v>
      </c>
      <c r="B5721" s="138">
        <f>'Revenues 9-14'!G5</f>
        <v>187368</v>
      </c>
      <c r="D5721" s="2" t="str">
        <f t="shared" si="88"/>
        <v>Error?</v>
      </c>
    </row>
    <row r="5722" spans="1:4" x14ac:dyDescent="0.2">
      <c r="A5722" s="5">
        <v>5661</v>
      </c>
      <c r="B5722" s="138">
        <f>'Revenues 9-14'!G7</f>
        <v>0</v>
      </c>
      <c r="D5722" s="2" t="str">
        <f t="shared" si="88"/>
        <v>Error?</v>
      </c>
    </row>
    <row r="5723" spans="1:4" x14ac:dyDescent="0.2">
      <c r="A5723" s="5">
        <v>5662</v>
      </c>
      <c r="B5723" s="138">
        <f>'Revenues 9-14'!G8</f>
        <v>152973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340341</v>
      </c>
      <c r="C5725" s="2" t="s">
        <v>594</v>
      </c>
      <c r="D5725" s="2" t="str">
        <f t="shared" si="88"/>
        <v>Error?</v>
      </c>
    </row>
    <row r="5726" spans="1:4" x14ac:dyDescent="0.2">
      <c r="A5726" s="5">
        <v>5665</v>
      </c>
      <c r="B5726" s="138">
        <f>'Revenues 9-14'!G14</f>
        <v>830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52000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52830</v>
      </c>
      <c r="C5730" s="2" t="s">
        <v>594</v>
      </c>
      <c r="D5730" s="2" t="str">
        <f t="shared" si="88"/>
        <v>Error?</v>
      </c>
    </row>
    <row r="5731" spans="1:4" x14ac:dyDescent="0.2">
      <c r="A5731" s="5">
        <v>5670</v>
      </c>
      <c r="B5731" s="138">
        <f>'Revenues 9-14'!G65</f>
        <v>2230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2230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395401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1380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1380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18923</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22109</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23489</v>
      </c>
      <c r="C5915" s="2" t="s">
        <v>594</v>
      </c>
      <c r="D5915" s="2" t="str">
        <f t="shared" si="91"/>
        <v>Error?</v>
      </c>
    </row>
    <row r="5916" spans="1:4" x14ac:dyDescent="0.2">
      <c r="A5916" s="5">
        <v>5855</v>
      </c>
      <c r="B5916" s="138">
        <f>'Revenues 9-14'!I5</f>
        <v>33022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33022</v>
      </c>
      <c r="C5918" s="2" t="s">
        <v>594</v>
      </c>
      <c r="D5918" s="2" t="str">
        <f t="shared" si="91"/>
        <v>Error?</v>
      </c>
    </row>
    <row r="5919" spans="1:4" x14ac:dyDescent="0.2">
      <c r="A5919" s="5">
        <v>5858</v>
      </c>
      <c r="B5919" s="138">
        <f>'Revenues 9-14'!I14</f>
        <v>146</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146</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33168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33022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33022</v>
      </c>
      <c r="C5987" s="2" t="s">
        <v>594</v>
      </c>
      <c r="D5987" s="2" t="str">
        <f t="shared" si="92"/>
        <v>Error?</v>
      </c>
    </row>
    <row r="5988" spans="1:4" x14ac:dyDescent="0.2">
      <c r="A5988" s="5">
        <v>5927</v>
      </c>
      <c r="B5988" s="138">
        <f>'Revenues 9-14'!K14</f>
        <v>146</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146</v>
      </c>
      <c r="C5992" s="2" t="s">
        <v>594</v>
      </c>
      <c r="D5992" s="2" t="str">
        <f t="shared" si="92"/>
        <v>Error?</v>
      </c>
    </row>
    <row r="5993" spans="1:4" x14ac:dyDescent="0.2">
      <c r="A5993" s="5">
        <v>5932</v>
      </c>
      <c r="B5993" s="138">
        <f>'Revenues 9-14'!K65</f>
        <v>1082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1082</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34250</v>
      </c>
      <c r="C6023" s="2" t="s">
        <v>594</v>
      </c>
      <c r="D6023" s="2" t="str">
        <f t="shared" si="93"/>
        <v>Error?</v>
      </c>
    </row>
    <row r="6024" spans="1:5" x14ac:dyDescent="0.2">
      <c r="A6024" s="5">
        <v>5963</v>
      </c>
      <c r="B6024" s="138">
        <f>'Revenues 9-14'!G109</f>
        <v>395401</v>
      </c>
      <c r="C6024" s="2" t="s">
        <v>594</v>
      </c>
      <c r="D6024" s="2" t="str">
        <f t="shared" si="93"/>
        <v>Error?</v>
      </c>
    </row>
    <row r="6025" spans="1:5" x14ac:dyDescent="0.2">
      <c r="A6025" s="5">
        <v>5964</v>
      </c>
      <c r="B6025" s="138">
        <f>'Revenues 9-14'!H109</f>
        <v>23489</v>
      </c>
      <c r="C6025" s="2" t="s">
        <v>594</v>
      </c>
      <c r="D6025" s="2" t="str">
        <f t="shared" si="93"/>
        <v>Error?</v>
      </c>
    </row>
    <row r="6026" spans="1:5" x14ac:dyDescent="0.2">
      <c r="A6026" s="5">
        <v>5965</v>
      </c>
      <c r="B6026" s="138">
        <f>'Revenues 9-14'!I109</f>
        <v>33168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34250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28201</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28550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690.28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379186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379186</v>
      </c>
      <c r="D6215" s="2" t="str">
        <f t="shared" si="96"/>
        <v>Error?</v>
      </c>
      <c r="E6215" s="2" t="s">
        <v>199</v>
      </c>
    </row>
    <row r="6216" spans="1:5" x14ac:dyDescent="0.2">
      <c r="A6216">
        <v>6155</v>
      </c>
      <c r="B6216" s="138">
        <f>'Assets-Liab 5-6'!J41</f>
        <v>379186</v>
      </c>
      <c r="D6216" s="2" t="str">
        <f t="shared" si="96"/>
        <v>Error?</v>
      </c>
      <c r="E6216" s="2" t="s">
        <v>199</v>
      </c>
    </row>
    <row r="6217" spans="1:5" x14ac:dyDescent="0.2">
      <c r="A6217">
        <v>6156</v>
      </c>
      <c r="B6217" s="138">
        <f>'Assets-Liab 5-6'!J4</f>
        <v>65117</v>
      </c>
      <c r="D6217" s="2" t="str">
        <f t="shared" si="96"/>
        <v>Error?</v>
      </c>
      <c r="E6217" s="2" t="s">
        <v>199</v>
      </c>
    </row>
    <row r="6218" spans="1:5" x14ac:dyDescent="0.2">
      <c r="A6218">
        <v>6157</v>
      </c>
      <c r="B6218" s="138">
        <f>'Assets-Liab 5-6'!J5</f>
        <v>314069</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369936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369936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369936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285588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285588</v>
      </c>
      <c r="D6229" s="2" t="str">
        <f t="shared" si="96"/>
        <v>Error?</v>
      </c>
      <c r="E6229" s="2" t="s">
        <v>199</v>
      </c>
    </row>
    <row r="6230" spans="1:5" x14ac:dyDescent="0.2">
      <c r="A6230">
        <v>6169</v>
      </c>
      <c r="B6230" s="138">
        <f>'Acct Summary 7-8'!J20</f>
        <v>84348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84348</v>
      </c>
      <c r="D6263" s="2" t="str">
        <f t="shared" si="96"/>
        <v>Error?</v>
      </c>
      <c r="E6263" s="2" t="s">
        <v>199</v>
      </c>
    </row>
    <row r="6264" spans="1:5" x14ac:dyDescent="0.2">
      <c r="A6264">
        <v>6203</v>
      </c>
      <c r="B6264" s="138">
        <f>'Acct Summary 7-8'!J79</f>
        <v>294838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379186</v>
      </c>
      <c r="D6266" s="2" t="str">
        <f t="shared" si="96"/>
        <v>Error?</v>
      </c>
      <c r="E6266" s="2" t="s">
        <v>199</v>
      </c>
    </row>
    <row r="6267" spans="1:5" x14ac:dyDescent="0.2">
      <c r="A6267">
        <v>6206</v>
      </c>
      <c r="B6267" s="138">
        <f>'Acct Summary 7-8'!C82</f>
        <v>517309</v>
      </c>
      <c r="D6267" s="2" t="str">
        <f t="shared" si="96"/>
        <v>Error?</v>
      </c>
      <c r="E6267" s="2" t="s">
        <v>199</v>
      </c>
    </row>
    <row r="6268" spans="1:5" x14ac:dyDescent="0.2">
      <c r="A6268">
        <v>6207</v>
      </c>
      <c r="B6268" s="138">
        <f>'Acct Summary 7-8'!D82</f>
        <v>-79123</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143081</v>
      </c>
      <c r="D6270" s="2" t="str">
        <f t="shared" si="96"/>
        <v>Error?</v>
      </c>
      <c r="E6270" s="2" t="s">
        <v>199</v>
      </c>
    </row>
    <row r="6271" spans="1:5" x14ac:dyDescent="0.2">
      <c r="A6271">
        <v>6210</v>
      </c>
      <c r="B6271" s="138">
        <f>'Acct Summary 7-8'!G82</f>
        <v>26634</v>
      </c>
      <c r="D6271" s="2" t="str">
        <f t="shared" ref="D6271:D6334" si="97">IF(ISBLANK(B6271),"OK",IF(A6271-B6271=0,"OK","Error?"))</f>
        <v>Error?</v>
      </c>
      <c r="E6271" s="2" t="s">
        <v>199</v>
      </c>
    </row>
    <row r="6272" spans="1:5" x14ac:dyDescent="0.2">
      <c r="A6272">
        <v>6211</v>
      </c>
      <c r="B6272" s="138">
        <f>'Acct Summary 7-8'!H82</f>
        <v>23489</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84348</v>
      </c>
      <c r="D6274" s="2" t="str">
        <f t="shared" si="97"/>
        <v>Error?</v>
      </c>
      <c r="E6274" s="2" t="s">
        <v>199</v>
      </c>
    </row>
    <row r="6275" spans="1:5" x14ac:dyDescent="0.2">
      <c r="A6275">
        <v>6214</v>
      </c>
      <c r="B6275" s="138">
        <f>'Acct Summary 7-8'!K82</f>
        <v>9621</v>
      </c>
      <c r="D6275" s="2" t="str">
        <f t="shared" si="97"/>
        <v>Error?</v>
      </c>
      <c r="E6275" s="2" t="s">
        <v>199</v>
      </c>
    </row>
    <row r="6276" spans="1:5" x14ac:dyDescent="0.2">
      <c r="A6276">
        <v>6215</v>
      </c>
      <c r="B6276" s="138">
        <f>'Acct Summary 7-8'!C83</f>
        <v>0.2083425796414218</v>
      </c>
      <c r="D6276" s="2" t="str">
        <f t="shared" si="97"/>
        <v>Error?</v>
      </c>
      <c r="E6276" s="2" t="s">
        <v>199</v>
      </c>
    </row>
    <row r="6277" spans="1:5" x14ac:dyDescent="0.2">
      <c r="A6277">
        <v>6216</v>
      </c>
      <c r="B6277" s="138">
        <f>'Acct Summary 7-8'!D83</f>
        <v>-0.27494935244098645</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0.32789969657802343</v>
      </c>
      <c r="D6279" s="2" t="str">
        <f t="shared" si="97"/>
        <v>Error?</v>
      </c>
      <c r="E6279" s="2" t="s">
        <v>199</v>
      </c>
    </row>
    <row r="6280" spans="1:5" x14ac:dyDescent="0.2">
      <c r="A6280">
        <v>6219</v>
      </c>
      <c r="B6280" s="138">
        <f>'Acct Summary 7-8'!G83</f>
        <v>6.3492441886798756E-2</v>
      </c>
      <c r="D6280" s="2" t="str">
        <f t="shared" si="97"/>
        <v>Error?</v>
      </c>
      <c r="E6280" s="2" t="s">
        <v>199</v>
      </c>
    </row>
    <row r="6281" spans="1:5" x14ac:dyDescent="0.2">
      <c r="A6281">
        <v>6220</v>
      </c>
      <c r="B6281" s="138">
        <f>'Acct Summary 7-8'!H83</f>
        <v>9.6712300566134848E-2</v>
      </c>
      <c r="D6281" s="2" t="str">
        <f t="shared" si="97"/>
        <v>Error?</v>
      </c>
      <c r="E6281" s="2" t="s">
        <v>199</v>
      </c>
    </row>
    <row r="6282" spans="1:5" x14ac:dyDescent="0.2">
      <c r="A6282">
        <v>6221</v>
      </c>
      <c r="B6282" s="138" t="e">
        <f>'Acct Summary 7-8'!I83</f>
        <v>#DIV/0!</v>
      </c>
      <c r="D6282" s="2" t="e">
        <f t="shared" si="97"/>
        <v>#DIV/0!</v>
      </c>
      <c r="E6282" s="2" t="s">
        <v>199</v>
      </c>
    </row>
    <row r="6283" spans="1:5" x14ac:dyDescent="0.2">
      <c r="A6283">
        <v>6222</v>
      </c>
      <c r="B6283" s="138">
        <f>'Acct Summary 7-8'!J83</f>
        <v>0.22244492148971745</v>
      </c>
      <c r="D6283" s="2" t="str">
        <f t="shared" si="97"/>
        <v>Error?</v>
      </c>
      <c r="E6283" s="2" t="s">
        <v>199</v>
      </c>
    </row>
    <row r="6284" spans="1:5" x14ac:dyDescent="0.2">
      <c r="A6284">
        <v>6223</v>
      </c>
      <c r="B6284" s="138">
        <f>'Acct Summary 7-8'!K83</f>
        <v>0.06</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360711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360711</v>
      </c>
      <c r="D6301" s="2" t="str">
        <f t="shared" si="97"/>
        <v>Error?</v>
      </c>
      <c r="E6301" s="2" t="s">
        <v>199</v>
      </c>
    </row>
    <row r="6302" spans="1:5" x14ac:dyDescent="0.2">
      <c r="A6302">
        <v>6241</v>
      </c>
      <c r="B6302" s="138">
        <f>'Revenues 9-14'!J14</f>
        <v>1597</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1597</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2115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2115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5513</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1200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5513</v>
      </c>
      <c r="D6351" s="2" t="str">
        <f t="shared" si="98"/>
        <v>Error?</v>
      </c>
      <c r="E6351" s="2" t="s">
        <v>199</v>
      </c>
    </row>
    <row r="6352" spans="1:5" x14ac:dyDescent="0.2">
      <c r="A6352">
        <v>6291</v>
      </c>
      <c r="B6352" s="138">
        <f>'Revenues 9-14'!J109</f>
        <v>369936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16847</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119373</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259853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26634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893</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159745</v>
      </c>
      <c r="D6983" s="2" t="str">
        <f t="shared" si="108"/>
        <v>Error?</v>
      </c>
    </row>
    <row r="6984" spans="1:4" x14ac:dyDescent="0.2">
      <c r="A6984">
        <v>6923</v>
      </c>
      <c r="B6984" s="138">
        <f>'Expenditures 15-22'!K86</f>
        <v>159745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159745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285588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369936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4142</v>
      </c>
      <c r="D7067" s="2" t="str">
        <f t="shared" si="109"/>
        <v>Error?</v>
      </c>
    </row>
    <row r="7068" spans="1:4" x14ac:dyDescent="0.2">
      <c r="A7068">
        <v>7007</v>
      </c>
      <c r="B7068" s="138">
        <f>'Expenditures 15-22'!K205</f>
        <v>4142</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12216</v>
      </c>
      <c r="D7073" s="2" t="str">
        <f t="shared" si="109"/>
        <v>Error?</v>
      </c>
    </row>
    <row r="7074" spans="1:4" x14ac:dyDescent="0.2">
      <c r="A7074">
        <v>7013</v>
      </c>
      <c r="B7074" s="138">
        <f>'Expenditures 15-22'!K216</f>
        <v>12216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383</v>
      </c>
      <c r="D7079" s="2" t="str">
        <f t="shared" si="109"/>
        <v>Error?</v>
      </c>
    </row>
    <row r="7080" spans="1:4" x14ac:dyDescent="0.2">
      <c r="A7080">
        <v>7019</v>
      </c>
      <c r="B7080" s="138">
        <f>'Expenditures 15-22'!K226</f>
        <v>383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15546</v>
      </c>
      <c r="D7093" s="2" t="str">
        <f t="shared" si="109"/>
        <v>Error?</v>
      </c>
    </row>
    <row r="7094" spans="1:4" x14ac:dyDescent="0.2">
      <c r="A7094">
        <v>7033</v>
      </c>
      <c r="B7094" s="138">
        <f>'Expenditures 15-22'!K254</f>
        <v>15546</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42832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42832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16335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16335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80933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80933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101580</v>
      </c>
      <c r="D7172" s="2" t="str">
        <f t="shared" si="111"/>
        <v>Error?</v>
      </c>
    </row>
    <row r="7173" spans="1:4" x14ac:dyDescent="0.2">
      <c r="A7173">
        <v>7112</v>
      </c>
      <c r="B7173" s="138">
        <f>'Expenditures 15-22'!D325</f>
        <v>23899</v>
      </c>
      <c r="D7173" s="2" t="str">
        <f t="shared" si="111"/>
        <v>Error?</v>
      </c>
    </row>
    <row r="7174" spans="1:4" x14ac:dyDescent="0.2">
      <c r="A7174">
        <v>7113</v>
      </c>
      <c r="B7174" s="138">
        <f>'Expenditures 15-22'!E325</f>
        <v>5750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131229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14259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14259</v>
      </c>
      <c r="D7198" s="2" t="str">
        <f t="shared" si="111"/>
        <v>Error?</v>
      </c>
    </row>
    <row r="7199" spans="1:4" x14ac:dyDescent="0.2">
      <c r="A7199">
        <v>7138</v>
      </c>
      <c r="B7199" s="138">
        <f>'Expenditures 15-22'!C330</f>
        <v>101580</v>
      </c>
      <c r="D7199" s="2" t="str">
        <f t="shared" si="111"/>
        <v>Error?</v>
      </c>
    </row>
    <row r="7200" spans="1:4" x14ac:dyDescent="0.2">
      <c r="A7200">
        <v>7139</v>
      </c>
      <c r="B7200" s="138">
        <f>'Expenditures 15-22'!D330</f>
        <v>23899</v>
      </c>
      <c r="D7200" s="2" t="str">
        <f t="shared" si="111"/>
        <v>Error?</v>
      </c>
    </row>
    <row r="7201" spans="1:4" x14ac:dyDescent="0.2">
      <c r="A7201">
        <v>7140</v>
      </c>
      <c r="B7201" s="138">
        <f>'Expenditures 15-22'!E330</f>
        <v>160109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285588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101580</v>
      </c>
      <c r="D7216" s="2" t="str">
        <f t="shared" si="111"/>
        <v>Error?</v>
      </c>
    </row>
    <row r="7217" spans="1:4" x14ac:dyDescent="0.2">
      <c r="A7217">
        <v>7156</v>
      </c>
      <c r="B7217" s="138">
        <f>'Expenditures 15-22'!D342</f>
        <v>23899</v>
      </c>
      <c r="D7217" s="2" t="str">
        <f t="shared" si="111"/>
        <v>Error?</v>
      </c>
    </row>
    <row r="7218" spans="1:4" x14ac:dyDescent="0.2">
      <c r="A7218">
        <v>7157</v>
      </c>
      <c r="B7218" s="138">
        <f>'Expenditures 15-22'!E342</f>
        <v>160109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285588</v>
      </c>
      <c r="D7224" s="2" t="str">
        <f t="shared" si="111"/>
        <v>Error?</v>
      </c>
    </row>
    <row r="7225" spans="1:4" x14ac:dyDescent="0.2">
      <c r="A7225">
        <v>7164</v>
      </c>
      <c r="B7225" s="138">
        <f>'Expenditures 15-22'!K343</f>
        <v>84348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34682</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74093</v>
      </c>
      <c r="D7248" s="2" t="str">
        <f t="shared" si="112"/>
        <v>Error?</v>
      </c>
    </row>
    <row r="7249" spans="1:4" x14ac:dyDescent="0.2">
      <c r="A7249">
        <f t="shared" si="113"/>
        <v>7188</v>
      </c>
      <c r="B7249" s="138">
        <f>'Expenditures 15-22'!G7</f>
        <v>31705</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25131</v>
      </c>
      <c r="D7263" s="2" t="str">
        <f t="shared" si="112"/>
        <v>Error?</v>
      </c>
    </row>
    <row r="7264" spans="1:4" x14ac:dyDescent="0.2">
      <c r="A7264">
        <f t="shared" si="113"/>
        <v>7203</v>
      </c>
      <c r="B7264" s="138">
        <f>'Expenditures 15-22'!D17</f>
        <v>1503</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261878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1200</v>
      </c>
      <c r="D7712" s="2" t="str">
        <f t="shared" si="126"/>
        <v>Error?</v>
      </c>
      <c r="E7712" s="2" t="s">
        <v>881</v>
      </c>
    </row>
    <row r="7713" spans="1:6" x14ac:dyDescent="0.2">
      <c r="A7713">
        <v>7652</v>
      </c>
      <c r="B7713" s="138">
        <f>'Rest Tax Levies-Tort Im 25'!J8</f>
        <v>3186</v>
      </c>
      <c r="D7713" s="2" t="str">
        <f t="shared" si="126"/>
        <v>Error?</v>
      </c>
      <c r="E7713" s="2" t="s">
        <v>881</v>
      </c>
    </row>
    <row r="7714" spans="1:6" x14ac:dyDescent="0.2">
      <c r="A7714">
        <v>7653</v>
      </c>
      <c r="B7714" s="138">
        <f>'Rest Tax Levies-Tort Im 25'!K9</f>
        <v>10534</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3186</v>
      </c>
      <c r="D7718" s="2" t="str">
        <f t="shared" si="126"/>
        <v>Error?</v>
      </c>
      <c r="E7718" s="2" t="s">
        <v>881</v>
      </c>
    </row>
    <row r="7719" spans="1:6" x14ac:dyDescent="0.2">
      <c r="A7719">
        <v>7658</v>
      </c>
      <c r="B7719" s="138">
        <f>'Rest Tax Levies-Tort Im 25'!K12</f>
        <v>11734</v>
      </c>
      <c r="D7719" s="2" t="str">
        <f t="shared" si="126"/>
        <v>Error?</v>
      </c>
      <c r="E7719" s="2" t="s">
        <v>881</v>
      </c>
    </row>
    <row r="7720" spans="1:6" x14ac:dyDescent="0.2">
      <c r="A7720">
        <v>7659</v>
      </c>
      <c r="B7720" s="138">
        <f>'Rest Tax Levies-Tort Im 25'!H14</f>
        <v>25535</v>
      </c>
      <c r="D7720" s="2" t="str">
        <f t="shared" si="126"/>
        <v>Error?</v>
      </c>
      <c r="E7720" s="2" t="s">
        <v>881</v>
      </c>
    </row>
    <row r="7721" spans="1:6" x14ac:dyDescent="0.2">
      <c r="A7721">
        <v>7660</v>
      </c>
      <c r="B7721" s="138">
        <f>'Rest Tax Levies-Tort Im 25'!K14</f>
        <v>11734</v>
      </c>
      <c r="D7721" s="2" t="str">
        <f t="shared" si="126"/>
        <v>Error?</v>
      </c>
      <c r="E7721" s="2" t="s">
        <v>881</v>
      </c>
    </row>
    <row r="7722" spans="1:6" x14ac:dyDescent="0.2">
      <c r="A7722">
        <v>7661</v>
      </c>
      <c r="B7722" s="138">
        <f>'Rest Tax Levies-Tort Im 25'!J15</f>
        <v>3186</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t="str">
        <f>'Rest Tax Levies-Tort Im 25'!J19</f>
        <v xml:space="preserve"> </v>
      </c>
      <c r="D7725" s="2" t="e">
        <f t="shared" si="126"/>
        <v>#VALUE!</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3186</v>
      </c>
      <c r="D7730" s="2" t="str">
        <f t="shared" si="126"/>
        <v>Error?</v>
      </c>
      <c r="E7730" s="2" t="s">
        <v>881</v>
      </c>
    </row>
    <row r="7731" spans="1:6" x14ac:dyDescent="0.2">
      <c r="A7731">
        <v>7670</v>
      </c>
      <c r="B7731" s="138">
        <f>'Revenues 9-14'!H103</f>
        <v>3186</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111765.54000000001</v>
      </c>
      <c r="D7797" s="2" t="str">
        <f t="shared" si="127"/>
        <v>Error?</v>
      </c>
      <c r="E7797" s="4" t="s">
        <v>2020</v>
      </c>
    </row>
    <row r="7798" spans="1:5" x14ac:dyDescent="0.2">
      <c r="A7798">
        <v>7737</v>
      </c>
      <c r="B7798" s="138">
        <f>'Contracts Paid in CY 29'!F141</f>
        <v>99049</v>
      </c>
      <c r="D7798" s="2" t="str">
        <f t="shared" si="127"/>
        <v>Error?</v>
      </c>
      <c r="E7798" s="4" t="s">
        <v>2020</v>
      </c>
    </row>
    <row r="7799" spans="1:5" x14ac:dyDescent="0.2">
      <c r="A7799">
        <v>7738</v>
      </c>
      <c r="B7799" s="138">
        <f>'Contracts Paid in CY 29'!G141</f>
        <v>12716.54</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0" t="s">
        <v>1253</v>
      </c>
      <c r="B2" s="2400"/>
      <c r="C2" s="2400"/>
      <c r="D2" s="2400"/>
      <c r="E2" s="2400"/>
      <c r="F2" s="2400"/>
      <c r="G2" s="2400"/>
      <c r="H2" s="2400"/>
      <c r="I2" s="2400"/>
      <c r="J2" s="2400"/>
      <c r="K2" s="2400"/>
      <c r="L2" s="2400"/>
    </row>
    <row r="3" spans="1:29" ht="13.5" customHeight="1" x14ac:dyDescent="0.2">
      <c r="A3" s="2431" t="s">
        <v>1252</v>
      </c>
      <c r="B3" s="2431"/>
      <c r="C3" s="2431"/>
      <c r="D3" s="2431"/>
      <c r="E3" s="2431"/>
      <c r="F3" s="2431"/>
      <c r="G3" s="2431"/>
      <c r="H3" s="2431"/>
      <c r="I3" s="2431"/>
      <c r="J3" s="2431"/>
      <c r="K3" s="2431"/>
      <c r="L3" s="2431"/>
    </row>
    <row r="4" spans="1:29" ht="13.5" customHeight="1" x14ac:dyDescent="0.2">
      <c r="A4" s="2400" t="s">
        <v>1799</v>
      </c>
      <c r="B4" s="2421"/>
      <c r="C4" s="2421"/>
      <c r="D4" s="2421"/>
      <c r="E4" s="2421"/>
      <c r="F4" s="2421"/>
      <c r="G4" s="2421"/>
      <c r="H4" s="2421"/>
      <c r="I4" s="2421"/>
      <c r="J4" s="2421"/>
      <c r="K4" s="2421"/>
      <c r="L4" s="242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2" t="str">
        <f>COVER!A17</f>
        <v>Gallatin CUSD 7</v>
      </c>
      <c r="B7" s="2423"/>
      <c r="C7" s="2423"/>
      <c r="D7" s="2424"/>
      <c r="E7" s="2425">
        <f>COVER!A13</f>
        <v>20030007026</v>
      </c>
      <c r="F7" s="2426"/>
      <c r="G7" s="2432" t="str">
        <f>COVER!T23</f>
        <v>060-009547</v>
      </c>
      <c r="H7" s="2433"/>
      <c r="I7" s="2433"/>
      <c r="J7" s="2433"/>
      <c r="K7" s="2433"/>
      <c r="L7" s="2434"/>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5"/>
      <c r="B9" s="2436"/>
      <c r="C9" s="2436"/>
      <c r="D9" s="2436"/>
      <c r="E9" s="2436"/>
      <c r="F9" s="2437"/>
      <c r="G9" s="2406" t="str">
        <f>COVER!T13</f>
        <v>Greg M McCalley, PC</v>
      </c>
      <c r="H9" s="2438"/>
      <c r="I9" s="2438"/>
      <c r="J9" s="2438"/>
      <c r="K9" s="2438"/>
      <c r="L9" s="2439"/>
    </row>
    <row r="10" spans="1:29" ht="13.5" customHeight="1" x14ac:dyDescent="0.2">
      <c r="A10" s="2412" t="str">
        <f>COVER!A38</f>
        <v>Judy Kaegi</v>
      </c>
      <c r="B10" s="2413"/>
      <c r="C10" s="2413"/>
      <c r="D10" s="2413"/>
      <c r="E10" s="2413"/>
      <c r="F10" s="2414"/>
      <c r="G10" s="2406" t="str">
        <f>COVER!T17</f>
        <v>855 E Ferguson Abve</v>
      </c>
      <c r="H10" s="2407"/>
      <c r="I10" s="2407"/>
      <c r="J10" s="2407"/>
      <c r="K10" s="2407"/>
      <c r="L10" s="2408"/>
    </row>
    <row r="11" spans="1:29" ht="13.5" customHeight="1" x14ac:dyDescent="0.2">
      <c r="A11" s="1185" t="s">
        <v>1599</v>
      </c>
      <c r="B11" s="1186"/>
      <c r="C11" s="1187"/>
      <c r="D11" s="1192"/>
      <c r="E11" s="1187"/>
      <c r="F11" s="1191"/>
      <c r="G11" s="2406" t="str">
        <f>COVER!T19</f>
        <v>Wood River</v>
      </c>
      <c r="H11" s="2407"/>
      <c r="I11" s="2407"/>
      <c r="J11" s="2407"/>
      <c r="K11" s="2407"/>
      <c r="L11" s="2408"/>
    </row>
    <row r="12" spans="1:29" ht="13.5" customHeight="1" x14ac:dyDescent="0.2">
      <c r="A12" s="2415" t="s">
        <v>1598</v>
      </c>
      <c r="B12" s="2416"/>
      <c r="C12" s="2416"/>
      <c r="D12" s="2416"/>
      <c r="E12" s="2416"/>
      <c r="F12" s="2417"/>
      <c r="G12" s="2409"/>
      <c r="H12" s="2410"/>
      <c r="I12" s="2410"/>
      <c r="J12" s="2410"/>
      <c r="K12" s="2410"/>
      <c r="L12" s="2411"/>
    </row>
    <row r="13" spans="1:29" ht="13.5" customHeight="1" x14ac:dyDescent="0.2">
      <c r="A13" s="2406"/>
      <c r="B13" s="2407"/>
      <c r="C13" s="2407"/>
      <c r="D13" s="2407"/>
      <c r="E13" s="2407"/>
      <c r="F13" s="2408"/>
      <c r="G13" s="2401" t="s">
        <v>1600</v>
      </c>
      <c r="H13" s="2402"/>
      <c r="I13" s="2418">
        <f>COVER!T25</f>
        <v>0</v>
      </c>
      <c r="J13" s="2419"/>
      <c r="K13" s="2419"/>
      <c r="L13" s="2420"/>
    </row>
    <row r="14" spans="1:29" ht="13.5" customHeight="1" x14ac:dyDescent="0.2">
      <c r="A14" s="2406" t="str">
        <f>COVER!A19</f>
        <v>5175 Highway 13</v>
      </c>
      <c r="B14" s="2407"/>
      <c r="C14" s="2407"/>
      <c r="D14" s="2407"/>
      <c r="E14" s="2407"/>
      <c r="F14" s="2408"/>
      <c r="G14" s="1196" t="s">
        <v>1247</v>
      </c>
      <c r="H14" s="1194"/>
      <c r="I14" s="1194"/>
      <c r="J14" s="1194"/>
      <c r="K14" s="1194"/>
      <c r="L14" s="1195"/>
    </row>
    <row r="15" spans="1:29" ht="13.5" customHeight="1" x14ac:dyDescent="0.2">
      <c r="A15" s="2406" t="str">
        <f>COVER!A21</f>
        <v>Junction, Illinois</v>
      </c>
      <c r="B15" s="2407"/>
      <c r="C15" s="2407"/>
      <c r="D15" s="2407"/>
      <c r="E15" s="2407"/>
      <c r="F15" s="2408"/>
      <c r="G15" s="2403" t="str">
        <f>COVER!T15</f>
        <v>Greg McCalley</v>
      </c>
      <c r="H15" s="2404"/>
      <c r="I15" s="2404"/>
      <c r="J15" s="2404"/>
      <c r="K15" s="2404"/>
      <c r="L15" s="2405"/>
    </row>
    <row r="16" spans="1:29" ht="12.2" customHeight="1" x14ac:dyDescent="0.2">
      <c r="A16" s="2428">
        <f>COVER!A25</f>
        <v>62954</v>
      </c>
      <c r="B16" s="2429"/>
      <c r="C16" s="2429"/>
      <c r="D16" s="2429"/>
      <c r="E16" s="2429"/>
      <c r="F16" s="2430"/>
      <c r="G16" s="2440"/>
      <c r="H16" s="2441"/>
      <c r="I16" s="2441"/>
      <c r="J16" s="2441"/>
      <c r="K16" s="2441"/>
      <c r="L16" s="2442"/>
    </row>
    <row r="17" spans="1:13" ht="12.2" customHeight="1" x14ac:dyDescent="0.2">
      <c r="A17" s="2443"/>
      <c r="B17" s="2429"/>
      <c r="C17" s="2429"/>
      <c r="D17" s="2429"/>
      <c r="E17" s="2429"/>
      <c r="F17" s="2430"/>
      <c r="G17" s="1196" t="s">
        <v>1246</v>
      </c>
      <c r="H17" s="1194"/>
      <c r="I17" s="1194"/>
      <c r="J17" s="1194"/>
      <c r="K17" s="1198" t="s">
        <v>1245</v>
      </c>
      <c r="L17" s="1191"/>
      <c r="M17" s="1184"/>
    </row>
    <row r="18" spans="1:13" ht="12.2" customHeight="1" x14ac:dyDescent="0.2">
      <c r="A18" s="2412"/>
      <c r="B18" s="2413"/>
      <c r="C18" s="2413"/>
      <c r="D18" s="2413"/>
      <c r="E18" s="2413"/>
      <c r="F18" s="2414"/>
      <c r="G18" s="2422" t="str">
        <f>COVER!T21</f>
        <v>(618) 254-8183</v>
      </c>
      <c r="H18" s="2423"/>
      <c r="I18" s="2423"/>
      <c r="J18" s="2423"/>
      <c r="K18" s="2422" t="str">
        <f>COVER!X21</f>
        <v>(618) b254-8680</v>
      </c>
      <c r="L18" s="242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Gallatin CUSD 7</v>
      </c>
      <c r="B1" s="2421"/>
      <c r="C1" s="2421"/>
      <c r="D1" s="2421"/>
    </row>
    <row r="2" spans="1:11" s="1215" customFormat="1" ht="12.75" x14ac:dyDescent="0.2">
      <c r="A2" s="2445">
        <f>'Single Audit Cover'!E7</f>
        <v>20030007026</v>
      </c>
      <c r="B2" s="2446"/>
      <c r="C2" s="2446"/>
      <c r="D2" s="2446"/>
    </row>
    <row r="3" spans="1:11" s="1215" customFormat="1" ht="12.75" x14ac:dyDescent="0.2">
      <c r="A3" s="2444" t="s">
        <v>1593</v>
      </c>
      <c r="B3" s="2421"/>
      <c r="C3" s="2421"/>
      <c r="D3" s="2421"/>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Gallatin CUSD 7</v>
      </c>
      <c r="B1" s="2448"/>
      <c r="C1" s="2448"/>
      <c r="D1" s="2448"/>
      <c r="E1" s="2448"/>
    </row>
    <row r="2" spans="1:5" x14ac:dyDescent="0.2">
      <c r="A2" s="2449">
        <f>'Single Audit Cover'!E7</f>
        <v>20030007026</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666447</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28550</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-146963</v>
      </c>
    </row>
    <row r="19" spans="1:4" ht="13.5" thickBot="1" x14ac:dyDescent="0.25">
      <c r="A19" s="1265" t="s">
        <v>1297</v>
      </c>
      <c r="D19" s="1266">
        <f>SUM(D10:D17)</f>
        <v>548034</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548034</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548034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1" t="str">
        <f>'Single Audit Cover'!A7</f>
        <v>Gallatin CUSD 7</v>
      </c>
      <c r="B1" s="2461"/>
      <c r="C1" s="2461"/>
      <c r="D1" s="2461"/>
      <c r="E1" s="2461"/>
      <c r="F1" s="2461"/>
    </row>
    <row r="2" spans="1:7" ht="13.5" customHeight="1" x14ac:dyDescent="0.2">
      <c r="A2" s="2462">
        <f>'Single Audit Cover'!E7</f>
        <v>20030007026</v>
      </c>
      <c r="B2" s="2462"/>
      <c r="C2" s="2462"/>
      <c r="D2" s="2462"/>
      <c r="E2" s="2462"/>
      <c r="F2" s="2462"/>
      <c r="G2" s="1275"/>
    </row>
    <row r="3" spans="1:7" ht="15.75" customHeight="1" x14ac:dyDescent="0.2">
      <c r="A3" s="2463" t="s">
        <v>1333</v>
      </c>
      <c r="B3" s="2463"/>
      <c r="C3" s="2463"/>
      <c r="D3" s="2463"/>
      <c r="E3" s="2463"/>
      <c r="F3" s="2463"/>
    </row>
    <row r="4" spans="1:7" ht="13.5" customHeight="1" x14ac:dyDescent="0.2">
      <c r="A4" s="2464" t="str">
        <f>'Single Audit Cover'!A4</f>
        <v>Year Ending June 30, 2018</v>
      </c>
      <c r="B4" s="2464"/>
      <c r="C4" s="2464"/>
      <c r="D4" s="2464"/>
      <c r="E4" s="2464"/>
      <c r="F4" s="2464"/>
    </row>
    <row r="5" spans="1:7" ht="8.25" customHeight="1" x14ac:dyDescent="0.2">
      <c r="C5" s="317"/>
      <c r="D5" s="317"/>
    </row>
    <row r="6" spans="1:7" ht="13.5" customHeight="1" x14ac:dyDescent="0.2">
      <c r="A6" s="1276" t="s">
        <v>1831</v>
      </c>
      <c r="C6" s="317"/>
      <c r="D6" s="317"/>
    </row>
    <row r="7" spans="1:7" ht="60.95" customHeight="1" x14ac:dyDescent="0.2">
      <c r="A7" s="2460" t="s">
        <v>1832</v>
      </c>
      <c r="B7" s="2460"/>
      <c r="C7" s="2460"/>
      <c r="D7" s="2460"/>
      <c r="E7" s="2460"/>
      <c r="F7" s="2460"/>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0" t="s">
        <v>1834</v>
      </c>
      <c r="B13" s="2460"/>
      <c r="C13" s="2460"/>
      <c r="D13" s="2460"/>
      <c r="E13" s="2460"/>
      <c r="F13" s="2460"/>
    </row>
    <row r="14" spans="1:7" ht="9.75" customHeight="1" x14ac:dyDescent="0.2">
      <c r="C14" s="1260"/>
      <c r="D14" s="1260"/>
    </row>
    <row r="15" spans="1:7" ht="13.5" customHeight="1" x14ac:dyDescent="0.2">
      <c r="C15" s="1871" t="s">
        <v>1332</v>
      </c>
      <c r="D15" s="2458" t="s">
        <v>1331</v>
      </c>
      <c r="E15" s="2458"/>
      <c r="F15" s="2458"/>
    </row>
    <row r="16" spans="1:7" ht="13.5" customHeight="1" x14ac:dyDescent="0.2">
      <c r="A16" s="1282"/>
      <c r="B16" s="1276" t="s">
        <v>1330</v>
      </c>
      <c r="C16" s="1871" t="s">
        <v>1329</v>
      </c>
      <c r="D16" s="2459" t="s">
        <v>1670</v>
      </c>
      <c r="E16" s="2459"/>
      <c r="F16" s="2459"/>
    </row>
    <row r="17" spans="1:6" ht="20.45" customHeight="1" x14ac:dyDescent="0.2">
      <c r="A17" s="1283"/>
      <c r="B17" s="1284"/>
      <c r="C17" s="1285"/>
      <c r="D17" s="2453"/>
      <c r="E17" s="2453"/>
      <c r="F17" s="2453"/>
    </row>
    <row r="18" spans="1:6" ht="20.65" customHeight="1" x14ac:dyDescent="0.2">
      <c r="A18" s="1283"/>
      <c r="B18" s="1284"/>
      <c r="C18" s="1285"/>
      <c r="D18" s="2453"/>
      <c r="E18" s="2453"/>
      <c r="F18" s="2453"/>
    </row>
    <row r="19" spans="1:6" ht="20.65" customHeight="1" x14ac:dyDescent="0.2">
      <c r="A19" s="1283"/>
      <c r="B19" s="1284"/>
      <c r="C19" s="1285"/>
      <c r="D19" s="2453"/>
      <c r="E19" s="2453"/>
      <c r="F19" s="2453"/>
    </row>
    <row r="20" spans="1:6" ht="20.65" customHeight="1" x14ac:dyDescent="0.2">
      <c r="A20" s="1283"/>
      <c r="B20" s="1284"/>
      <c r="C20" s="1285"/>
      <c r="D20" s="2453"/>
      <c r="E20" s="2453"/>
      <c r="F20" s="2453"/>
    </row>
    <row r="21" spans="1:6" ht="20.65" customHeight="1" x14ac:dyDescent="0.2">
      <c r="A21" s="1283"/>
      <c r="B21" s="1284"/>
      <c r="C21" s="1285"/>
      <c r="D21" s="2453"/>
      <c r="E21" s="2453"/>
      <c r="F21" s="2453"/>
    </row>
    <row r="22" spans="1:6" ht="20.65" customHeight="1" x14ac:dyDescent="0.2">
      <c r="A22" s="1283"/>
      <c r="B22" s="1284"/>
      <c r="C22" s="1285"/>
      <c r="D22" s="2453"/>
      <c r="E22" s="2453"/>
      <c r="F22" s="2453"/>
    </row>
    <row r="23" spans="1:6" ht="20.65" customHeight="1" x14ac:dyDescent="0.2">
      <c r="A23" s="1283"/>
      <c r="B23" s="1284"/>
      <c r="C23" s="1285"/>
      <c r="D23" s="2453"/>
      <c r="E23" s="2453"/>
      <c r="F23" s="2453"/>
    </row>
    <row r="24" spans="1:6" ht="20.65" customHeight="1" x14ac:dyDescent="0.2">
      <c r="A24" s="1283"/>
      <c r="B24" s="1284"/>
      <c r="C24" s="1285"/>
      <c r="D24" s="2453"/>
      <c r="E24" s="2453"/>
      <c r="F24" s="2453"/>
    </row>
    <row r="25" spans="1:6" ht="20.65" customHeight="1" x14ac:dyDescent="0.2">
      <c r="A25" s="1283"/>
      <c r="B25" s="1284"/>
      <c r="C25" s="1285"/>
      <c r="D25" s="2453"/>
      <c r="E25" s="2453"/>
      <c r="F25" s="2453"/>
    </row>
    <row r="26" spans="1:6" ht="20.65" customHeight="1" x14ac:dyDescent="0.2">
      <c r="A26" s="1283"/>
      <c r="B26" s="1284"/>
      <c r="C26" s="1285"/>
      <c r="D26" s="2453"/>
      <c r="E26" s="2453"/>
      <c r="F26" s="2453"/>
    </row>
    <row r="27" spans="1:6" ht="20.65" customHeight="1" x14ac:dyDescent="0.2">
      <c r="A27" s="1283"/>
      <c r="B27" s="1284"/>
      <c r="C27" s="1285"/>
      <c r="D27" s="2453"/>
      <c r="E27" s="2453"/>
      <c r="F27" s="2453"/>
    </row>
    <row r="28" spans="1:6" ht="20.65" customHeight="1" x14ac:dyDescent="0.2">
      <c r="A28" s="1283"/>
      <c r="B28" s="1284"/>
      <c r="C28" s="1285"/>
      <c r="D28" s="2453"/>
      <c r="E28" s="2453"/>
      <c r="F28" s="2453"/>
    </row>
    <row r="29" spans="1:6" ht="20.65" customHeight="1" x14ac:dyDescent="0.2">
      <c r="A29" s="1283"/>
      <c r="B29" s="1284"/>
      <c r="C29" s="1285"/>
      <c r="D29" s="2453"/>
      <c r="E29" s="2453"/>
      <c r="F29" s="2453"/>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4" t="s">
        <v>1835</v>
      </c>
      <c r="B32" s="2454"/>
      <c r="C32" s="2454"/>
      <c r="D32" s="2454"/>
      <c r="E32" s="2454"/>
      <c r="F32" s="2454"/>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55">
        <f>+C33+C34</f>
        <v>0</v>
      </c>
      <c r="F34" s="2456"/>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7" t="s">
        <v>1672</v>
      </c>
      <c r="C49" s="2457"/>
      <c r="D49" s="2457"/>
      <c r="E49" s="1399"/>
    </row>
    <row r="50" spans="1:5" s="1300" customFormat="1" ht="3.75" customHeight="1" x14ac:dyDescent="0.2">
      <c r="A50" s="1299"/>
      <c r="B50" s="1870"/>
      <c r="C50" s="1870"/>
      <c r="D50" s="1870"/>
      <c r="E50" s="1399"/>
    </row>
    <row r="51" spans="1:5" s="1300" customFormat="1" ht="20.25" customHeight="1" x14ac:dyDescent="0.2">
      <c r="A51" s="1301">
        <v>6</v>
      </c>
      <c r="B51" s="2452" t="s">
        <v>1632</v>
      </c>
      <c r="C51" s="2452"/>
      <c r="D51" s="2452"/>
    </row>
    <row r="52" spans="1:5" ht="14.25" customHeight="1" x14ac:dyDescent="0.2">
      <c r="A52" s="1301"/>
      <c r="B52" s="2452"/>
      <c r="C52" s="2452"/>
      <c r="D52" s="245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Gallatin CUSD 7</v>
      </c>
      <c r="C1" s="2465"/>
      <c r="D1" s="2465"/>
      <c r="E1" s="2465"/>
      <c r="F1" s="2465"/>
      <c r="G1" s="2465"/>
      <c r="H1" s="2465"/>
      <c r="I1" s="2465"/>
      <c r="J1" s="2465"/>
      <c r="K1" s="2465"/>
      <c r="L1" s="2465"/>
      <c r="M1" s="2465"/>
    </row>
    <row r="2" spans="2:14" ht="15" x14ac:dyDescent="0.2">
      <c r="B2" s="2462">
        <f>'Single Audit Cover'!E7</f>
        <v>20030007026</v>
      </c>
      <c r="C2" s="2462"/>
      <c r="D2" s="2462"/>
      <c r="E2" s="2462"/>
      <c r="F2" s="2462"/>
      <c r="G2" s="2462"/>
      <c r="H2" s="2462"/>
      <c r="I2" s="2462"/>
      <c r="J2" s="2462"/>
      <c r="K2" s="2462"/>
      <c r="L2" s="2462"/>
      <c r="M2" s="2462"/>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Gallatin CUSD 7</v>
      </c>
      <c r="C1" s="2480"/>
      <c r="D1" s="2480"/>
      <c r="E1" s="2480"/>
      <c r="F1" s="2480"/>
      <c r="G1" s="2480"/>
      <c r="H1" s="2480"/>
      <c r="I1" s="2480"/>
      <c r="J1" s="1422"/>
    </row>
    <row r="2" spans="2:10" s="317" customFormat="1" ht="12.75" customHeight="1" x14ac:dyDescent="0.2">
      <c r="B2" s="2481">
        <f>'Single Audit Cover'!E7</f>
        <v>20030007026</v>
      </c>
      <c r="C2" s="2482"/>
      <c r="D2" s="2482"/>
      <c r="E2" s="2482"/>
      <c r="F2" s="2482"/>
      <c r="G2" s="2482"/>
      <c r="H2" s="2482"/>
      <c r="I2" s="2482"/>
      <c r="J2" s="1422"/>
    </row>
    <row r="3" spans="2:10" s="317" customFormat="1" ht="12.75" customHeight="1" x14ac:dyDescent="0.2">
      <c r="B3" s="2483" t="s">
        <v>1347</v>
      </c>
      <c r="C3" s="2484"/>
      <c r="D3" s="2484"/>
      <c r="E3" s="2484"/>
      <c r="F3" s="2484"/>
      <c r="G3" s="2484"/>
      <c r="H3" s="2484"/>
      <c r="I3" s="2484"/>
      <c r="J3" s="1423"/>
    </row>
    <row r="4" spans="2:10" s="317" customFormat="1" ht="12.75" customHeight="1" x14ac:dyDescent="0.2">
      <c r="B4" s="2483" t="str">
        <f>'Single Audit Cover'!A4</f>
        <v>Year Ending June 30, 2018</v>
      </c>
      <c r="C4" s="2484"/>
      <c r="D4" s="2484"/>
      <c r="E4" s="2484"/>
      <c r="F4" s="2484"/>
      <c r="G4" s="2484"/>
      <c r="H4" s="2484"/>
      <c r="I4" s="2484"/>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3" t="s">
        <v>1346</v>
      </c>
      <c r="C7" s="2484"/>
      <c r="D7" s="2484"/>
      <c r="E7" s="2484"/>
      <c r="F7" s="2484"/>
      <c r="G7" s="2484"/>
      <c r="H7" s="2484"/>
      <c r="I7" s="2484"/>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5"/>
      <c r="D11" s="2485"/>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6"/>
      <c r="E29" s="2486"/>
      <c r="F29" s="2486"/>
      <c r="G29" s="2486"/>
      <c r="H29" s="2486"/>
      <c r="I29" s="2486"/>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7" t="s">
        <v>1854</v>
      </c>
      <c r="D37" s="2488"/>
      <c r="E37" s="2488"/>
      <c r="F37" s="2489"/>
      <c r="G37" s="2487" t="s">
        <v>1674</v>
      </c>
      <c r="H37" s="2488"/>
      <c r="I37" s="2489"/>
    </row>
    <row r="38" spans="2:9" ht="16.5" customHeight="1" x14ac:dyDescent="0.2">
      <c r="B38" s="1444"/>
      <c r="C38" s="2475"/>
      <c r="D38" s="2476"/>
      <c r="E38" s="2476"/>
      <c r="F38" s="2477"/>
      <c r="G38" s="2490"/>
      <c r="H38" s="2491"/>
      <c r="I38" s="2492"/>
    </row>
    <row r="39" spans="2:9" ht="16.5" customHeight="1" x14ac:dyDescent="0.2">
      <c r="B39" s="1444"/>
      <c r="C39" s="2475"/>
      <c r="D39" s="2476"/>
      <c r="E39" s="2476"/>
      <c r="F39" s="2477"/>
      <c r="G39" s="2478"/>
      <c r="H39" s="2478"/>
      <c r="I39" s="2478"/>
    </row>
    <row r="40" spans="2:9" ht="16.5" customHeight="1" x14ac:dyDescent="0.2">
      <c r="B40" s="1444"/>
      <c r="C40" s="2475"/>
      <c r="D40" s="2476"/>
      <c r="E40" s="2476"/>
      <c r="F40" s="2477"/>
      <c r="G40" s="2478"/>
      <c r="H40" s="2478"/>
      <c r="I40" s="2478"/>
    </row>
    <row r="41" spans="2:9" ht="16.5" customHeight="1" x14ac:dyDescent="0.2">
      <c r="B41" s="1444"/>
      <c r="C41" s="2475"/>
      <c r="D41" s="2476"/>
      <c r="E41" s="2476"/>
      <c r="F41" s="2477"/>
      <c r="G41" s="2478"/>
      <c r="H41" s="2478"/>
      <c r="I41" s="2478"/>
    </row>
    <row r="42" spans="2:9" ht="16.5" customHeight="1" x14ac:dyDescent="0.2">
      <c r="B42" s="1444"/>
      <c r="C42" s="2475"/>
      <c r="D42" s="2476"/>
      <c r="E42" s="2476"/>
      <c r="F42" s="2477"/>
      <c r="G42" s="2478"/>
      <c r="H42" s="2478"/>
      <c r="I42" s="2478"/>
    </row>
    <row r="43" spans="2:9" ht="16.5" customHeight="1" x14ac:dyDescent="0.2">
      <c r="B43" s="1444"/>
      <c r="C43" s="2468" t="s">
        <v>1675</v>
      </c>
      <c r="D43" s="2469"/>
      <c r="E43" s="2469"/>
      <c r="F43" s="2470"/>
      <c r="G43" s="2471">
        <f>SUM(G38:I42)</f>
        <v>0</v>
      </c>
      <c r="H43" s="2471"/>
      <c r="I43" s="2471"/>
    </row>
    <row r="44" spans="2:9" ht="12.75" customHeight="1" x14ac:dyDescent="0.2"/>
    <row r="45" spans="2:9" ht="12.75" customHeight="1" x14ac:dyDescent="0.2">
      <c r="B45" s="1435" t="s">
        <v>1952</v>
      </c>
      <c r="D45" s="2472">
        <v>0</v>
      </c>
      <c r="E45" s="2473"/>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4"/>
      <c r="F49" s="2474"/>
      <c r="G49" s="2474"/>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Gallatin CUSD 7</v>
      </c>
      <c r="C1" s="2479"/>
      <c r="D1" s="2479"/>
      <c r="E1" s="2479"/>
      <c r="F1" s="2479"/>
      <c r="G1" s="2479"/>
      <c r="H1" s="2479"/>
      <c r="I1" s="2479"/>
      <c r="J1" s="2479"/>
      <c r="K1" s="2479"/>
      <c r="L1" s="1374"/>
      <c r="M1" s="1374"/>
    </row>
    <row r="2" spans="1:13" ht="12" customHeight="1" x14ac:dyDescent="0.2">
      <c r="B2" s="2481">
        <f>'Single Audit Cover'!E7</f>
        <v>20030007026</v>
      </c>
      <c r="C2" s="2481"/>
      <c r="D2" s="2481"/>
      <c r="E2" s="2481"/>
      <c r="F2" s="2481"/>
      <c r="G2" s="2481"/>
      <c r="H2" s="2481"/>
      <c r="I2" s="2481"/>
      <c r="J2" s="2481"/>
      <c r="K2" s="2481"/>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Gallatin CUSD 7</v>
      </c>
      <c r="C1" s="2502"/>
      <c r="D1" s="2502"/>
      <c r="E1" s="2502"/>
      <c r="F1" s="2502"/>
      <c r="G1" s="2502"/>
      <c r="H1" s="2502"/>
      <c r="I1" s="2502"/>
      <c r="J1" s="2502"/>
      <c r="K1" s="2502"/>
      <c r="L1" s="1465"/>
    </row>
    <row r="2" spans="1:12" ht="12.75" customHeight="1" x14ac:dyDescent="0.2">
      <c r="B2" s="2503">
        <f>'Single Audit Cover'!E7</f>
        <v>20030007026</v>
      </c>
      <c r="C2" s="2503"/>
      <c r="D2" s="2503"/>
      <c r="E2" s="2503"/>
      <c r="F2" s="2503"/>
      <c r="G2" s="2503"/>
      <c r="H2" s="2503"/>
      <c r="I2" s="2503"/>
      <c r="J2" s="2503"/>
      <c r="K2" s="2503"/>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4" t="s">
        <v>1375</v>
      </c>
      <c r="C6" s="2504"/>
      <c r="D6" s="2504"/>
      <c r="E6" s="2504"/>
      <c r="F6" s="2504"/>
      <c r="G6" s="2504"/>
      <c r="H6" s="2504"/>
      <c r="I6" s="2504"/>
      <c r="J6" s="2504"/>
      <c r="K6" s="2504"/>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6"/>
      <c r="G12" s="2486"/>
      <c r="H12" s="2486"/>
      <c r="I12" s="2486"/>
      <c r="J12" s="2486"/>
      <c r="K12" s="248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9"/>
      <c r="E14" s="2499"/>
      <c r="F14" s="2499"/>
      <c r="H14" s="1475" t="s">
        <v>1370</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0"/>
      <c r="E16" s="2500"/>
      <c r="F16" s="2500"/>
      <c r="G16" s="2500"/>
      <c r="H16" s="2500"/>
      <c r="I16" s="2500"/>
      <c r="J16" s="2500"/>
      <c r="K16" s="2500"/>
      <c r="L16" s="322"/>
    </row>
    <row r="17" spans="2:12" ht="13.5" customHeight="1" x14ac:dyDescent="0.2">
      <c r="B17" s="1387" t="s">
        <v>1368</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9" t="str">
        <f>'Single Audit Cover'!A7</f>
        <v>Gallatin CUSD 7</v>
      </c>
      <c r="C1" s="2479"/>
      <c r="D1" s="2479"/>
      <c r="E1" s="1491"/>
    </row>
    <row r="2" spans="2:5" s="1282" customFormat="1" ht="12.75" customHeight="1" x14ac:dyDescent="0.2">
      <c r="B2" s="2481">
        <f>'Single Audit Cover'!E7</f>
        <v>20030007026</v>
      </c>
      <c r="C2" s="2481"/>
      <c r="D2" s="2481"/>
      <c r="E2" s="1492"/>
    </row>
    <row r="3" spans="2:5" ht="12.75" customHeight="1" x14ac:dyDescent="0.2">
      <c r="B3" s="2495" t="s">
        <v>1869</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2018-09-06T19:28:46Z</cp:lastPrinted>
  <dcterms:created xsi:type="dcterms:W3CDTF">2003-10-29T19:06:34Z</dcterms:created>
  <dcterms:modified xsi:type="dcterms:W3CDTF">2018-11-20T18:58:03Z</dcterms:modified>
</cp:coreProperties>
</file>