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5125" windowHeight="109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F29" i="34" l="1"/>
  <c r="D182" i="34"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H12" i="182"/>
  <c r="J11" i="182"/>
  <c r="I11" i="182"/>
  <c r="H11" i="182"/>
  <c r="I34" i="182"/>
  <c r="H34" i="182"/>
  <c r="K34" i="182" s="1"/>
  <c r="D81" i="36" s="1"/>
  <c r="K356" i="29"/>
  <c r="K355" i="29"/>
  <c r="B7794" i="106" s="1"/>
  <c r="K354" i="29"/>
  <c r="K357" i="29" s="1"/>
  <c r="K15" i="4" s="1"/>
  <c r="H357" i="29"/>
  <c r="L334" i="29"/>
  <c r="K333" i="29"/>
  <c r="B7788" i="106"/>
  <c r="K332" i="29"/>
  <c r="B7786" i="106"/>
  <c r="H334" i="29"/>
  <c r="B7789" i="106"/>
  <c r="K282" i="29"/>
  <c r="B7784" i="106"/>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c r="F74" i="34"/>
  <c r="B7792" i="106"/>
  <c r="B7790" i="106"/>
  <c r="J15" i="4"/>
  <c r="B7796" i="106"/>
  <c r="L357" i="29"/>
  <c r="L285" i="29"/>
  <c r="D285" i="29"/>
  <c r="L160" i="29"/>
  <c r="L137" i="29"/>
  <c r="H137" i="29"/>
  <c r="E137" i="29"/>
  <c r="E139" i="29"/>
  <c r="E23" i="181"/>
  <c r="F23" i="181" s="1"/>
  <c r="G23" i="181" s="1"/>
  <c r="E22" i="181"/>
  <c r="F22" i="181" s="1"/>
  <c r="G22" i="181" s="1"/>
  <c r="F21" i="181"/>
  <c r="G21" i="181" s="1"/>
  <c r="E21" i="181"/>
  <c r="E20" i="181"/>
  <c r="F20" i="181" s="1"/>
  <c r="G20" i="181" s="1"/>
  <c r="E19" i="181"/>
  <c r="F19" i="181" s="1"/>
  <c r="G19" i="181" s="1"/>
  <c r="E18" i="181"/>
  <c r="F18" i="181" s="1"/>
  <c r="G18" i="181" s="1"/>
  <c r="E17" i="181"/>
  <c r="F17" i="181" s="1"/>
  <c r="D24" i="181"/>
  <c r="D80" i="36" s="1"/>
  <c r="E16" i="181"/>
  <c r="F16" i="181" s="1"/>
  <c r="G16" i="181"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c r="A7" i="169"/>
  <c r="B4" i="177"/>
  <c r="B4" i="176"/>
  <c r="B4" i="175"/>
  <c r="G43" i="174"/>
  <c r="D47" i="174"/>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c r="C13" i="170"/>
  <c r="C15" i="170"/>
  <c r="C18" i="170" s="1"/>
  <c r="C21" i="170" s="1"/>
  <c r="C24" i="170" s="1"/>
  <c r="C28" i="170" s="1"/>
  <c r="B2" i="177"/>
  <c r="B2" i="174"/>
  <c r="A2" i="170"/>
  <c r="A2" i="173"/>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3" i="34"/>
  <c r="B7769" i="106"/>
  <c r="D7769" i="106"/>
  <c r="B7768" i="106"/>
  <c r="B7766" i="106"/>
  <c r="D7766" i="106" s="1"/>
  <c r="B7765" i="106"/>
  <c r="B7764" i="106"/>
  <c r="D7764" i="106"/>
  <c r="J85" i="28"/>
  <c r="B7758" i="106"/>
  <c r="D7758" i="106" s="1"/>
  <c r="J88" i="28"/>
  <c r="K6" i="29"/>
  <c r="B7763" i="106"/>
  <c r="D7763" i="106" s="1"/>
  <c r="B7762" i="106"/>
  <c r="K12" i="12"/>
  <c r="B7719" i="106"/>
  <c r="D7719" i="106" s="1"/>
  <c r="K23" i="12"/>
  <c r="J12" i="12"/>
  <c r="B7718" i="106"/>
  <c r="D7718" i="106" s="1"/>
  <c r="J21" i="12"/>
  <c r="J23" i="12"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B5246" i="106"/>
  <c r="D5246" i="106" s="1"/>
  <c r="C211" i="5"/>
  <c r="C216" i="5"/>
  <c r="B4411" i="106"/>
  <c r="D4411" i="106" s="1"/>
  <c r="C224" i="5"/>
  <c r="C228" i="5"/>
  <c r="C259" i="5"/>
  <c r="B7761" i="106"/>
  <c r="D7761" i="106"/>
  <c r="L127" i="29"/>
  <c r="L129" i="29"/>
  <c r="L139" i="29"/>
  <c r="L149" i="29"/>
  <c r="I7" i="145"/>
  <c r="I6" i="145"/>
  <c r="D78" i="36"/>
  <c r="K75" i="29"/>
  <c r="C14" i="4" s="1"/>
  <c r="B2558" i="106" s="1"/>
  <c r="D2558" i="106"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s="1"/>
  <c r="D78" i="106"/>
  <c r="D79" i="106"/>
  <c r="D80" i="106"/>
  <c r="D81" i="106"/>
  <c r="D82" i="106"/>
  <c r="D83" i="106"/>
  <c r="D84" i="106"/>
  <c r="D85" i="106"/>
  <c r="B86" i="106"/>
  <c r="D86" i="106" s="1"/>
  <c r="D87" i="106"/>
  <c r="B88" i="106"/>
  <c r="D88" i="106"/>
  <c r="D89" i="106"/>
  <c r="D90" i="106"/>
  <c r="C34" i="3"/>
  <c r="B91" i="106"/>
  <c r="D91" i="106" s="1"/>
  <c r="B92" i="106"/>
  <c r="D92" i="106" s="1"/>
  <c r="D94" i="106"/>
  <c r="D95" i="106"/>
  <c r="D96" i="106"/>
  <c r="B97" i="106"/>
  <c r="D97" i="106"/>
  <c r="D98" i="106"/>
  <c r="D99" i="106"/>
  <c r="D100" i="106"/>
  <c r="D101" i="106"/>
  <c r="D102" i="106"/>
  <c r="D103" i="106"/>
  <c r="B104" i="106"/>
  <c r="D104" i="106"/>
  <c r="B105" i="106"/>
  <c r="D105" i="106"/>
  <c r="D106" i="106"/>
  <c r="D107" i="106"/>
  <c r="B108" i="106"/>
  <c r="D108" i="106"/>
  <c r="D13" i="3"/>
  <c r="B109" i="106"/>
  <c r="D109" i="106" s="1"/>
  <c r="D110" i="106"/>
  <c r="D111" i="106"/>
  <c r="D112" i="106"/>
  <c r="D113" i="106"/>
  <c r="D114" i="106"/>
  <c r="D115" i="106"/>
  <c r="D116" i="106"/>
  <c r="B117" i="106"/>
  <c r="D117" i="106"/>
  <c r="D118" i="106"/>
  <c r="B119" i="106"/>
  <c r="D119" i="106" s="1"/>
  <c r="D120" i="106"/>
  <c r="D121" i="106"/>
  <c r="D34" i="3"/>
  <c r="B123" i="106"/>
  <c r="D123" i="106"/>
  <c r="D125" i="106"/>
  <c r="B126" i="106"/>
  <c r="D126" i="106" s="1"/>
  <c r="D127" i="106"/>
  <c r="D128" i="106"/>
  <c r="B129" i="106"/>
  <c r="D129" i="106" s="1"/>
  <c r="B130" i="106"/>
  <c r="D130" i="106" s="1"/>
  <c r="E13" i="3"/>
  <c r="B131" i="106" s="1"/>
  <c r="D131" i="106" s="1"/>
  <c r="D132" i="106"/>
  <c r="D133" i="106"/>
  <c r="B134" i="106"/>
  <c r="D134" i="106"/>
  <c r="D135" i="106"/>
  <c r="D136" i="106"/>
  <c r="D137" i="106"/>
  <c r="D138" i="106"/>
  <c r="E34" i="3"/>
  <c r="B140" i="106"/>
  <c r="D140" i="106" s="1"/>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s="1"/>
  <c r="D158" i="106"/>
  <c r="D159" i="106"/>
  <c r="D160" i="106"/>
  <c r="D161" i="106"/>
  <c r="D162" i="106"/>
  <c r="D163" i="106"/>
  <c r="B164" i="106"/>
  <c r="D164" i="106" s="1"/>
  <c r="D165" i="106"/>
  <c r="B166" i="106"/>
  <c r="D166" i="106"/>
  <c r="D167" i="106"/>
  <c r="D168" i="106"/>
  <c r="F34" i="3"/>
  <c r="B170" i="106"/>
  <c r="D170" i="106" s="1"/>
  <c r="D172" i="106"/>
  <c r="B173" i="106"/>
  <c r="D173" i="106"/>
  <c r="D174" i="106"/>
  <c r="D175" i="106"/>
  <c r="D176" i="106"/>
  <c r="B177" i="106"/>
  <c r="D177" i="106" s="1"/>
  <c r="D178" i="106"/>
  <c r="B179" i="106"/>
  <c r="D179" i="106"/>
  <c r="G13" i="3"/>
  <c r="B180" i="106"/>
  <c r="D180" i="106" s="1"/>
  <c r="D181" i="106"/>
  <c r="D182" i="106"/>
  <c r="D183" i="106"/>
  <c r="B184" i="106"/>
  <c r="D184" i="106"/>
  <c r="B185" i="106"/>
  <c r="D185" i="106"/>
  <c r="D186" i="106"/>
  <c r="D187" i="106"/>
  <c r="G34" i="3"/>
  <c r="B189" i="106"/>
  <c r="D189" i="106" s="1"/>
  <c r="D191" i="106"/>
  <c r="D192" i="106"/>
  <c r="D193" i="106"/>
  <c r="D194" i="106"/>
  <c r="D195" i="106"/>
  <c r="D196" i="106"/>
  <c r="D197" i="106"/>
  <c r="B198" i="106"/>
  <c r="D198" i="106"/>
  <c r="B199" i="106"/>
  <c r="D199" i="106"/>
  <c r="D200" i="106"/>
  <c r="D201" i="106"/>
  <c r="B202" i="106"/>
  <c r="D202" i="106"/>
  <c r="H13" i="3"/>
  <c r="B203" i="106"/>
  <c r="D203" i="106" s="1"/>
  <c r="D204" i="106"/>
  <c r="D205" i="106"/>
  <c r="B206" i="106"/>
  <c r="D206" i="106" s="1"/>
  <c r="D207" i="106"/>
  <c r="B208" i="106"/>
  <c r="D208" i="106"/>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s="1"/>
  <c r="B280" i="106"/>
  <c r="D280" i="106" s="1"/>
  <c r="M41" i="3"/>
  <c r="B281" i="106" s="1"/>
  <c r="D281" i="106" s="1"/>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s="1"/>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s="1"/>
  <c r="B728" i="106"/>
  <c r="D728" i="106" s="1"/>
  <c r="B729" i="106"/>
  <c r="D729" i="106" s="1"/>
  <c r="B730" i="106"/>
  <c r="D730" i="106" s="1"/>
  <c r="B732" i="106"/>
  <c r="D732" i="106" s="1"/>
  <c r="B733" i="106"/>
  <c r="D733" i="106" s="1"/>
  <c r="B735" i="106"/>
  <c r="D735" i="106" s="1"/>
  <c r="B736" i="106"/>
  <c r="D736" i="106" s="1"/>
  <c r="C57" i="29"/>
  <c r="B737" i="106" s="1"/>
  <c r="D737" i="106"/>
  <c r="B738" i="106"/>
  <c r="D738" i="106"/>
  <c r="B739" i="106"/>
  <c r="D739" i="106"/>
  <c r="B740" i="106"/>
  <c r="D740" i="106"/>
  <c r="B741" i="106"/>
  <c r="D741" i="106"/>
  <c r="B742" i="106"/>
  <c r="D742" i="106"/>
  <c r="B743" i="106"/>
  <c r="D743" i="106"/>
  <c r="D744" i="106"/>
  <c r="C65" i="29"/>
  <c r="B745" i="106" s="1"/>
  <c r="D745" i="106" s="1"/>
  <c r="B746" i="106"/>
  <c r="D746" i="106"/>
  <c r="B747" i="106"/>
  <c r="D747" i="106"/>
  <c r="B748" i="106"/>
  <c r="D748" i="106"/>
  <c r="B749" i="106"/>
  <c r="D749" i="106"/>
  <c r="D750" i="106"/>
  <c r="B751" i="106"/>
  <c r="D751" i="106" s="1"/>
  <c r="D752" i="106"/>
  <c r="C72" i="29"/>
  <c r="B753" i="106"/>
  <c r="D753" i="106" s="1"/>
  <c r="B754" i="106"/>
  <c r="D754" i="106" s="1"/>
  <c r="B756" i="106"/>
  <c r="D756" i="106" s="1"/>
  <c r="D758" i="106"/>
  <c r="D759" i="106"/>
  <c r="D760" i="106"/>
  <c r="D761" i="106"/>
  <c r="D762" i="106"/>
  <c r="B763" i="106"/>
  <c r="D763" i="106"/>
  <c r="B764" i="106"/>
  <c r="D764" i="106"/>
  <c r="D765" i="106"/>
  <c r="D766" i="106"/>
  <c r="D767" i="106"/>
  <c r="D768" i="106"/>
  <c r="D769" i="106"/>
  <c r="B770" i="106"/>
  <c r="D770" i="106" s="1"/>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s="1"/>
  <c r="B786" i="106"/>
  <c r="D786" i="106" s="1"/>
  <c r="B787" i="106"/>
  <c r="D787" i="106" s="1"/>
  <c r="B788" i="106"/>
  <c r="D788" i="106" s="1"/>
  <c r="D47" i="29"/>
  <c r="B789" i="106" s="1"/>
  <c r="D789" i="106" s="1"/>
  <c r="B790" i="106"/>
  <c r="D790" i="106"/>
  <c r="B791" i="106"/>
  <c r="D791" i="106"/>
  <c r="D53" i="29"/>
  <c r="B792" i="106"/>
  <c r="D792" i="106" s="1"/>
  <c r="B793" i="106"/>
  <c r="D793" i="106" s="1"/>
  <c r="B794" i="106"/>
  <c r="D794" i="106" s="1"/>
  <c r="D57" i="29"/>
  <c r="B795" i="106" s="1"/>
  <c r="D795" i="106" s="1"/>
  <c r="B796" i="106"/>
  <c r="D796" i="106"/>
  <c r="B797" i="106"/>
  <c r="D797" i="106"/>
  <c r="B798" i="106"/>
  <c r="D798" i="106"/>
  <c r="B799" i="106"/>
  <c r="D799" i="106"/>
  <c r="B800" i="106"/>
  <c r="D800" i="106"/>
  <c r="B801" i="106"/>
  <c r="D801" i="106"/>
  <c r="D802" i="106"/>
  <c r="D65" i="29"/>
  <c r="B803" i="106" s="1"/>
  <c r="D803" i="106"/>
  <c r="B804" i="106"/>
  <c r="D804" i="106"/>
  <c r="B805" i="106"/>
  <c r="D805" i="106"/>
  <c r="B806" i="106"/>
  <c r="D806" i="106"/>
  <c r="B807" i="106"/>
  <c r="D807" i="106"/>
  <c r="D808" i="106"/>
  <c r="B809" i="106"/>
  <c r="D809" i="106" s="1"/>
  <c r="D810" i="106"/>
  <c r="D72" i="29"/>
  <c r="B811" i="106"/>
  <c r="D811" i="106" s="1"/>
  <c r="B812" i="106"/>
  <c r="D812" i="106" s="1"/>
  <c r="B814" i="106"/>
  <c r="D814" i="106" s="1"/>
  <c r="D816" i="106"/>
  <c r="D817" i="106"/>
  <c r="D818" i="106"/>
  <c r="D819" i="106"/>
  <c r="D820" i="106"/>
  <c r="B821" i="106"/>
  <c r="D821" i="106"/>
  <c r="B822" i="106"/>
  <c r="D822" i="106"/>
  <c r="D823" i="106"/>
  <c r="D824" i="106"/>
  <c r="D825" i="106"/>
  <c r="D826" i="106"/>
  <c r="D827" i="106"/>
  <c r="B828" i="106"/>
  <c r="D828" i="106" s="1"/>
  <c r="D829" i="106"/>
  <c r="D830" i="106"/>
  <c r="D831" i="106"/>
  <c r="B832" i="106"/>
  <c r="D832" i="106"/>
  <c r="B833" i="106"/>
  <c r="D833" i="106"/>
  <c r="B834" i="106"/>
  <c r="D834" i="106"/>
  <c r="B835" i="106"/>
  <c r="D835" i="106"/>
  <c r="E33" i="29"/>
  <c r="B836" i="106"/>
  <c r="D836" i="106" s="1"/>
  <c r="B837" i="106"/>
  <c r="D837" i="106" s="1"/>
  <c r="B838" i="106"/>
  <c r="D838" i="106" s="1"/>
  <c r="B839" i="106"/>
  <c r="D839" i="106" s="1"/>
  <c r="B840" i="106"/>
  <c r="D840" i="106" s="1"/>
  <c r="B841" i="106"/>
  <c r="D841" i="106" s="1"/>
  <c r="B842" i="106"/>
  <c r="D842" i="106" s="1"/>
  <c r="E42" i="29"/>
  <c r="B843" i="106" s="1"/>
  <c r="D843" i="106" s="1"/>
  <c r="B844" i="106"/>
  <c r="D844" i="106"/>
  <c r="B845" i="106"/>
  <c r="D845" i="106"/>
  <c r="B846" i="106"/>
  <c r="D846" i="106"/>
  <c r="E47" i="29"/>
  <c r="B848" i="106"/>
  <c r="D848" i="106" s="1"/>
  <c r="B849" i="106"/>
  <c r="D849" i="106" s="1"/>
  <c r="E53" i="29"/>
  <c r="B850" i="106" s="1"/>
  <c r="D850" i="106"/>
  <c r="B851" i="106"/>
  <c r="D851" i="106"/>
  <c r="B852" i="106"/>
  <c r="D852" i="106"/>
  <c r="E57" i="29"/>
  <c r="B853" i="106"/>
  <c r="D853" i="106" s="1"/>
  <c r="B854" i="106"/>
  <c r="D854" i="106" s="1"/>
  <c r="B855" i="106"/>
  <c r="D855" i="106" s="1"/>
  <c r="B856" i="106"/>
  <c r="D856" i="106" s="1"/>
  <c r="B857" i="106"/>
  <c r="D857" i="106" s="1"/>
  <c r="B858" i="106"/>
  <c r="D858" i="106" s="1"/>
  <c r="B859" i="106"/>
  <c r="D859" i="106" s="1"/>
  <c r="D860" i="106"/>
  <c r="E65" i="29"/>
  <c r="B861" i="106"/>
  <c r="D861" i="106" s="1"/>
  <c r="B862" i="106"/>
  <c r="D862" i="106" s="1"/>
  <c r="B863" i="106"/>
  <c r="D863" i="106" s="1"/>
  <c r="B864" i="106"/>
  <c r="D864" i="106" s="1"/>
  <c r="B865" i="106"/>
  <c r="D865" i="106"/>
  <c r="D866" i="106"/>
  <c r="B867" i="106"/>
  <c r="D867" i="106" s="1"/>
  <c r="D868" i="106"/>
  <c r="E72" i="29"/>
  <c r="B869" i="106"/>
  <c r="D869" i="106" s="1"/>
  <c r="B870" i="106"/>
  <c r="D870" i="106" s="1"/>
  <c r="B872" i="106"/>
  <c r="D872" i="106" s="1"/>
  <c r="E84" i="29"/>
  <c r="B2789" i="106" s="1"/>
  <c r="D2789" i="106" s="1"/>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c r="B912" i="106"/>
  <c r="D912" i="106"/>
  <c r="B913" i="106"/>
  <c r="D913" i="106"/>
  <c r="B914" i="106"/>
  <c r="D914" i="106"/>
  <c r="B915" i="106"/>
  <c r="D915" i="106"/>
  <c r="B916" i="106"/>
  <c r="D916" i="106"/>
  <c r="B917" i="106"/>
  <c r="D917" i="106"/>
  <c r="D918" i="106"/>
  <c r="F65" i="29"/>
  <c r="B919" i="106" s="1"/>
  <c r="D919" i="106" s="1"/>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s="1"/>
  <c r="B964" i="106"/>
  <c r="D964" i="106"/>
  <c r="B965" i="106"/>
  <c r="D965" i="106"/>
  <c r="G53" i="29"/>
  <c r="B966" i="106"/>
  <c r="D966" i="106" s="1"/>
  <c r="B967" i="106"/>
  <c r="D967" i="106" s="1"/>
  <c r="B968" i="106"/>
  <c r="D968" i="106" s="1"/>
  <c r="G57" i="29"/>
  <c r="B969" i="106" s="1"/>
  <c r="D969" i="106" s="1"/>
  <c r="B970" i="106"/>
  <c r="D970" i="106"/>
  <c r="B971" i="106"/>
  <c r="D971" i="106"/>
  <c r="B972" i="106"/>
  <c r="D972" i="106"/>
  <c r="B973" i="106"/>
  <c r="D973" i="106"/>
  <c r="B974" i="106"/>
  <c r="D974" i="106"/>
  <c r="B975" i="106"/>
  <c r="D975" i="106"/>
  <c r="D976" i="106"/>
  <c r="G65" i="29"/>
  <c r="B977" i="106" s="1"/>
  <c r="D977" i="106"/>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s="1"/>
  <c r="B1028" i="106"/>
  <c r="D1028" i="106"/>
  <c r="B1029" i="106"/>
  <c r="D1029" i="106"/>
  <c r="B1030" i="106"/>
  <c r="D1030" i="106"/>
  <c r="B1031" i="106"/>
  <c r="D1031" i="106"/>
  <c r="B1032" i="106"/>
  <c r="D1032" i="106"/>
  <c r="B1033" i="106"/>
  <c r="D1033" i="106"/>
  <c r="D1034" i="106"/>
  <c r="H65" i="29"/>
  <c r="B1035" i="106" s="1"/>
  <c r="D1035" i="106"/>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B2081" i="106" s="1"/>
  <c r="D2081" i="106" s="1"/>
  <c r="H92" i="29"/>
  <c r="K92" i="29"/>
  <c r="B2089" i="106" s="1"/>
  <c r="D2089" i="106"/>
  <c r="H100" i="29"/>
  <c r="B7012" i="106"/>
  <c r="D7012" i="106" s="1"/>
  <c r="B1048" i="106"/>
  <c r="D1048" i="106" s="1"/>
  <c r="B1049" i="106"/>
  <c r="D1049" i="106" s="1"/>
  <c r="D1050" i="106"/>
  <c r="B1051" i="106"/>
  <c r="D1051" i="106"/>
  <c r="D1052" i="106"/>
  <c r="H110" i="29"/>
  <c r="B1053" i="106" s="1"/>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c r="D1101" i="106"/>
  <c r="D1102" i="106"/>
  <c r="D1103" i="106"/>
  <c r="K12" i="29"/>
  <c r="B1104" i="106" s="1"/>
  <c r="D1104" i="106" s="1"/>
  <c r="K14" i="29"/>
  <c r="B1106" i="106"/>
  <c r="D1106" i="106" s="1"/>
  <c r="K15" i="29"/>
  <c r="B1107" i="106" s="1"/>
  <c r="D1107" i="106" s="1"/>
  <c r="K36" i="29"/>
  <c r="K37" i="29"/>
  <c r="B1110" i="106" s="1"/>
  <c r="D1110" i="106"/>
  <c r="K38" i="29"/>
  <c r="B1111" i="106"/>
  <c r="D1111" i="106" s="1"/>
  <c r="K39" i="29"/>
  <c r="B1112" i="106" s="1"/>
  <c r="D1112" i="106"/>
  <c r="K40" i="29"/>
  <c r="B1113" i="106"/>
  <c r="D1113" i="106" s="1"/>
  <c r="K41" i="29"/>
  <c r="B1114" i="106" s="1"/>
  <c r="D1114" i="106"/>
  <c r="K46" i="29"/>
  <c r="B1118" i="106"/>
  <c r="D1118" i="106" s="1"/>
  <c r="K49" i="29"/>
  <c r="B1120" i="106" s="1"/>
  <c r="D1120" i="106"/>
  <c r="K55" i="29"/>
  <c r="B1124" i="106"/>
  <c r="D1124" i="106" s="1"/>
  <c r="B1126" i="106"/>
  <c r="D1126" i="106" s="1"/>
  <c r="K60" i="29"/>
  <c r="D27" i="108" s="1"/>
  <c r="K61" i="29"/>
  <c r="B1128" i="106" s="1"/>
  <c r="D1128" i="106"/>
  <c r="K62" i="29"/>
  <c r="B1129" i="106"/>
  <c r="D1129" i="106" s="1"/>
  <c r="K63" i="29"/>
  <c r="B1130" i="106" s="1"/>
  <c r="D1130" i="106"/>
  <c r="D1132" i="106"/>
  <c r="K68" i="29"/>
  <c r="K69" i="29"/>
  <c r="B1136" i="106"/>
  <c r="D1136" i="106" s="1"/>
  <c r="K70" i="29"/>
  <c r="B1137" i="106" s="1"/>
  <c r="D1137" i="106"/>
  <c r="D1138" i="106"/>
  <c r="K71" i="29"/>
  <c r="B1139" i="106" s="1"/>
  <c r="D1139" i="106" s="1"/>
  <c r="D1140" i="106"/>
  <c r="K73" i="29"/>
  <c r="B1142" i="106" s="1"/>
  <c r="D1142" i="106"/>
  <c r="K78" i="29"/>
  <c r="B2973" i="106"/>
  <c r="D2973" i="106" s="1"/>
  <c r="K79" i="29"/>
  <c r="K80" i="29"/>
  <c r="K81" i="29"/>
  <c r="B2976" i="106" s="1"/>
  <c r="D2976" i="106"/>
  <c r="K82" i="29"/>
  <c r="B2977" i="106"/>
  <c r="D2977" i="106" s="1"/>
  <c r="K83" i="29"/>
  <c r="B2978" i="106" s="1"/>
  <c r="D2978" i="106"/>
  <c r="K93" i="29"/>
  <c r="B6997" i="106"/>
  <c r="D6997" i="106" s="1"/>
  <c r="K94" i="29"/>
  <c r="B6999" i="106" s="1"/>
  <c r="D6999" i="106"/>
  <c r="K95" i="29"/>
  <c r="K96" i="29"/>
  <c r="B7003" i="106" s="1"/>
  <c r="D7003" i="106" s="1"/>
  <c r="K97" i="29"/>
  <c r="K98" i="29"/>
  <c r="B7007" i="106" s="1"/>
  <c r="D7007" i="106"/>
  <c r="K99" i="29"/>
  <c r="K101" i="29"/>
  <c r="K105" i="29"/>
  <c r="K106" i="29"/>
  <c r="B1147" i="106" s="1"/>
  <c r="D1147" i="106" s="1"/>
  <c r="D1148" i="106"/>
  <c r="K109" i="29"/>
  <c r="B1149" i="106" s="1"/>
  <c r="D1149" i="106"/>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c r="B1269" i="106"/>
  <c r="D1269" i="106"/>
  <c r="B1270" i="106"/>
  <c r="D1270" i="106"/>
  <c r="D1271" i="106"/>
  <c r="H147" i="29"/>
  <c r="H149" i="29" s="1"/>
  <c r="B1272" i="106"/>
  <c r="D1272" i="106" s="1"/>
  <c r="B1274" i="106"/>
  <c r="D1274" i="106" s="1"/>
  <c r="K123" i="29"/>
  <c r="K124" i="29"/>
  <c r="B1276" i="106"/>
  <c r="D1276" i="106" s="1"/>
  <c r="K126" i="29"/>
  <c r="B1277" i="106" s="1"/>
  <c r="D1277" i="106"/>
  <c r="D1278" i="106"/>
  <c r="K125" i="29"/>
  <c r="K128" i="29"/>
  <c r="B1280" i="106"/>
  <c r="D1280" i="106" s="1"/>
  <c r="K120" i="29"/>
  <c r="K134" i="29"/>
  <c r="K135" i="29"/>
  <c r="B2987" i="106" s="1"/>
  <c r="D2987" i="106"/>
  <c r="K136" i="29"/>
  <c r="B2988" i="106"/>
  <c r="D2988" i="106" s="1"/>
  <c r="K138" i="29"/>
  <c r="B2094" i="106" s="1"/>
  <c r="D2094" i="106"/>
  <c r="K142" i="29"/>
  <c r="K143" i="29"/>
  <c r="B1284" i="106" s="1"/>
  <c r="D1284" i="106" s="1"/>
  <c r="K146" i="29"/>
  <c r="B1285" i="106"/>
  <c r="D1285" i="106" s="1"/>
  <c r="D1286" i="106"/>
  <c r="K144" i="29"/>
  <c r="B2810" i="106"/>
  <c r="D2810" i="106" s="1"/>
  <c r="K145" i="29"/>
  <c r="B2811" i="106" s="1"/>
  <c r="D2811" i="106"/>
  <c r="K148" i="29"/>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s="1"/>
  <c r="B1310" i="106"/>
  <c r="D1310" i="106" s="1"/>
  <c r="B1311" i="106"/>
  <c r="D1311" i="106" s="1"/>
  <c r="B1312" i="106"/>
  <c r="D1312" i="106" s="1"/>
  <c r="B1313" i="106"/>
  <c r="D1313" i="106" s="1"/>
  <c r="H168" i="29"/>
  <c r="B1314" i="106" s="1"/>
  <c r="D1314" i="106" s="1"/>
  <c r="B1315" i="106"/>
  <c r="D1315" i="106"/>
  <c r="B1316" i="106"/>
  <c r="D1316" i="106"/>
  <c r="D1319" i="106"/>
  <c r="D1320" i="106"/>
  <c r="D1321" i="106"/>
  <c r="D1322" i="106"/>
  <c r="B1323" i="106"/>
  <c r="D1323" i="106"/>
  <c r="K163" i="29"/>
  <c r="B1324" i="106"/>
  <c r="D1324" i="106" s="1"/>
  <c r="K164" i="29"/>
  <c r="B1325" i="106" s="1"/>
  <c r="D1325" i="106" s="1"/>
  <c r="K169" i="29"/>
  <c r="B1326" i="106"/>
  <c r="D1326" i="106" s="1"/>
  <c r="K167" i="29"/>
  <c r="B1327" i="106" s="1"/>
  <c r="D1327" i="106" s="1"/>
  <c r="K165" i="29"/>
  <c r="B2818" i="106"/>
  <c r="D2818" i="106" s="1"/>
  <c r="K166" i="29"/>
  <c r="B2819" i="106" s="1"/>
  <c r="D2819" i="106" s="1"/>
  <c r="K170" i="29"/>
  <c r="K171" i="29"/>
  <c r="B1330" i="106" s="1"/>
  <c r="D1330" i="106" s="1"/>
  <c r="D1334" i="106"/>
  <c r="B1335" i="106"/>
  <c r="D1335" i="106" s="1"/>
  <c r="D1336" i="106"/>
  <c r="D1337" i="106"/>
  <c r="B1338" i="106"/>
  <c r="D1338" i="106" s="1"/>
  <c r="C184" i="29"/>
  <c r="B1341" i="106"/>
  <c r="D1341" i="106"/>
  <c r="D1342" i="106"/>
  <c r="D1343" i="106"/>
  <c r="B1344" i="106"/>
  <c r="D1344" i="106"/>
  <c r="D184" i="29"/>
  <c r="B1347" i="106"/>
  <c r="D1347" i="106" s="1"/>
  <c r="D1348" i="106"/>
  <c r="D1349" i="106"/>
  <c r="B1350" i="106"/>
  <c r="D1350" i="106" s="1"/>
  <c r="E184" i="29"/>
  <c r="B1351" i="106" s="1"/>
  <c r="D1351" i="106"/>
  <c r="E194" i="29"/>
  <c r="E196" i="29"/>
  <c r="B1354" i="106"/>
  <c r="D1354" i="106"/>
  <c r="D1355" i="106"/>
  <c r="D1356" i="106"/>
  <c r="B1357" i="106"/>
  <c r="D1357" i="106"/>
  <c r="F184" i="29"/>
  <c r="B1360" i="106"/>
  <c r="D1360" i="106" s="1"/>
  <c r="D1361" i="106"/>
  <c r="D1362" i="106"/>
  <c r="B1363" i="106"/>
  <c r="D1363" i="106" s="1"/>
  <c r="G184" i="29"/>
  <c r="B1364" i="106" s="1"/>
  <c r="D1364" i="106" s="1"/>
  <c r="B1366" i="106"/>
  <c r="D1366" i="106"/>
  <c r="D1367" i="106"/>
  <c r="D1368" i="106"/>
  <c r="B1369" i="106"/>
  <c r="D1369" i="106"/>
  <c r="H184" i="29"/>
  <c r="B1370" i="106"/>
  <c r="D1370" i="106" s="1"/>
  <c r="B1371" i="106"/>
  <c r="D1371" i="106" s="1"/>
  <c r="B1372" i="106"/>
  <c r="D1372" i="106" s="1"/>
  <c r="B1373" i="106"/>
  <c r="D1373" i="106" s="1"/>
  <c r="D1374" i="106"/>
  <c r="H204" i="29"/>
  <c r="H208" i="29"/>
  <c r="B1375" i="106" s="1"/>
  <c r="D1375" i="106"/>
  <c r="H194" i="29"/>
  <c r="K182" i="29"/>
  <c r="B1377" i="106" s="1"/>
  <c r="D1377" i="106" s="1"/>
  <c r="D1378" i="106"/>
  <c r="D1379" i="106"/>
  <c r="K183" i="29"/>
  <c r="B1380" i="106"/>
  <c r="D1380" i="106" s="1"/>
  <c r="K180" i="29"/>
  <c r="B4087" i="106" s="1"/>
  <c r="D4087" i="106" s="1"/>
  <c r="K188" i="29"/>
  <c r="B3007" i="106"/>
  <c r="D3007" i="106" s="1"/>
  <c r="K189" i="29"/>
  <c r="B3008" i="106" s="1"/>
  <c r="D3008" i="106" s="1"/>
  <c r="K190" i="29"/>
  <c r="B3009" i="106"/>
  <c r="D3009" i="106" s="1"/>
  <c r="K191" i="29"/>
  <c r="B3010" i="106" s="1"/>
  <c r="K192" i="29"/>
  <c r="B3011" i="106"/>
  <c r="D3011" i="106" s="1"/>
  <c r="K193" i="29"/>
  <c r="B3012" i="106" s="1"/>
  <c r="D3012" i="106"/>
  <c r="K195" i="29"/>
  <c r="B2839" i="106"/>
  <c r="D2839" i="106" s="1"/>
  <c r="K199" i="29"/>
  <c r="B1383" i="106" s="1"/>
  <c r="D1383" i="106"/>
  <c r="K200" i="29"/>
  <c r="B1384" i="106"/>
  <c r="D1384" i="106" s="1"/>
  <c r="K203" i="29"/>
  <c r="B1385" i="106" s="1"/>
  <c r="D1385" i="106"/>
  <c r="D1386" i="106"/>
  <c r="K201" i="29"/>
  <c r="B2841" i="106" s="1"/>
  <c r="D2841" i="106" s="1"/>
  <c r="K202" i="29"/>
  <c r="K205" i="29"/>
  <c r="B7068" i="106" s="1"/>
  <c r="D7068" i="106"/>
  <c r="K206" i="29"/>
  <c r="K207" i="29"/>
  <c r="B7070" i="106" s="1"/>
  <c r="D7070" i="106" s="1"/>
  <c r="D1390" i="106"/>
  <c r="D1391" i="106"/>
  <c r="D1392" i="106"/>
  <c r="D1393" i="106"/>
  <c r="D1394" i="106"/>
  <c r="D1395" i="106"/>
  <c r="B1396" i="106"/>
  <c r="D1396" i="106"/>
  <c r="D1397" i="106"/>
  <c r="D1398" i="106"/>
  <c r="D1399" i="106"/>
  <c r="D1400" i="106"/>
  <c r="D1401" i="106"/>
  <c r="B1402" i="106"/>
  <c r="D1402" i="106" s="1"/>
  <c r="D1403" i="106"/>
  <c r="D1404" i="106"/>
  <c r="D1405" i="106"/>
  <c r="B1406" i="106"/>
  <c r="D1406" i="106"/>
  <c r="B1407" i="106"/>
  <c r="D1407" i="106"/>
  <c r="B1408" i="106"/>
  <c r="D1408" i="106"/>
  <c r="B1409" i="106"/>
  <c r="D1409" i="106"/>
  <c r="D229" i="29"/>
  <c r="B1411" i="106"/>
  <c r="D1411" i="106" s="1"/>
  <c r="B1412" i="106"/>
  <c r="D1412" i="106" s="1"/>
  <c r="B1413" i="106"/>
  <c r="D1413" i="106" s="1"/>
  <c r="B1414" i="106"/>
  <c r="D1414" i="106" s="1"/>
  <c r="B1415" i="106"/>
  <c r="D1415" i="106" s="1"/>
  <c r="B1416" i="106"/>
  <c r="D1416" i="106" s="1"/>
  <c r="D238" i="29"/>
  <c r="B1418" i="106"/>
  <c r="D1418" i="106"/>
  <c r="B1419" i="106"/>
  <c r="D1419" i="106"/>
  <c r="B1420" i="106"/>
  <c r="D1420" i="106"/>
  <c r="D243" i="29"/>
  <c r="B1421" i="106"/>
  <c r="D1421" i="106" s="1"/>
  <c r="B1422" i="106"/>
  <c r="D1422" i="106" s="1"/>
  <c r="B1423" i="106"/>
  <c r="D1423" i="106" s="1"/>
  <c r="D257" i="29"/>
  <c r="B1424" i="106" s="1"/>
  <c r="D1424" i="106" s="1"/>
  <c r="B1425" i="106"/>
  <c r="D1425" i="106"/>
  <c r="B1426" i="106"/>
  <c r="D1426" i="106"/>
  <c r="D261" i="29"/>
  <c r="B1427" i="106"/>
  <c r="D1427" i="106" s="1"/>
  <c r="B1428" i="106"/>
  <c r="D1428" i="106" s="1"/>
  <c r="B1429" i="106"/>
  <c r="D1429" i="106" s="1"/>
  <c r="B1430" i="106"/>
  <c r="D1430" i="106" s="1"/>
  <c r="B1431" i="106"/>
  <c r="D1431" i="106" s="1"/>
  <c r="B1432" i="106"/>
  <c r="D1432" i="106" s="1"/>
  <c r="B1433" i="106"/>
  <c r="D1433" i="106" s="1"/>
  <c r="B1434" i="106"/>
  <c r="D1434" i="106" s="1"/>
  <c r="D1435" i="106"/>
  <c r="D270" i="29"/>
  <c r="B1436" i="106"/>
  <c r="D1436" i="106" s="1"/>
  <c r="B1437" i="106"/>
  <c r="D1437" i="106" s="1"/>
  <c r="B1438" i="106"/>
  <c r="D1438" i="106" s="1"/>
  <c r="B1439" i="106"/>
  <c r="D1439" i="106" s="1"/>
  <c r="B1440" i="106"/>
  <c r="D1440" i="106" s="1"/>
  <c r="D1441" i="106"/>
  <c r="B1442" i="106"/>
  <c r="D1442" i="106"/>
  <c r="D1443" i="106"/>
  <c r="D277" i="29"/>
  <c r="B1444" i="106" s="1"/>
  <c r="D1444" i="106" s="1"/>
  <c r="B1445" i="106"/>
  <c r="D1445" i="106"/>
  <c r="B1447" i="106"/>
  <c r="D1447" i="106"/>
  <c r="B1449" i="106"/>
  <c r="D1449" i="106"/>
  <c r="B1450" i="106"/>
  <c r="D1450" i="106"/>
  <c r="B1451" i="106"/>
  <c r="D1451" i="106"/>
  <c r="H293" i="29"/>
  <c r="B1452" i="106"/>
  <c r="D1452" i="106" s="1"/>
  <c r="D1453" i="106"/>
  <c r="D1455" i="106"/>
  <c r="D1456" i="106"/>
  <c r="D1457" i="106"/>
  <c r="D1458" i="106"/>
  <c r="D1459" i="106"/>
  <c r="K225" i="29"/>
  <c r="B1460" i="106" s="1"/>
  <c r="D1460" i="106" s="1"/>
  <c r="D1461" i="106"/>
  <c r="D1462" i="106"/>
  <c r="D1463" i="106"/>
  <c r="D1464" i="106"/>
  <c r="D1465" i="106"/>
  <c r="K227" i="29"/>
  <c r="B1466" i="106" s="1"/>
  <c r="D1466" i="106"/>
  <c r="D1467" i="106"/>
  <c r="D1468" i="106"/>
  <c r="D1469" i="106"/>
  <c r="K221" i="29"/>
  <c r="B1470" i="106" s="1"/>
  <c r="D1470" i="106" s="1"/>
  <c r="K222" i="29"/>
  <c r="B1471" i="106"/>
  <c r="D1471" i="106" s="1"/>
  <c r="K223" i="29"/>
  <c r="B1472" i="106" s="1"/>
  <c r="D1472" i="106" s="1"/>
  <c r="K224" i="29"/>
  <c r="B1473" i="106"/>
  <c r="D1473" i="106" s="1"/>
  <c r="K215" i="29"/>
  <c r="B3390" i="106" s="1"/>
  <c r="D3390" i="106" s="1"/>
  <c r="K216" i="29"/>
  <c r="F67" i="34"/>
  <c r="K217" i="29"/>
  <c r="B3391" i="106"/>
  <c r="D3391" i="106" s="1"/>
  <c r="K218" i="29"/>
  <c r="B7076" i="106" s="1"/>
  <c r="D7076" i="106" s="1"/>
  <c r="K219" i="29"/>
  <c r="B3065" i="106"/>
  <c r="D3065" i="106" s="1"/>
  <c r="K220" i="29"/>
  <c r="B7078" i="106" s="1"/>
  <c r="D7078" i="106" s="1"/>
  <c r="K226" i="29"/>
  <c r="K228" i="29"/>
  <c r="B3392" i="106" s="1"/>
  <c r="D3392" i="106"/>
  <c r="K232" i="29"/>
  <c r="K233" i="29"/>
  <c r="B1476" i="106" s="1"/>
  <c r="D1476" i="106" s="1"/>
  <c r="K234" i="29"/>
  <c r="B1477" i="106"/>
  <c r="D1477" i="106" s="1"/>
  <c r="K235" i="29"/>
  <c r="B1478" i="106" s="1"/>
  <c r="D1478" i="106" s="1"/>
  <c r="K236" i="29"/>
  <c r="B1479" i="106"/>
  <c r="D1479" i="106" s="1"/>
  <c r="K237" i="29"/>
  <c r="B1480" i="106" s="1"/>
  <c r="D1480" i="106" s="1"/>
  <c r="K240" i="29"/>
  <c r="B1482" i="106"/>
  <c r="D1482" i="106" s="1"/>
  <c r="K241" i="29"/>
  <c r="B1483" i="106" s="1"/>
  <c r="D1483" i="106" s="1"/>
  <c r="K242" i="29"/>
  <c r="B1484" i="106"/>
  <c r="D1484" i="106" s="1"/>
  <c r="K245" i="29"/>
  <c r="B1486" i="106" s="1"/>
  <c r="D1486" i="106" s="1"/>
  <c r="K246" i="29"/>
  <c r="B1487" i="106"/>
  <c r="D1487" i="106" s="1"/>
  <c r="K247" i="29"/>
  <c r="B2726" i="106" s="1"/>
  <c r="D2726" i="106" s="1"/>
  <c r="K248" i="29"/>
  <c r="B7082" i="106"/>
  <c r="D7082" i="106" s="1"/>
  <c r="K249" i="29"/>
  <c r="B7084" i="106" s="1"/>
  <c r="D7084" i="106" s="1"/>
  <c r="K250" i="29"/>
  <c r="K251" i="29"/>
  <c r="K252" i="29"/>
  <c r="B7090" i="106"/>
  <c r="D7090" i="106" s="1"/>
  <c r="K253" i="29"/>
  <c r="K254" i="29"/>
  <c r="K255" i="29"/>
  <c r="K256" i="29"/>
  <c r="B7098" i="106"/>
  <c r="D7098" i="106" s="1"/>
  <c r="K259" i="29"/>
  <c r="B1489" i="106" s="1"/>
  <c r="D1489" i="106"/>
  <c r="K260" i="29"/>
  <c r="B1490" i="106"/>
  <c r="D1490" i="106" s="1"/>
  <c r="K263" i="29"/>
  <c r="K264" i="29"/>
  <c r="B1493" i="106"/>
  <c r="D1493" i="106" s="1"/>
  <c r="K265" i="29"/>
  <c r="B1494" i="106" s="1"/>
  <c r="D1494" i="106" s="1"/>
  <c r="K266" i="29"/>
  <c r="B1495" i="106"/>
  <c r="D1495" i="106" s="1"/>
  <c r="K267" i="29"/>
  <c r="B1496" i="106" s="1"/>
  <c r="D1496" i="106" s="1"/>
  <c r="K268" i="29"/>
  <c r="B1497" i="106"/>
  <c r="D1497" i="106" s="1"/>
  <c r="K269" i="29"/>
  <c r="B1498" i="106" s="1"/>
  <c r="D1498" i="106" s="1"/>
  <c r="D1499" i="106"/>
  <c r="K272" i="29"/>
  <c r="B1501" i="106" s="1"/>
  <c r="D1501" i="106"/>
  <c r="K273" i="29"/>
  <c r="B1502" i="106"/>
  <c r="D1502" i="106" s="1"/>
  <c r="K274" i="29"/>
  <c r="B1503" i="106" s="1"/>
  <c r="D1503" i="106"/>
  <c r="K275" i="29"/>
  <c r="B1504" i="106"/>
  <c r="D1504" i="106" s="1"/>
  <c r="D1505" i="106"/>
  <c r="K276" i="29"/>
  <c r="B1506" i="106"/>
  <c r="D1506" i="106" s="1"/>
  <c r="D1507" i="106"/>
  <c r="K278" i="29"/>
  <c r="B1509" i="106"/>
  <c r="D1509" i="106" s="1"/>
  <c r="K280" i="29"/>
  <c r="B1511" i="106" s="1"/>
  <c r="D1511" i="106"/>
  <c r="K288" i="29"/>
  <c r="K289" i="29"/>
  <c r="B1513" i="106" s="1"/>
  <c r="D1513" i="106" s="1"/>
  <c r="K292" i="29"/>
  <c r="B1514" i="106"/>
  <c r="D1514" i="106" s="1"/>
  <c r="K290" i="29"/>
  <c r="B2845" i="106" s="1"/>
  <c r="D2845" i="106" s="1"/>
  <c r="K291" i="29"/>
  <c r="B2846" i="106"/>
  <c r="D2846" i="106" s="1"/>
  <c r="D1516" i="106"/>
  <c r="K283" i="29"/>
  <c r="K284" i="29"/>
  <c r="B4166" i="106" s="1"/>
  <c r="D4166" i="106" s="1"/>
  <c r="B1519" i="106"/>
  <c r="D1519" i="106"/>
  <c r="D1520" i="106"/>
  <c r="D1521" i="106"/>
  <c r="B1522" i="106"/>
  <c r="D1522" i="106"/>
  <c r="C303" i="29"/>
  <c r="B1525" i="106"/>
  <c r="D1525" i="106" s="1"/>
  <c r="D1526" i="106"/>
  <c r="D1527" i="106"/>
  <c r="B1528" i="106"/>
  <c r="D1528" i="106" s="1"/>
  <c r="D303" i="29"/>
  <c r="B1529" i="106" s="1"/>
  <c r="D1529" i="106"/>
  <c r="B1531" i="106"/>
  <c r="D1531" i="106"/>
  <c r="D1532" i="106"/>
  <c r="D1533" i="106"/>
  <c r="B1534" i="106"/>
  <c r="D1534" i="106"/>
  <c r="E303" i="29"/>
  <c r="B1535" i="106"/>
  <c r="D1535" i="106" s="1"/>
  <c r="E310" i="29"/>
  <c r="B1537" i="106"/>
  <c r="D1537" i="106"/>
  <c r="D1538" i="106"/>
  <c r="D1539" i="106"/>
  <c r="B1540" i="106"/>
  <c r="D1540" i="106"/>
  <c r="F303" i="29"/>
  <c r="B1541" i="106"/>
  <c r="D1541" i="106" s="1"/>
  <c r="B1543" i="106"/>
  <c r="D1543" i="106" s="1"/>
  <c r="D1544" i="106"/>
  <c r="D1545" i="106"/>
  <c r="B1546" i="106"/>
  <c r="D1546" i="106" s="1"/>
  <c r="G303" i="29"/>
  <c r="B1547" i="106" s="1"/>
  <c r="D1547" i="106" s="1"/>
  <c r="B1549" i="106"/>
  <c r="D1549" i="106"/>
  <c r="D1550" i="106"/>
  <c r="D1551" i="106"/>
  <c r="B1552" i="106"/>
  <c r="D1552" i="106"/>
  <c r="H303" i="29"/>
  <c r="B1553" i="106"/>
  <c r="D1553" i="106" s="1"/>
  <c r="H310" i="29"/>
  <c r="B7115" i="106" s="1"/>
  <c r="D7115" i="106" s="1"/>
  <c r="K301" i="29"/>
  <c r="D1556" i="106"/>
  <c r="D1557" i="106"/>
  <c r="K302" i="29"/>
  <c r="B1558" i="106" s="1"/>
  <c r="D1558" i="106"/>
  <c r="K306" i="29"/>
  <c r="B7107" i="106"/>
  <c r="D7107" i="106" s="1"/>
  <c r="K307" i="29"/>
  <c r="K308" i="29"/>
  <c r="K309" i="29"/>
  <c r="B3717" i="106" s="1"/>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s="1"/>
  <c r="B1784" i="106"/>
  <c r="D1784" i="106" s="1"/>
  <c r="B1785" i="106"/>
  <c r="D1785" i="106" s="1"/>
  <c r="B1786" i="106"/>
  <c r="D1786" i="106" s="1"/>
  <c r="D1787" i="106"/>
  <c r="B1788" i="106"/>
  <c r="D1788" i="106"/>
  <c r="D1789" i="106"/>
  <c r="D1790" i="106"/>
  <c r="C19" i="7"/>
  <c r="B1791" i="106"/>
  <c r="D1791" i="106" s="1"/>
  <c r="F4" i="7"/>
  <c r="B1792" i="106" s="1"/>
  <c r="D1792" i="106"/>
  <c r="F5" i="7"/>
  <c r="B1793" i="106"/>
  <c r="D1793" i="106" s="1"/>
  <c r="F6" i="7"/>
  <c r="B1794" i="106" s="1"/>
  <c r="D1794" i="106"/>
  <c r="F7" i="7"/>
  <c r="B1795" i="106"/>
  <c r="D1795" i="106" s="1"/>
  <c r="F8" i="7"/>
  <c r="B1796" i="106" s="1"/>
  <c r="D1796" i="106"/>
  <c r="F10" i="7"/>
  <c r="B1797" i="106"/>
  <c r="D1797" i="106" s="1"/>
  <c r="D1798" i="106"/>
  <c r="F9" i="7"/>
  <c r="B1799" i="106"/>
  <c r="D1799" i="106" s="1"/>
  <c r="F11" i="7"/>
  <c r="B1800" i="106" s="1"/>
  <c r="D1800" i="106" s="1"/>
  <c r="F12" i="7"/>
  <c r="B1801" i="106"/>
  <c r="D1801" i="106" s="1"/>
  <c r="F14" i="7"/>
  <c r="B1802" i="106" s="1"/>
  <c r="D1802" i="106" s="1"/>
  <c r="D1803" i="106"/>
  <c r="F15" i="7"/>
  <c r="B1804" i="106" s="1"/>
  <c r="D1804" i="106"/>
  <c r="D1805" i="106"/>
  <c r="D1806" i="106"/>
  <c r="B1808" i="106"/>
  <c r="D1808" i="106"/>
  <c r="B1809" i="106"/>
  <c r="D1809" i="106"/>
  <c r="B1810" i="106"/>
  <c r="D1810" i="106"/>
  <c r="B1811" i="106"/>
  <c r="D1811" i="106"/>
  <c r="B1812" i="106"/>
  <c r="D1812" i="106"/>
  <c r="B1813" i="106"/>
  <c r="D1813" i="106"/>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s="1"/>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c r="B1866" i="106"/>
  <c r="D1866" i="106"/>
  <c r="F6" i="8"/>
  <c r="F7" i="8"/>
  <c r="B1868" i="106" s="1"/>
  <c r="D1868" i="106" s="1"/>
  <c r="F12" i="8"/>
  <c r="B1869" i="106"/>
  <c r="D1869" i="106" s="1"/>
  <c r="F11" i="8"/>
  <c r="B1870" i="106" s="1"/>
  <c r="D1870" i="106" s="1"/>
  <c r="F8" i="8"/>
  <c r="B1871" i="106"/>
  <c r="D1871" i="106" s="1"/>
  <c r="F9" i="8"/>
  <c r="B1872" i="106" s="1"/>
  <c r="D1872" i="106" s="1"/>
  <c r="F10" i="8"/>
  <c r="B1873" i="106"/>
  <c r="D1873" i="106" s="1"/>
  <c r="F14" i="8"/>
  <c r="B1874" i="106" s="1"/>
  <c r="D1874" i="106" s="1"/>
  <c r="F13" i="8"/>
  <c r="B3688" i="106"/>
  <c r="D3688" i="106" s="1"/>
  <c r="F17" i="8"/>
  <c r="B1876" i="106" s="1"/>
  <c r="D1876" i="106" s="1"/>
  <c r="F18" i="8"/>
  <c r="B1877" i="106"/>
  <c r="D1877" i="106" s="1"/>
  <c r="F20" i="8"/>
  <c r="B1878" i="106" s="1"/>
  <c r="D1878" i="106" s="1"/>
  <c r="F19" i="8"/>
  <c r="F23" i="8"/>
  <c r="B1880" i="106" s="1"/>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s="1"/>
  <c r="F49" i="8"/>
  <c r="B1940" i="106" s="1"/>
  <c r="D1940" i="106"/>
  <c r="D1941" i="106"/>
  <c r="D1942" i="106"/>
  <c r="D1943" i="106"/>
  <c r="D1944" i="106"/>
  <c r="D1945" i="106"/>
  <c r="D1946" i="106"/>
  <c r="D1947" i="106"/>
  <c r="B1948" i="106"/>
  <c r="D1948" i="106" s="1"/>
  <c r="D1949" i="106"/>
  <c r="B1950" i="106"/>
  <c r="D1950" i="106"/>
  <c r="B1951" i="106"/>
  <c r="D1951" i="106"/>
  <c r="D1952" i="106"/>
  <c r="G12" i="12"/>
  <c r="B1953" i="106" s="1"/>
  <c r="D1953" i="106"/>
  <c r="D1954" i="106"/>
  <c r="B1955" i="106"/>
  <c r="D1955" i="106" s="1"/>
  <c r="D1956" i="106"/>
  <c r="G23" i="12"/>
  <c r="B1957" i="106"/>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c r="B1993" i="106"/>
  <c r="D1993" i="106"/>
  <c r="D1994" i="106"/>
  <c r="I23" i="12"/>
  <c r="B1995" i="106" s="1"/>
  <c r="D1995" i="106"/>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c r="B2021" i="106"/>
  <c r="D2021" i="106"/>
  <c r="B2022" i="106"/>
  <c r="D2022" i="106"/>
  <c r="B2023" i="106"/>
  <c r="D2023" i="106"/>
  <c r="B2024" i="106"/>
  <c r="D2024" i="106"/>
  <c r="E16" i="11"/>
  <c r="B2025" i="106"/>
  <c r="D2025" i="106" s="1"/>
  <c r="F8" i="11"/>
  <c r="B2027" i="106" s="1"/>
  <c r="D2027" i="106" s="1"/>
  <c r="F10" i="11"/>
  <c r="B2028" i="106"/>
  <c r="D2028" i="106" s="1"/>
  <c r="F12" i="11"/>
  <c r="B2029" i="106" s="1"/>
  <c r="D2029" i="106" s="1"/>
  <c r="F13" i="11"/>
  <c r="B2030" i="106"/>
  <c r="D2030" i="106" s="1"/>
  <c r="D2032" i="106"/>
  <c r="B2033" i="106"/>
  <c r="D2033" i="106"/>
  <c r="B2034" i="106"/>
  <c r="D2034" i="106"/>
  <c r="B2035" i="106"/>
  <c r="D2035" i="106"/>
  <c r="B2036" i="106"/>
  <c r="D2036" i="106"/>
  <c r="H16" i="11"/>
  <c r="B2037" i="106"/>
  <c r="D2037" i="106" s="1"/>
  <c r="D2038" i="106"/>
  <c r="B2039" i="106"/>
  <c r="D2039" i="106"/>
  <c r="B2040" i="106"/>
  <c r="D2040" i="106"/>
  <c r="B2041" i="106"/>
  <c r="D2041" i="106"/>
  <c r="B2042" i="106"/>
  <c r="D2042" i="106"/>
  <c r="I16" i="11"/>
  <c r="B2043" i="106"/>
  <c r="D2043" i="106" s="1"/>
  <c r="D2044" i="106"/>
  <c r="B2045" i="106"/>
  <c r="D2045" i="106"/>
  <c r="B2046" i="106"/>
  <c r="D2046" i="106"/>
  <c r="B2047" i="106"/>
  <c r="D2047" i="106"/>
  <c r="B2048" i="106"/>
  <c r="D2048" i="106"/>
  <c r="J16" i="11"/>
  <c r="B2049" i="106"/>
  <c r="D2049" i="106" s="1"/>
  <c r="D2050" i="106"/>
  <c r="K8" i="11"/>
  <c r="B2051" i="106"/>
  <c r="D2051" i="106" s="1"/>
  <c r="K10" i="11"/>
  <c r="B2052" i="106" s="1"/>
  <c r="D2052" i="106" s="1"/>
  <c r="K12" i="11"/>
  <c r="B2053" i="106"/>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s="1"/>
  <c r="D2105" i="106"/>
  <c r="I48" i="4"/>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s="1"/>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c r="B2813" i="106"/>
  <c r="D2813" i="106"/>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c r="D2838" i="106"/>
  <c r="B2840" i="106"/>
  <c r="D2840" i="106" s="1"/>
  <c r="B2843" i="106"/>
  <c r="D2843" i="106" s="1"/>
  <c r="B2844" i="106"/>
  <c r="D2844" i="106" s="1"/>
  <c r="D2847" i="106"/>
  <c r="B2848" i="106"/>
  <c r="D2848" i="106"/>
  <c r="D2849" i="106"/>
  <c r="D2850" i="106"/>
  <c r="D2851" i="106"/>
  <c r="D2852" i="106"/>
  <c r="D2853" i="106"/>
  <c r="B2854" i="106"/>
  <c r="D2854" i="106" s="1"/>
  <c r="B2855" i="106"/>
  <c r="D2855" i="106" s="1"/>
  <c r="B2856" i="106"/>
  <c r="D2856" i="106" s="1"/>
  <c r="D2857" i="106"/>
  <c r="B2858" i="106"/>
  <c r="D2858" i="106"/>
  <c r="D2859" i="106"/>
  <c r="B2860" i="106"/>
  <c r="D2860" i="106" s="1"/>
  <c r="D2861" i="106"/>
  <c r="B2862" i="106"/>
  <c r="D2862" i="106"/>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s="1"/>
  <c r="I13" i="3"/>
  <c r="B2888" i="106" s="1"/>
  <c r="D2888" i="106"/>
  <c r="D2889" i="106"/>
  <c r="D2890" i="106"/>
  <c r="B2891" i="106"/>
  <c r="D2891" i="106"/>
  <c r="B2892" i="106"/>
  <c r="D2892" i="106"/>
  <c r="D2893" i="106"/>
  <c r="B2894" i="106"/>
  <c r="D2894" i="106" s="1"/>
  <c r="L13" i="3"/>
  <c r="B2895" i="106" s="1"/>
  <c r="D2895" i="106"/>
  <c r="D2896" i="106"/>
  <c r="D2897" i="106"/>
  <c r="D2898" i="106"/>
  <c r="D2899" i="106"/>
  <c r="D2900" i="106"/>
  <c r="D2901" i="106"/>
  <c r="D2902" i="106"/>
  <c r="D2903" i="106"/>
  <c r="D2904" i="106"/>
  <c r="D2905" i="106"/>
  <c r="D2906" i="106"/>
  <c r="D2907" i="106"/>
  <c r="B2908" i="106"/>
  <c r="D2908" i="106"/>
  <c r="D2909" i="106"/>
  <c r="I34" i="3"/>
  <c r="B2910" i="106" s="1"/>
  <c r="D2910" i="106" s="1"/>
  <c r="B2911" i="106"/>
  <c r="D2911" i="106"/>
  <c r="B2912" i="106"/>
  <c r="D2912" i="106"/>
  <c r="B2914" i="106"/>
  <c r="D2914" i="106"/>
  <c r="D2915" i="106"/>
  <c r="L34" i="3"/>
  <c r="B2916" i="106" s="1"/>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4" i="106"/>
  <c r="D2974" i="106"/>
  <c r="B2975" i="106"/>
  <c r="D2975"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D3010"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c r="B3072" i="106"/>
  <c r="D3072" i="106"/>
  <c r="D3073" i="106"/>
  <c r="D3074" i="106"/>
  <c r="D3075" i="106"/>
  <c r="D3076" i="106"/>
  <c r="D3077" i="106"/>
  <c r="B3078" i="106"/>
  <c r="D3078" i="106" s="1"/>
  <c r="B3079" i="106"/>
  <c r="D3079" i="106" s="1"/>
  <c r="B3080" i="106"/>
  <c r="D3080" i="106" s="1"/>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s="1"/>
  <c r="C76" i="4"/>
  <c r="B3231" i="106" s="1"/>
  <c r="D3231" i="106"/>
  <c r="B3234" i="106"/>
  <c r="D3234" i="106"/>
  <c r="D44" i="4"/>
  <c r="B3236" i="106"/>
  <c r="D3236" i="106" s="1"/>
  <c r="D76" i="4"/>
  <c r="B3237" i="106" s="1"/>
  <c r="D3237" i="106"/>
  <c r="D3240" i="106"/>
  <c r="D3241" i="106"/>
  <c r="D3242" i="106"/>
  <c r="D3243" i="106"/>
  <c r="D3244" i="106"/>
  <c r="D3245" i="106"/>
  <c r="D3246" i="106"/>
  <c r="D3247" i="106"/>
  <c r="D3248" i="106"/>
  <c r="D3249" i="106"/>
  <c r="D3250" i="106"/>
  <c r="B3251" i="106"/>
  <c r="D3251" i="106" s="1"/>
  <c r="F44" i="4"/>
  <c r="B3252" i="106" s="1"/>
  <c r="D3252" i="106"/>
  <c r="B3253" i="106"/>
  <c r="D3253" i="106"/>
  <c r="F76" i="4"/>
  <c r="B3257" i="106"/>
  <c r="D3257" i="106" s="1"/>
  <c r="G44" i="4"/>
  <c r="B3258" i="106" s="1"/>
  <c r="D3258" i="106"/>
  <c r="B3259" i="106"/>
  <c r="D3259" i="106"/>
  <c r="G76" i="4"/>
  <c r="B3260" i="106"/>
  <c r="D3260" i="106" s="1"/>
  <c r="D3263" i="106"/>
  <c r="D3264" i="106"/>
  <c r="D3265" i="106"/>
  <c r="D3266" i="106"/>
  <c r="D3267" i="106"/>
  <c r="D3268" i="106"/>
  <c r="D3269" i="106"/>
  <c r="D3270" i="106"/>
  <c r="D3271" i="106"/>
  <c r="D3272" i="106"/>
  <c r="B3273" i="106"/>
  <c r="D3273" i="106" s="1"/>
  <c r="E37" i="4"/>
  <c r="B6285" i="106" s="1"/>
  <c r="D6285" i="106" s="1"/>
  <c r="E38" i="4"/>
  <c r="B6286" i="106"/>
  <c r="D6286" i="106" s="1"/>
  <c r="E39" i="4"/>
  <c r="B6287" i="106" s="1"/>
  <c r="D6287" i="106" s="1"/>
  <c r="E40" i="4"/>
  <c r="B6288" i="106"/>
  <c r="D6288" i="106" s="1"/>
  <c r="B3275" i="106"/>
  <c r="D3275" i="106" s="1"/>
  <c r="E76" i="4"/>
  <c r="B3276" i="106" s="1"/>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s="1"/>
  <c r="K19" i="29"/>
  <c r="B3381" i="106" s="1"/>
  <c r="D3381" i="106"/>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s="1"/>
  <c r="D3420" i="106"/>
  <c r="D3421" i="106"/>
  <c r="B3422" i="106"/>
  <c r="D3422" i="106" s="1"/>
  <c r="D3423" i="106"/>
  <c r="D3424" i="106"/>
  <c r="B3425" i="106"/>
  <c r="D3425" i="106" s="1"/>
  <c r="D3426" i="106"/>
  <c r="B3427" i="106"/>
  <c r="D3427"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c r="B3450" i="106"/>
  <c r="D3450" i="106"/>
  <c r="B3451" i="106"/>
  <c r="D3451" i="106"/>
  <c r="B3452" i="106"/>
  <c r="D3452" i="106"/>
  <c r="B3453" i="106"/>
  <c r="D3453" i="106"/>
  <c r="F15" i="1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c r="B3562" i="106"/>
  <c r="D3562" i="106"/>
  <c r="D3563" i="106"/>
  <c r="D3564" i="106"/>
  <c r="K34" i="3"/>
  <c r="B3565" i="106"/>
  <c r="D3565" i="106" s="1"/>
  <c r="B3566" i="106"/>
  <c r="D3566" i="106" s="1"/>
  <c r="B3567" i="106"/>
  <c r="D3567" i="106" s="1"/>
  <c r="B3577" i="106"/>
  <c r="D3577" i="106" s="1"/>
  <c r="B3578" i="106"/>
  <c r="D3578" i="106" s="1"/>
  <c r="B3579" i="106"/>
  <c r="D3579" i="106" s="1"/>
  <c r="B3580" i="106"/>
  <c r="D3580" i="106" s="1"/>
  <c r="B3581" i="106"/>
  <c r="D3581" i="106" s="1"/>
  <c r="B3582" i="106"/>
  <c r="D3582" i="106"/>
  <c r="B3583" i="106"/>
  <c r="D3583" i="106"/>
  <c r="K44" i="4"/>
  <c r="B3584" i="106"/>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s="1"/>
  <c r="B3620" i="106"/>
  <c r="D3620" i="106" s="1"/>
  <c r="D3623" i="106"/>
  <c r="B3624" i="106"/>
  <c r="D3624" i="106"/>
  <c r="B3625" i="106"/>
  <c r="D3625" i="106"/>
  <c r="D350" i="29"/>
  <c r="B3626" i="106"/>
  <c r="D3626" i="106" s="1"/>
  <c r="B3627" i="106"/>
  <c r="D3627" i="106" s="1"/>
  <c r="D3630" i="106"/>
  <c r="B3631" i="106"/>
  <c r="D3631" i="106"/>
  <c r="B3632" i="106"/>
  <c r="D3632" i="106"/>
  <c r="E350" i="29"/>
  <c r="B3634" i="106"/>
  <c r="D3634" i="106" s="1"/>
  <c r="D3637" i="106"/>
  <c r="B3638" i="106"/>
  <c r="D3638" i="106"/>
  <c r="B3639" i="106"/>
  <c r="D3639" i="106"/>
  <c r="F350" i="29"/>
  <c r="B3641" i="106"/>
  <c r="D3641" i="106" s="1"/>
  <c r="D3644" i="106"/>
  <c r="B3645" i="106"/>
  <c r="D3645" i="106"/>
  <c r="B3646" i="106"/>
  <c r="D3646" i="106"/>
  <c r="G350" i="29"/>
  <c r="G352" i="29"/>
  <c r="B3648" i="106"/>
  <c r="D3648" i="106"/>
  <c r="D3651" i="106"/>
  <c r="B3652" i="106"/>
  <c r="D3652" i="106" s="1"/>
  <c r="B3653" i="106"/>
  <c r="D3653" i="106" s="1"/>
  <c r="H350" i="29"/>
  <c r="B3654" i="106" s="1"/>
  <c r="D3654" i="106"/>
  <c r="B3655" i="106"/>
  <c r="D3655" i="106"/>
  <c r="B3657" i="106"/>
  <c r="D3657" i="106"/>
  <c r="H362" i="29"/>
  <c r="B3658" i="106"/>
  <c r="D3658" i="106" s="1"/>
  <c r="D3659" i="106"/>
  <c r="D3661" i="106"/>
  <c r="D3662" i="106"/>
  <c r="D3663" i="106"/>
  <c r="D3664" i="106"/>
  <c r="D3665" i="106"/>
  <c r="D3666" i="106"/>
  <c r="D3667" i="106"/>
  <c r="K348" i="29"/>
  <c r="B3668" i="106" s="1"/>
  <c r="D3668" i="106"/>
  <c r="K349" i="29"/>
  <c r="B3669" i="106"/>
  <c r="D3669" i="106" s="1"/>
  <c r="K351" i="29"/>
  <c r="B3671" i="106" s="1"/>
  <c r="D3671" i="106"/>
  <c r="B3673" i="106"/>
  <c r="D3673" i="106"/>
  <c r="K360" i="29"/>
  <c r="B3675" i="106"/>
  <c r="D3675" i="106" s="1"/>
  <c r="K361" i="29"/>
  <c r="B7239" i="106" s="1"/>
  <c r="D7239" i="106"/>
  <c r="D3677" i="106"/>
  <c r="K363" i="29"/>
  <c r="B7241" i="106" s="1"/>
  <c r="D7241" i="106" s="1"/>
  <c r="K364" i="29"/>
  <c r="B7746" i="106"/>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B4096" i="106"/>
  <c r="D4096" i="106"/>
  <c r="B4097" i="106"/>
  <c r="D4097" i="106"/>
  <c r="D4098" i="106"/>
  <c r="B4100" i="106"/>
  <c r="D4100" i="106" s="1"/>
  <c r="D4101" i="106"/>
  <c r="B4106" i="106"/>
  <c r="D4106" i="106"/>
  <c r="B4107" i="106"/>
  <c r="D4107" i="106"/>
  <c r="F17" i="7"/>
  <c r="B4108" i="106"/>
  <c r="D4108" i="106" s="1"/>
  <c r="F18" i="7"/>
  <c r="B4109" i="106" s="1"/>
  <c r="D4109" i="106" s="1"/>
  <c r="B4110" i="106"/>
  <c r="D4110" i="106"/>
  <c r="B4111" i="106"/>
  <c r="D4111" i="106"/>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c r="D4131" i="106" s="1"/>
  <c r="D18" i="4"/>
  <c r="B4132" i="106" s="1"/>
  <c r="D4132" i="106"/>
  <c r="F18" i="4"/>
  <c r="B4133" i="106"/>
  <c r="D4133" i="106" s="1"/>
  <c r="H18" i="4"/>
  <c r="B4134" i="106" s="1"/>
  <c r="D4134" i="106"/>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c r="D4173" i="106" s="1"/>
  <c r="D4174" i="106"/>
  <c r="E18" i="4"/>
  <c r="B4175" i="106"/>
  <c r="D4175" i="106" s="1"/>
  <c r="G18" i="4"/>
  <c r="B4176" i="106" s="1"/>
  <c r="D4176" i="106"/>
  <c r="G49" i="8"/>
  <c r="B4177" i="106"/>
  <c r="D4177" i="106" s="1"/>
  <c r="D4178" i="106"/>
  <c r="B4179" i="106"/>
  <c r="D4179" i="106"/>
  <c r="B4180" i="106"/>
  <c r="D4180" i="106"/>
  <c r="B4181" i="106"/>
  <c r="D4181" i="106"/>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c r="D4800" i="106"/>
  <c r="B4801" i="106"/>
  <c r="D4801" i="106" s="1"/>
  <c r="B4802" i="106"/>
  <c r="D4802" i="106" s="1"/>
  <c r="D4803" i="106"/>
  <c r="B4804" i="106"/>
  <c r="D4804" i="106"/>
  <c r="B4805" i="106"/>
  <c r="D4805" i="106"/>
  <c r="B4806" i="106"/>
  <c r="D4806" i="106"/>
  <c r="D4807" i="106"/>
  <c r="B4808" i="106"/>
  <c r="D4808" i="106" s="1"/>
  <c r="D4809" i="106"/>
  <c r="B4810" i="106"/>
  <c r="D4810" i="106"/>
  <c r="B4811" i="106"/>
  <c r="D4811" i="106"/>
  <c r="D4812" i="106"/>
  <c r="B4813" i="106"/>
  <c r="D4813" i="106" s="1"/>
  <c r="B4814" i="106"/>
  <c r="D4814" i="106" s="1"/>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c r="B4882" i="106"/>
  <c r="D4882" i="106"/>
  <c r="B4883" i="106"/>
  <c r="D4883" i="106"/>
  <c r="B4884" i="106"/>
  <c r="D4884" i="106"/>
  <c r="B4885" i="106"/>
  <c r="D4885" i="106"/>
  <c r="B4886" i="106"/>
  <c r="D4886" i="106"/>
  <c r="B4887" i="106"/>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s="1"/>
  <c r="B5023" i="106"/>
  <c r="D5023" i="106" s="1"/>
  <c r="B5024" i="106"/>
  <c r="D5024" i="106" s="1"/>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c r="D5138" i="106"/>
  <c r="B5139" i="106"/>
  <c r="D5139" i="106" s="1"/>
  <c r="D5140" i="106"/>
  <c r="D5141" i="106"/>
  <c r="B5142" i="106"/>
  <c r="D5142" i="106" s="1"/>
  <c r="D5143" i="106"/>
  <c r="D5144" i="106"/>
  <c r="D5145" i="106"/>
  <c r="D5146" i="106"/>
  <c r="B5148" i="106"/>
  <c r="D5148" i="106" s="1"/>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s="1"/>
  <c r="B5168" i="106"/>
  <c r="D5168" i="106" s="1"/>
  <c r="D5169" i="106"/>
  <c r="D5170" i="106"/>
  <c r="B5171" i="106"/>
  <c r="D5171" i="106" s="1"/>
  <c r="D5172" i="106"/>
  <c r="D5173" i="106"/>
  <c r="D5174" i="106"/>
  <c r="B5175" i="106"/>
  <c r="D5175" i="106"/>
  <c r="D5176" i="106"/>
  <c r="B5177" i="106"/>
  <c r="D5177" i="106" s="1"/>
  <c r="D5179" i="106"/>
  <c r="D5180" i="106"/>
  <c r="B5181" i="106"/>
  <c r="D5181" i="106" s="1"/>
  <c r="D5182" i="106"/>
  <c r="D5183" i="106"/>
  <c r="D5184" i="106"/>
  <c r="D5185" i="106"/>
  <c r="D5186" i="106"/>
  <c r="B5187" i="106"/>
  <c r="D5187" i="106"/>
  <c r="D5188" i="106"/>
  <c r="D5189" i="106"/>
  <c r="D5190" i="106"/>
  <c r="D5191" i="106"/>
  <c r="D5192" i="106"/>
  <c r="D5193" i="106"/>
  <c r="B5194" i="106"/>
  <c r="D5194" i="106"/>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c r="D5311" i="106"/>
  <c r="B5312" i="106"/>
  <c r="D5312" i="106" s="1"/>
  <c r="B5313" i="106"/>
  <c r="D5313" i="106" s="1"/>
  <c r="D5314" i="106"/>
  <c r="B5315" i="106"/>
  <c r="D5315" i="106"/>
  <c r="D5316" i="106"/>
  <c r="B5317" i="106"/>
  <c r="D5317" i="106" s="1"/>
  <c r="D5318" i="106"/>
  <c r="D5319" i="106"/>
  <c r="D5321" i="106"/>
  <c r="D5322" i="106"/>
  <c r="D5323" i="106"/>
  <c r="D5324" i="106"/>
  <c r="D5325" i="106"/>
  <c r="B5328" i="106"/>
  <c r="D5328" i="106"/>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c r="B5375" i="106"/>
  <c r="D5375" i="106"/>
  <c r="D5376" i="106"/>
  <c r="D5377" i="106"/>
  <c r="D5378" i="106"/>
  <c r="D5379" i="106"/>
  <c r="D5380" i="106"/>
  <c r="D5381" i="106"/>
  <c r="D5382" i="106"/>
  <c r="B5384" i="106"/>
  <c r="D5384" i="106" s="1"/>
  <c r="D5385" i="106"/>
  <c r="D5386" i="106"/>
  <c r="B5387" i="106"/>
  <c r="D5387" i="106" s="1"/>
  <c r="D5388" i="106"/>
  <c r="D5389" i="106"/>
  <c r="D5390" i="106"/>
  <c r="B5391" i="106"/>
  <c r="D5391" i="106"/>
  <c r="D5392" i="106"/>
  <c r="B5393" i="106"/>
  <c r="D5393" i="106" s="1"/>
  <c r="B5395" i="106"/>
  <c r="D5395" i="106" s="1"/>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s="1"/>
  <c r="D5495" i="106"/>
  <c r="B5496" i="106"/>
  <c r="D5496" i="106"/>
  <c r="D5497" i="106"/>
  <c r="B5498" i="106"/>
  <c r="D5498" i="106" s="1"/>
  <c r="D5499" i="106"/>
  <c r="D5500" i="106"/>
  <c r="D5502" i="106"/>
  <c r="D5503" i="106"/>
  <c r="D5504" i="106"/>
  <c r="D5505" i="106"/>
  <c r="D5506" i="106"/>
  <c r="B5509" i="106"/>
  <c r="D5509" i="106"/>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c r="D5605" i="106"/>
  <c r="B5606" i="106"/>
  <c r="D5606" i="106" s="1"/>
  <c r="D5607" i="106"/>
  <c r="D5608" i="106"/>
  <c r="B5609" i="106"/>
  <c r="D5609" i="106" s="1"/>
  <c r="D5610" i="106"/>
  <c r="D5611" i="106"/>
  <c r="D5612" i="106"/>
  <c r="D5613" i="106"/>
  <c r="B5615" i="106"/>
  <c r="D5615" i="106" s="1"/>
  <c r="D5616" i="106"/>
  <c r="B5617" i="106"/>
  <c r="D5617" i="106"/>
  <c r="B5619" i="106"/>
  <c r="D5619" i="106"/>
  <c r="D5620" i="106"/>
  <c r="D5621" i="106"/>
  <c r="D5622" i="106"/>
  <c r="D5623" i="106"/>
  <c r="D5624" i="106"/>
  <c r="B5625" i="106"/>
  <c r="D5625" i="106" s="1"/>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c r="D5709" i="106"/>
  <c r="B5710" i="106"/>
  <c r="D5710" i="106" s="1"/>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s="1"/>
  <c r="B5755" i="106"/>
  <c r="D5755" i="106" s="1"/>
  <c r="B5757" i="106"/>
  <c r="D5757" i="106" s="1"/>
  <c r="D5758" i="106"/>
  <c r="D5759" i="106"/>
  <c r="D5760" i="106"/>
  <c r="D5761" i="106"/>
  <c r="D5762" i="106"/>
  <c r="B5763" i="106"/>
  <c r="D5763" i="106"/>
  <c r="D5764" i="106"/>
  <c r="B5765" i="106"/>
  <c r="D5765" i="106" s="1"/>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c r="D5854" i="106"/>
  <c r="B5855" i="106"/>
  <c r="D5855" i="106" s="1"/>
  <c r="B5856" i="106"/>
  <c r="D5856" i="106" s="1"/>
  <c r="D5857" i="106"/>
  <c r="B5858" i="106"/>
  <c r="D5858" i="106"/>
  <c r="D5859" i="106"/>
  <c r="B5860" i="106"/>
  <c r="D5860" i="106" s="1"/>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s="1"/>
  <c r="B6077" i="106"/>
  <c r="D6077" i="106" s="1"/>
  <c r="B6078" i="106"/>
  <c r="D6078" i="106" s="1"/>
  <c r="F27" i="8"/>
  <c r="B6079" i="106" s="1"/>
  <c r="D6079" i="106"/>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c r="B6850" i="106"/>
  <c r="D6850" i="106"/>
  <c r="B6851" i="106"/>
  <c r="D6851" i="106"/>
  <c r="B6852" i="106"/>
  <c r="D6852" i="106"/>
  <c r="K9" i="29"/>
  <c r="B6853" i="106"/>
  <c r="D6853" i="106" s="1"/>
  <c r="B6854" i="106"/>
  <c r="D6854" i="106" s="1"/>
  <c r="B6855" i="106"/>
  <c r="D6855" i="106" s="1"/>
  <c r="B6856" i="106"/>
  <c r="D6856" i="106" s="1"/>
  <c r="B6857" i="106"/>
  <c r="D6857" i="106" s="1"/>
  <c r="K11" i="29"/>
  <c r="B6858" i="106" s="1"/>
  <c r="D6858" i="106" s="1"/>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s="1"/>
  <c r="B6872" i="106"/>
  <c r="D6872" i="106" s="1"/>
  <c r="B6873" i="106"/>
  <c r="D6873" i="106" s="1"/>
  <c r="B6874" i="106"/>
  <c r="D6874" i="106" s="1"/>
  <c r="B6875" i="106"/>
  <c r="D6875" i="106" s="1"/>
  <c r="B6876" i="106"/>
  <c r="D6876" i="106" s="1"/>
  <c r="K20" i="29"/>
  <c r="B6878" i="106"/>
  <c r="D6878" i="106"/>
  <c r="K21" i="29"/>
  <c r="B6879" i="106"/>
  <c r="D6879" i="106" s="1"/>
  <c r="B6880" i="106"/>
  <c r="D6880" i="106" s="1"/>
  <c r="K22" i="29"/>
  <c r="B6881" i="106" s="1"/>
  <c r="D6881" i="106" s="1"/>
  <c r="B6882" i="106"/>
  <c r="D6882" i="106"/>
  <c r="K23" i="29"/>
  <c r="B6883" i="106"/>
  <c r="D6883" i="106" s="1"/>
  <c r="B6884" i="106"/>
  <c r="D6884" i="106" s="1"/>
  <c r="K24" i="29"/>
  <c r="B6886" i="106"/>
  <c r="D6886" i="106"/>
  <c r="K25" i="29"/>
  <c r="B6887" i="106"/>
  <c r="D6887" i="106" s="1"/>
  <c r="B6888" i="106"/>
  <c r="D6888" i="106" s="1"/>
  <c r="K26" i="29"/>
  <c r="B6889" i="106" s="1"/>
  <c r="D6889" i="106" s="1"/>
  <c r="B6890" i="106"/>
  <c r="D6890" i="106"/>
  <c r="K27" i="29"/>
  <c r="B6891" i="106"/>
  <c r="D6891" i="106" s="1"/>
  <c r="B6892" i="106"/>
  <c r="D6892" i="106" s="1"/>
  <c r="K28" i="29"/>
  <c r="B6894" i="106"/>
  <c r="D6894" i="106"/>
  <c r="K29" i="29"/>
  <c r="B6895" i="106"/>
  <c r="D6895" i="106" s="1"/>
  <c r="B6896" i="106"/>
  <c r="D6896" i="106" s="1"/>
  <c r="K30" i="29"/>
  <c r="B6897" i="106" s="1"/>
  <c r="D6897" i="106" s="1"/>
  <c r="B6898" i="106"/>
  <c r="D6898" i="106"/>
  <c r="K31" i="29"/>
  <c r="B6899" i="106"/>
  <c r="D6899" i="106" s="1"/>
  <c r="B6900" i="106"/>
  <c r="D6900" i="106" s="1"/>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s="1"/>
  <c r="J47" i="29"/>
  <c r="B6925" i="106" s="1"/>
  <c r="D6925" i="106" s="1"/>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s="1"/>
  <c r="B6941" i="106"/>
  <c r="D6941" i="106" s="1"/>
  <c r="I53" i="29"/>
  <c r="B6942" i="106" s="1"/>
  <c r="D6942" i="106" s="1"/>
  <c r="J53" i="29"/>
  <c r="B6943" i="106"/>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c r="D6974" i="106" s="1"/>
  <c r="B6975" i="106"/>
  <c r="D6975" i="106" s="1"/>
  <c r="B6976" i="106"/>
  <c r="D6976" i="106" s="1"/>
  <c r="B6979" i="106"/>
  <c r="D6979" i="106" s="1"/>
  <c r="B6980" i="106"/>
  <c r="D6980" i="106" s="1"/>
  <c r="B6981" i="106"/>
  <c r="D6981" i="106" s="1"/>
  <c r="K85" i="29"/>
  <c r="B6982" i="106" s="1"/>
  <c r="D6982" i="106" s="1"/>
  <c r="B6983" i="106"/>
  <c r="D6983" i="106"/>
  <c r="K86" i="29"/>
  <c r="B6984" i="106"/>
  <c r="D6984" i="106" s="1"/>
  <c r="B6985" i="106"/>
  <c r="D6985" i="106" s="1"/>
  <c r="K87" i="29"/>
  <c r="B6986" i="106" s="1"/>
  <c r="D6986" i="106" s="1"/>
  <c r="B6987" i="106"/>
  <c r="D6987" i="106"/>
  <c r="K88" i="29"/>
  <c r="B6988" i="106"/>
  <c r="D6988" i="106" s="1"/>
  <c r="B6989" i="106"/>
  <c r="D6989" i="106" s="1"/>
  <c r="K89" i="29"/>
  <c r="B6990" i="106" s="1"/>
  <c r="D6990" i="106" s="1"/>
  <c r="B6991" i="106"/>
  <c r="D6991" i="106"/>
  <c r="K90" i="29"/>
  <c r="B6992" i="106"/>
  <c r="D6992" i="106" s="1"/>
  <c r="B6993" i="106"/>
  <c r="D6993" i="106" s="1"/>
  <c r="K91" i="29"/>
  <c r="B6994" i="106" s="1"/>
  <c r="D6994" i="106" s="1"/>
  <c r="B6996" i="106"/>
  <c r="D6996" i="106"/>
  <c r="B6998" i="106"/>
  <c r="D6998" i="106"/>
  <c r="B7000" i="106"/>
  <c r="D7000" i="106"/>
  <c r="B7001" i="106"/>
  <c r="D7001" i="106"/>
  <c r="B7002" i="106"/>
  <c r="D7002" i="106"/>
  <c r="B7004" i="106"/>
  <c r="D7004" i="106"/>
  <c r="B7005" i="106"/>
  <c r="D7005" i="106"/>
  <c r="B7006" i="106"/>
  <c r="D7006" i="106"/>
  <c r="B7008" i="106"/>
  <c r="D7008" i="106"/>
  <c r="B7009" i="106"/>
  <c r="D7009" i="106"/>
  <c r="B7010" i="106"/>
  <c r="D7010" i="106"/>
  <c r="B7011" i="106"/>
  <c r="D7011" i="106"/>
  <c r="B7014" i="106"/>
  <c r="D7014" i="106"/>
  <c r="B7015" i="106"/>
  <c r="D7015" i="106"/>
  <c r="B7016" i="106"/>
  <c r="D7016" i="106"/>
  <c r="K111" i="29"/>
  <c r="B7017" i="106"/>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c r="B7058" i="106"/>
  <c r="D7058" i="106"/>
  <c r="B7059" i="106"/>
  <c r="D7059" i="106"/>
  <c r="B7060" i="106"/>
  <c r="D7060" i="106"/>
  <c r="B7061" i="106"/>
  <c r="D7061" i="106"/>
  <c r="B7062" i="106"/>
  <c r="D7062" i="106"/>
  <c r="I184" i="29"/>
  <c r="B7063" i="106"/>
  <c r="D7063" i="106" s="1"/>
  <c r="J184" i="29"/>
  <c r="B7064" i="106" s="1"/>
  <c r="D7064" i="106" s="1"/>
  <c r="B7065" i="106"/>
  <c r="D7065" i="106"/>
  <c r="B7066" i="106"/>
  <c r="D7066" i="106"/>
  <c r="B7067" i="106"/>
  <c r="D7067" i="106"/>
  <c r="B7069" i="106"/>
  <c r="D7069" i="106"/>
  <c r="B7073" i="106"/>
  <c r="D7073" i="106"/>
  <c r="B7075" i="106"/>
  <c r="D7075" i="106"/>
  <c r="B7077" i="106"/>
  <c r="D7077" i="106"/>
  <c r="B7079" i="106"/>
  <c r="D7079" i="106"/>
  <c r="B7080" i="106"/>
  <c r="D7080" i="106"/>
  <c r="B7081" i="106"/>
  <c r="D7081" i="106"/>
  <c r="B7083" i="106"/>
  <c r="D7083" i="106"/>
  <c r="B7085" i="106"/>
  <c r="D7085" i="106"/>
  <c r="B7086" i="106"/>
  <c r="D7086" i="106"/>
  <c r="B7087" i="106"/>
  <c r="D7087" i="106"/>
  <c r="B7088" i="106"/>
  <c r="D7088" i="106"/>
  <c r="B7089" i="106"/>
  <c r="D7089" i="106"/>
  <c r="B7091" i="106"/>
  <c r="D7091" i="106"/>
  <c r="B7092" i="106"/>
  <c r="D7092" i="106"/>
  <c r="B7093" i="106"/>
  <c r="D7093" i="106"/>
  <c r="B7094" i="106"/>
  <c r="D7094" i="106"/>
  <c r="B7095" i="106"/>
  <c r="D7095" i="106"/>
  <c r="B7096" i="106"/>
  <c r="D7096" i="106"/>
  <c r="B7097" i="106"/>
  <c r="D7097" i="106"/>
  <c r="B7099" i="106"/>
  <c r="D7099" i="106"/>
  <c r="B7100" i="106"/>
  <c r="D7100" i="106"/>
  <c r="B7101" i="106"/>
  <c r="D7101" i="106"/>
  <c r="B7102" i="106"/>
  <c r="D7102" i="106"/>
  <c r="I303" i="29"/>
  <c r="B7103" i="106"/>
  <c r="D7103" i="106" s="1"/>
  <c r="J303" i="29"/>
  <c r="B7104" i="106" s="1"/>
  <c r="D7104" i="106" s="1"/>
  <c r="B7105" i="106"/>
  <c r="D7105" i="106"/>
  <c r="B7106" i="106"/>
  <c r="D7106" i="106"/>
  <c r="B7108" i="106"/>
  <c r="D7108" i="106"/>
  <c r="B7109" i="106"/>
  <c r="D7109" i="106"/>
  <c r="B7110" i="106"/>
  <c r="D7110" i="106"/>
  <c r="B7111" i="106"/>
  <c r="D7111" i="106"/>
  <c r="B7112" i="106"/>
  <c r="D7112" i="106"/>
  <c r="B7113" i="106"/>
  <c r="D7113" i="106"/>
  <c r="B7114" i="106"/>
  <c r="D7114" i="106"/>
  <c r="B7118" i="106"/>
  <c r="D7118" i="106"/>
  <c r="B7119" i="106"/>
  <c r="D7119" i="106"/>
  <c r="B7120" i="106"/>
  <c r="D7120" i="106"/>
  <c r="B7121" i="106"/>
  <c r="D7121" i="106"/>
  <c r="B7122" i="106"/>
  <c r="D7122" i="106"/>
  <c r="B7123" i="106"/>
  <c r="D7123" i="106"/>
  <c r="B7124" i="106"/>
  <c r="D7124" i="106"/>
  <c r="B7125" i="106"/>
  <c r="D7125" i="106"/>
  <c r="K319" i="29"/>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c r="B7137" i="106"/>
  <c r="D7137" i="106"/>
  <c r="B7138" i="106"/>
  <c r="D7138" i="106"/>
  <c r="B7139" i="106"/>
  <c r="D7139" i="106"/>
  <c r="B7140" i="106"/>
  <c r="D7140" i="106"/>
  <c r="B7141" i="106"/>
  <c r="D7141" i="106"/>
  <c r="B7142" i="106"/>
  <c r="D7142" i="106"/>
  <c r="B7143" i="106"/>
  <c r="D7143" i="106"/>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c r="B7155" i="106"/>
  <c r="D7155" i="106"/>
  <c r="B7156" i="106"/>
  <c r="D7156" i="106"/>
  <c r="B7157" i="106"/>
  <c r="D7157" i="106"/>
  <c r="B7158" i="106"/>
  <c r="D7158" i="106"/>
  <c r="B7159" i="106"/>
  <c r="D7159" i="106"/>
  <c r="B7160" i="106"/>
  <c r="D7160" i="106"/>
  <c r="B7161" i="106"/>
  <c r="D7161" i="106"/>
  <c r="K323" i="29"/>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c r="B7173" i="106"/>
  <c r="D7173" i="106"/>
  <c r="B7174" i="106"/>
  <c r="D7174" i="106"/>
  <c r="B7175" i="106"/>
  <c r="D7175" i="106"/>
  <c r="B7176" i="106"/>
  <c r="D7176" i="106"/>
  <c r="B7177" i="106"/>
  <c r="D7177" i="106"/>
  <c r="B7178" i="106"/>
  <c r="D7178" i="106"/>
  <c r="B7179" i="106"/>
  <c r="D7179" i="106"/>
  <c r="K325" i="29"/>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c r="B7191" i="106"/>
  <c r="D7191" i="106"/>
  <c r="B7192" i="106"/>
  <c r="D7192" i="106"/>
  <c r="B7193" i="106"/>
  <c r="D7193" i="106"/>
  <c r="B7194" i="106"/>
  <c r="D7194" i="106"/>
  <c r="B7195" i="106"/>
  <c r="D7195" i="106"/>
  <c r="B7196" i="106"/>
  <c r="D7196" i="106"/>
  <c r="B7197" i="106"/>
  <c r="D7197" i="106"/>
  <c r="K327" i="29"/>
  <c r="B7198" i="106"/>
  <c r="D7198" i="106" s="1"/>
  <c r="C330" i="29"/>
  <c r="B7199" i="106" s="1"/>
  <c r="D7199" i="106" s="1"/>
  <c r="D330" i="29"/>
  <c r="E330" i="29"/>
  <c r="F330" i="29"/>
  <c r="G330" i="29"/>
  <c r="B7203" i="106" s="1"/>
  <c r="D7203" i="106" s="1"/>
  <c r="H330" i="29"/>
  <c r="B7204" i="106"/>
  <c r="D7204" i="106" s="1"/>
  <c r="I330" i="29"/>
  <c r="B7205" i="106" s="1"/>
  <c r="D7205" i="106" s="1"/>
  <c r="J330" i="29"/>
  <c r="B7206" i="106"/>
  <c r="D7206" i="106" s="1"/>
  <c r="K328" i="29"/>
  <c r="B7696" i="106" s="1"/>
  <c r="D7696" i="106" s="1"/>
  <c r="K329" i="29"/>
  <c r="B7705" i="106"/>
  <c r="D7705" i="106" s="1"/>
  <c r="B7208" i="106"/>
  <c r="D7208" i="106" s="1"/>
  <c r="K337" i="29"/>
  <c r="B7209" i="106" s="1"/>
  <c r="D7209" i="106" s="1"/>
  <c r="B7210" i="106"/>
  <c r="D7210" i="106"/>
  <c r="K338" i="29"/>
  <c r="B7212" i="106"/>
  <c r="D7212" i="106" s="1"/>
  <c r="K339" i="29"/>
  <c r="B7213" i="106" s="1"/>
  <c r="D7213" i="106" s="1"/>
  <c r="H340" i="29"/>
  <c r="B7226" i="106"/>
  <c r="D7226" i="106" s="1"/>
  <c r="B7227" i="106"/>
  <c r="D7227" i="106" s="1"/>
  <c r="B7228" i="106"/>
  <c r="D7228" i="106" s="1"/>
  <c r="B7229" i="106"/>
  <c r="D7229" i="106" s="1"/>
  <c r="I350" i="29"/>
  <c r="J350" i="29"/>
  <c r="J352" i="29"/>
  <c r="B7232" i="106"/>
  <c r="D7232" i="106"/>
  <c r="B7233" i="106"/>
  <c r="D7233" i="106"/>
  <c r="B7236" i="106"/>
  <c r="D7236" i="106"/>
  <c r="B7237" i="106"/>
  <c r="D7237" i="106"/>
  <c r="B7238" i="106"/>
  <c r="D7238" i="106"/>
  <c r="B7240" i="106"/>
  <c r="D7240" i="106"/>
  <c r="A7245" i="106"/>
  <c r="A7246" i="106"/>
  <c r="A7247"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s="1"/>
  <c r="B7606" i="106"/>
  <c r="B7607" i="106"/>
  <c r="B7608" i="106"/>
  <c r="F9" i="11"/>
  <c r="B7609" i="106"/>
  <c r="B7610" i="106"/>
  <c r="B7611" i="106"/>
  <c r="B7612" i="106"/>
  <c r="K9" i="11"/>
  <c r="B7613" i="106" s="1"/>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20" i="106"/>
  <c r="D7720" i="106"/>
  <c r="B7721" i="106"/>
  <c r="D7721" i="106"/>
  <c r="B7722" i="106"/>
  <c r="D7722" i="106"/>
  <c r="B7723" i="106"/>
  <c r="D7723" i="106"/>
  <c r="B7724" i="106"/>
  <c r="D7724" i="106"/>
  <c r="B7725" i="106"/>
  <c r="D7725" i="106"/>
  <c r="B7728" i="106"/>
  <c r="D7728" i="106"/>
  <c r="B7731" i="106"/>
  <c r="D7731" i="106"/>
  <c r="B7735" i="106"/>
  <c r="D7735" i="106"/>
  <c r="B7736" i="106"/>
  <c r="D7736" i="106"/>
  <c r="B7737" i="106"/>
  <c r="D7737" i="106"/>
  <c r="B7738" i="106"/>
  <c r="D7738" i="106"/>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800" i="106"/>
  <c r="B6" i="36"/>
  <c r="B7" i="36"/>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E27" i="108"/>
  <c r="G27" i="108"/>
  <c r="E28" i="108"/>
  <c r="F28" i="108"/>
  <c r="F31" i="108"/>
  <c r="G28" i="108"/>
  <c r="E29" i="108"/>
  <c r="D31" i="108"/>
  <c r="E31" i="108"/>
  <c r="G31" i="108"/>
  <c r="E33" i="108"/>
  <c r="G33" i="108"/>
  <c r="E34" i="108"/>
  <c r="G34"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F5" i="11"/>
  <c r="B2026" i="106"/>
  <c r="D2026" i="106" s="1"/>
  <c r="C16" i="11"/>
  <c r="B2013" i="106" s="1"/>
  <c r="D2013" i="106"/>
  <c r="B7727" i="106"/>
  <c r="D7727" i="106"/>
  <c r="C49" i="8"/>
  <c r="B4" i="7"/>
  <c r="B5" i="7"/>
  <c r="B1745" i="106"/>
  <c r="D1745" i="106" s="1"/>
  <c r="B6" i="7"/>
  <c r="B7" i="7"/>
  <c r="B8" i="7"/>
  <c r="B1748" i="106"/>
  <c r="D1748" i="106" s="1"/>
  <c r="B9" i="7"/>
  <c r="B1751" i="106" s="1"/>
  <c r="D1751" i="106" s="1"/>
  <c r="B10" i="7"/>
  <c r="B1749" i="106"/>
  <c r="D1749" i="106" s="1"/>
  <c r="B11" i="7"/>
  <c r="B12" i="7"/>
  <c r="B1753" i="106"/>
  <c r="D1753" i="106" s="1"/>
  <c r="B13" i="7"/>
  <c r="B14" i="7"/>
  <c r="B1754" i="106"/>
  <c r="D1754" i="106" s="1"/>
  <c r="B15" i="7"/>
  <c r="B1756" i="106" s="1"/>
  <c r="D1756" i="106" s="1"/>
  <c r="B16" i="7"/>
  <c r="B3446" i="106"/>
  <c r="D3446" i="106" s="1"/>
  <c r="B17" i="7"/>
  <c r="B18" i="7"/>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K10" i="29"/>
  <c r="B3062" i="106"/>
  <c r="D3062" i="106" s="1"/>
  <c r="K13" i="29"/>
  <c r="B1105" i="106" s="1"/>
  <c r="D1105" i="106" s="1"/>
  <c r="C33" i="29"/>
  <c r="D33" i="29"/>
  <c r="B778" i="106" s="1"/>
  <c r="D778" i="106"/>
  <c r="F33" i="29"/>
  <c r="B894" i="106"/>
  <c r="D894" i="106" s="1"/>
  <c r="G33" i="29"/>
  <c r="B952" i="106" s="1"/>
  <c r="D952" i="106"/>
  <c r="H33" i="29"/>
  <c r="B1010" i="106"/>
  <c r="D1010" i="106" s="1"/>
  <c r="I33" i="29"/>
  <c r="B6902" i="106" s="1"/>
  <c r="D6902" i="106"/>
  <c r="J33" i="29"/>
  <c r="B6903" i="106"/>
  <c r="D6903" i="106" s="1"/>
  <c r="L33" i="29"/>
  <c r="L42" i="29"/>
  <c r="K44" i="29"/>
  <c r="K45" i="29"/>
  <c r="B1117" i="106"/>
  <c r="D1117" i="106" s="1"/>
  <c r="C47" i="29"/>
  <c r="L47" i="29"/>
  <c r="K50" i="29"/>
  <c r="C53" i="29"/>
  <c r="B734" i="106"/>
  <c r="D734" i="106" s="1"/>
  <c r="L53" i="29"/>
  <c r="L57" i="29"/>
  <c r="L65" i="29"/>
  <c r="L72" i="29"/>
  <c r="L84" i="29"/>
  <c r="L92" i="29"/>
  <c r="L100" i="29"/>
  <c r="L110" i="29"/>
  <c r="L112" i="29"/>
  <c r="L147" i="29"/>
  <c r="L168" i="29"/>
  <c r="L172" i="29" s="1"/>
  <c r="L174" i="29"/>
  <c r="L184" i="29"/>
  <c r="L194" i="29"/>
  <c r="L196" i="29" s="1"/>
  <c r="L210" i="29" s="1"/>
  <c r="L204" i="29"/>
  <c r="L208" i="29" s="1"/>
  <c r="L229" i="29"/>
  <c r="L238" i="29"/>
  <c r="L243" i="29"/>
  <c r="L257" i="29"/>
  <c r="L261" i="29"/>
  <c r="L270" i="29"/>
  <c r="L277" i="29"/>
  <c r="L293" i="29"/>
  <c r="L303" i="29"/>
  <c r="L312" i="29" s="1"/>
  <c r="L310" i="29"/>
  <c r="L330" i="29"/>
  <c r="L342" i="29" s="1"/>
  <c r="L340" i="29"/>
  <c r="L350" i="29"/>
  <c r="L352" i="29" s="1"/>
  <c r="L367" i="29" s="1"/>
  <c r="L362" i="29"/>
  <c r="L365" i="29" s="1"/>
  <c r="C12" i="5"/>
  <c r="B5066" i="106" s="1"/>
  <c r="D5066" i="106" s="1"/>
  <c r="D12" i="5"/>
  <c r="B5334" i="106"/>
  <c r="D5334" i="106" s="1"/>
  <c r="E12" i="5"/>
  <c r="B5513" i="106" s="1"/>
  <c r="D5513" i="106" s="1"/>
  <c r="F12" i="5"/>
  <c r="B5557" i="106"/>
  <c r="D5557" i="106" s="1"/>
  <c r="G12" i="5"/>
  <c r="H12" i="5"/>
  <c r="B5873" i="106"/>
  <c r="D5873" i="106" s="1"/>
  <c r="I12" i="5"/>
  <c r="B5918" i="106" s="1"/>
  <c r="D5918" i="106" s="1"/>
  <c r="J12" i="5"/>
  <c r="B6301" i="106"/>
  <c r="D6301" i="106" s="1"/>
  <c r="K12" i="5"/>
  <c r="C18" i="5"/>
  <c r="B5071" i="106"/>
  <c r="D5071" i="106" s="1"/>
  <c r="D18" i="5"/>
  <c r="E18" i="5"/>
  <c r="B5518" i="106"/>
  <c r="D5518" i="106" s="1"/>
  <c r="F18" i="5"/>
  <c r="G18" i="5"/>
  <c r="B5730" i="106"/>
  <c r="D5730" i="106" s="1"/>
  <c r="H18" i="5"/>
  <c r="B5878" i="106" s="1"/>
  <c r="D5878" i="106" s="1"/>
  <c r="I18" i="5"/>
  <c r="B5923" i="106"/>
  <c r="D5923" i="106" s="1"/>
  <c r="J18" i="5"/>
  <c r="B6306" i="106" s="1"/>
  <c r="D6306" i="106" s="1"/>
  <c r="K18" i="5"/>
  <c r="B5992" i="106"/>
  <c r="D5992" i="106" s="1"/>
  <c r="C40" i="5"/>
  <c r="B5087" i="106" s="1"/>
  <c r="D5087" i="106" s="1"/>
  <c r="F63" i="5"/>
  <c r="B5579" i="106" s="1"/>
  <c r="D5579" i="106" s="1"/>
  <c r="C67" i="5"/>
  <c r="B5090" i="106"/>
  <c r="D5090" i="106" s="1"/>
  <c r="D67" i="5"/>
  <c r="B5342" i="106" s="1"/>
  <c r="D5342" i="106" s="1"/>
  <c r="E67" i="5"/>
  <c r="B5521" i="106"/>
  <c r="D5521" i="106" s="1"/>
  <c r="F67" i="5"/>
  <c r="B5582" i="106" s="1"/>
  <c r="D5582" i="106" s="1"/>
  <c r="G67" i="5"/>
  <c r="B5733" i="106"/>
  <c r="D5733" i="106" s="1"/>
  <c r="H67" i="5"/>
  <c r="B5881" i="106" s="1"/>
  <c r="D5881" i="106" s="1"/>
  <c r="I67" i="5"/>
  <c r="B5926" i="106"/>
  <c r="D5926" i="106" s="1"/>
  <c r="J67" i="5"/>
  <c r="B6318" i="106" s="1"/>
  <c r="D6318" i="106" s="1"/>
  <c r="K67" i="5"/>
  <c r="B5995" i="106"/>
  <c r="D5995" i="106" s="1"/>
  <c r="C82" i="5"/>
  <c r="B5102" i="106" s="1"/>
  <c r="D5102" i="106" s="1"/>
  <c r="D82" i="5"/>
  <c r="B5348" i="106"/>
  <c r="D5348" i="106" s="1"/>
  <c r="C93" i="5"/>
  <c r="B5112" i="106" s="1"/>
  <c r="D5112" i="106" s="1"/>
  <c r="C108" i="5"/>
  <c r="B5120" i="106"/>
  <c r="D5120" i="106" s="1"/>
  <c r="D108" i="5"/>
  <c r="B5355" i="106" s="1"/>
  <c r="D5355" i="106" s="1"/>
  <c r="E108" i="5"/>
  <c r="B5526" i="106"/>
  <c r="D5526" i="106" s="1"/>
  <c r="F108" i="5"/>
  <c r="B5587" i="106" s="1"/>
  <c r="D5587" i="106" s="1"/>
  <c r="G108" i="5"/>
  <c r="B5737" i="106"/>
  <c r="D5737" i="106" s="1"/>
  <c r="H108" i="5"/>
  <c r="B5886" i="106" s="1"/>
  <c r="D5886" i="106" s="1"/>
  <c r="I108" i="5"/>
  <c r="B5930" i="106"/>
  <c r="D5930" i="106" s="1"/>
  <c r="J108" i="5"/>
  <c r="B6351" i="106" s="1"/>
  <c r="D6351" i="106" s="1"/>
  <c r="K108" i="5"/>
  <c r="B5999" i="106"/>
  <c r="D5999" i="106" s="1"/>
  <c r="C114" i="5"/>
  <c r="B5125" i="106" s="1"/>
  <c r="D5125" i="106" s="1"/>
  <c r="D114" i="5"/>
  <c r="B5360" i="106"/>
  <c r="D5360" i="106" s="1"/>
  <c r="F114" i="5"/>
  <c r="G114" i="5"/>
  <c r="B5741" i="106"/>
  <c r="D5741" i="106" s="1"/>
  <c r="C121" i="5"/>
  <c r="B5132" i="106" s="1"/>
  <c r="D5132" i="106" s="1"/>
  <c r="D121" i="5"/>
  <c r="B5367" i="106"/>
  <c r="D5367" i="106" s="1"/>
  <c r="E121" i="5"/>
  <c r="B5534" i="106" s="1"/>
  <c r="D5534" i="106" s="1"/>
  <c r="F121" i="5"/>
  <c r="B5599" i="106"/>
  <c r="D5599" i="106" s="1"/>
  <c r="F131" i="5"/>
  <c r="F154" i="5"/>
  <c r="G121" i="5"/>
  <c r="B5748" i="106" s="1"/>
  <c r="D5748" i="106"/>
  <c r="H121" i="5"/>
  <c r="B5893" i="106"/>
  <c r="D5893" i="106" s="1"/>
  <c r="J121" i="5"/>
  <c r="B6357" i="106" s="1"/>
  <c r="D6357" i="106"/>
  <c r="K121" i="5"/>
  <c r="B6006" i="106"/>
  <c r="D6006" i="106" s="1"/>
  <c r="C131" i="5"/>
  <c r="B5147" i="106" s="1"/>
  <c r="D5147" i="106"/>
  <c r="D131" i="5"/>
  <c r="B5369" i="106"/>
  <c r="D5369" i="106" s="1"/>
  <c r="C140" i="5"/>
  <c r="D140" i="5"/>
  <c r="B5383" i="106"/>
  <c r="D5383" i="106" s="1"/>
  <c r="G140" i="5"/>
  <c r="G144" i="5"/>
  <c r="B5756" i="106"/>
  <c r="D5756" i="106" s="1"/>
  <c r="G154" i="5"/>
  <c r="B4357" i="106" s="1"/>
  <c r="D4357" i="106" s="1"/>
  <c r="C144" i="5"/>
  <c r="B5165" i="106"/>
  <c r="D5165" i="106" s="1"/>
  <c r="C154" i="5"/>
  <c r="D154" i="5"/>
  <c r="B5394" i="106"/>
  <c r="D5394" i="106" s="1"/>
  <c r="E172" i="5"/>
  <c r="H172" i="5"/>
  <c r="B5899" i="106"/>
  <c r="D5899" i="106" s="1"/>
  <c r="I172" i="5"/>
  <c r="J172" i="5"/>
  <c r="B6396" i="106"/>
  <c r="D6396" i="106" s="1"/>
  <c r="K172" i="5"/>
  <c r="C178" i="5"/>
  <c r="B5225" i="106"/>
  <c r="D5225" i="106" s="1"/>
  <c r="D178" i="5"/>
  <c r="B5423" i="106" s="1"/>
  <c r="D5423" i="106"/>
  <c r="E178" i="5"/>
  <c r="B4372" i="106"/>
  <c r="D4372" i="106" s="1"/>
  <c r="F178" i="5"/>
  <c r="B5655" i="106" s="1"/>
  <c r="D5655" i="106"/>
  <c r="G178" i="5"/>
  <c r="B5780" i="106"/>
  <c r="D5780" i="106" s="1"/>
  <c r="H178" i="5"/>
  <c r="I178" i="5"/>
  <c r="I274" i="5"/>
  <c r="J178" i="5"/>
  <c r="B6400" i="106"/>
  <c r="D6400" i="106" s="1"/>
  <c r="K178" i="5"/>
  <c r="C184" i="5"/>
  <c r="B5232" i="106"/>
  <c r="D5232" i="106" s="1"/>
  <c r="D184" i="5"/>
  <c r="F184" i="5"/>
  <c r="B5658" i="106"/>
  <c r="D5658" i="106" s="1"/>
  <c r="G184" i="5"/>
  <c r="B5784" i="106" s="1"/>
  <c r="D5784" i="106" s="1"/>
  <c r="H184" i="5"/>
  <c r="B5908" i="106"/>
  <c r="D5908" i="106" s="1"/>
  <c r="K184" i="5"/>
  <c r="B6016" i="106" s="1"/>
  <c r="D6016" i="106" s="1"/>
  <c r="D191" i="5"/>
  <c r="B4396" i="106"/>
  <c r="D4396" i="106" s="1"/>
  <c r="F191" i="5"/>
  <c r="B4397" i="106" s="1"/>
  <c r="G191" i="5"/>
  <c r="G201" i="5"/>
  <c r="B5260" i="106"/>
  <c r="D5260" i="106"/>
  <c r="D211" i="5"/>
  <c r="B5444" i="106"/>
  <c r="D5444" i="106" s="1"/>
  <c r="F211" i="5"/>
  <c r="G211" i="5"/>
  <c r="B5803" i="106"/>
  <c r="D5803" i="106" s="1"/>
  <c r="D216" i="5"/>
  <c r="B4412" i="106" s="1"/>
  <c r="D4412" i="106" s="1"/>
  <c r="F216" i="5"/>
  <c r="B4413" i="106"/>
  <c r="D4413" i="106" s="1"/>
  <c r="G216" i="5"/>
  <c r="B4414" i="106" s="1"/>
  <c r="D4414" i="106" s="1"/>
  <c r="B5286" i="106"/>
  <c r="D5286" i="106"/>
  <c r="D224" i="5"/>
  <c r="B5470" i="106"/>
  <c r="D5470" i="106" s="1"/>
  <c r="F224" i="5"/>
  <c r="B5703" i="106" s="1"/>
  <c r="D5703" i="106" s="1"/>
  <c r="G224" i="5"/>
  <c r="B5829" i="106"/>
  <c r="D5829" i="106" s="1"/>
  <c r="B5304" i="106"/>
  <c r="D5304" i="106" s="1"/>
  <c r="D228" i="5"/>
  <c r="B5488" i="106" s="1"/>
  <c r="D5488" i="106"/>
  <c r="G228" i="5"/>
  <c r="B5847" i="106"/>
  <c r="D5847" i="106" s="1"/>
  <c r="G259" i="5"/>
  <c r="B6837" i="106" s="1"/>
  <c r="D6837" i="106"/>
  <c r="B6833" i="106"/>
  <c r="D6833" i="106"/>
  <c r="D259" i="5"/>
  <c r="B6834" i="106"/>
  <c r="D6834" i="106" s="1"/>
  <c r="E259" i="5"/>
  <c r="F259" i="5"/>
  <c r="B6836" i="106"/>
  <c r="D6836" i="106" s="1"/>
  <c r="H259" i="5"/>
  <c r="J259" i="5"/>
  <c r="K259" i="5"/>
  <c r="K273" i="5" s="1"/>
  <c r="B4442" i="106"/>
  <c r="D4442" i="106" s="1"/>
  <c r="G14" i="4"/>
  <c r="B2609" i="106" s="1"/>
  <c r="D2609" i="106"/>
  <c r="D14" i="4"/>
  <c r="B2570" i="106"/>
  <c r="D2570" i="106" s="1"/>
  <c r="F14" i="4"/>
  <c r="B2597" i="106" s="1"/>
  <c r="D2597" i="106"/>
  <c r="D7" i="118"/>
  <c r="D8" i="118"/>
  <c r="D9" i="118"/>
  <c r="H14" i="118"/>
  <c r="H19" i="118"/>
  <c r="H24" i="118"/>
  <c r="D24" i="37"/>
  <c r="B4270" i="106"/>
  <c r="D4270" i="106" s="1"/>
  <c r="H33" i="118"/>
  <c r="D11" i="37"/>
  <c r="H29" i="118"/>
  <c r="K28" i="118" s="1"/>
  <c r="O27" i="118" s="1"/>
  <c r="O29" i="118" s="1"/>
  <c r="D31" i="36"/>
  <c r="F19" i="7"/>
  <c r="B1807" i="106" s="1"/>
  <c r="D1807" i="106" s="1"/>
  <c r="H112" i="29"/>
  <c r="B7018" i="106"/>
  <c r="D7018" i="106" s="1"/>
  <c r="L22" i="37"/>
  <c r="F45" i="34"/>
  <c r="F35" i="34"/>
  <c r="D5" i="7"/>
  <c r="B1761" i="106"/>
  <c r="D1761" i="106" s="1"/>
  <c r="G15" i="145"/>
  <c r="G35" i="108"/>
  <c r="E35" i="108"/>
  <c r="F68" i="34"/>
  <c r="F49" i="34"/>
  <c r="B5096" i="106"/>
  <c r="D5096" i="106"/>
  <c r="D5" i="4"/>
  <c r="B3406" i="106"/>
  <c r="D3406" i="106" s="1"/>
  <c r="B6289" i="106"/>
  <c r="D6289" i="106"/>
  <c r="L5" i="11"/>
  <c r="B2056" i="106"/>
  <c r="D2056" i="106" s="1"/>
  <c r="L13" i="11"/>
  <c r="B2060" i="106" s="1"/>
  <c r="D2060" i="106" s="1"/>
  <c r="L15" i="11"/>
  <c r="B3459" i="106"/>
  <c r="D3459" i="106" s="1"/>
  <c r="B1223" i="106"/>
  <c r="D1223" i="106" s="1"/>
  <c r="F37" i="108"/>
  <c r="B7231" i="106"/>
  <c r="D7231" i="106"/>
  <c r="D37" i="108"/>
  <c r="I24" i="12"/>
  <c r="K24" i="12"/>
  <c r="H28" i="118"/>
  <c r="F21" i="8"/>
  <c r="J22" i="37"/>
  <c r="N22" i="3"/>
  <c r="B283" i="106"/>
  <c r="D283" i="106" s="1"/>
  <c r="D22" i="37"/>
  <c r="F24" i="37" s="1"/>
  <c r="D68" i="36"/>
  <c r="B3647" i="106"/>
  <c r="D3647" i="106" s="1"/>
  <c r="C342" i="29"/>
  <c r="B7216" i="106" s="1"/>
  <c r="D7216" i="106"/>
  <c r="J129" i="29"/>
  <c r="B7038" i="106"/>
  <c r="D7038" i="106" s="1"/>
  <c r="G29" i="108"/>
  <c r="H365" i="29"/>
  <c r="B7242" i="106" s="1"/>
  <c r="D7242" i="106" s="1"/>
  <c r="D12" i="7"/>
  <c r="B1769" i="106"/>
  <c r="D1769" i="106" s="1"/>
  <c r="G5" i="4"/>
  <c r="B3409" i="106" s="1"/>
  <c r="D3409" i="106"/>
  <c r="D54" i="36"/>
  <c r="H342" i="29"/>
  <c r="B7221" i="106" s="1"/>
  <c r="D7221" i="106" s="1"/>
  <c r="H76" i="4"/>
  <c r="B3298" i="106"/>
  <c r="D3298" i="106" s="1"/>
  <c r="F77" i="4"/>
  <c r="B3255" i="106" s="1"/>
  <c r="D3255" i="106" s="1"/>
  <c r="J367" i="29"/>
  <c r="B7245" i="106"/>
  <c r="D7245" i="106" s="1"/>
  <c r="B7235" i="106"/>
  <c r="D7235" i="106" s="1"/>
  <c r="F69" i="34"/>
  <c r="F42" i="34"/>
  <c r="G39" i="108"/>
  <c r="F36" i="108"/>
  <c r="B6995" i="106"/>
  <c r="D6995" i="106" s="1"/>
  <c r="K285" i="29"/>
  <c r="F46" i="34"/>
  <c r="G38" i="108"/>
  <c r="B3488" i="106"/>
  <c r="D3488" i="106"/>
  <c r="B7074" i="106"/>
  <c r="D7074" i="106"/>
  <c r="D36" i="108"/>
  <c r="F50" i="34"/>
  <c r="I342" i="29"/>
  <c r="B7222" i="106"/>
  <c r="D7222" i="106" s="1"/>
  <c r="J210" i="29"/>
  <c r="B7072" i="106" s="1"/>
  <c r="D7072" i="106"/>
  <c r="B1329" i="106"/>
  <c r="D1329" i="106"/>
  <c r="F61" i="34"/>
  <c r="F44" i="34"/>
  <c r="E30" i="108"/>
  <c r="C352" i="29"/>
  <c r="G30" i="108"/>
  <c r="K184" i="29"/>
  <c r="F13" i="4"/>
  <c r="B2596" i="106" s="1"/>
  <c r="D2596" i="106" s="1"/>
  <c r="D9" i="7"/>
  <c r="B1767" i="106" s="1"/>
  <c r="D1767" i="106"/>
  <c r="H109" i="5"/>
  <c r="B4373" i="106"/>
  <c r="D4373" i="106"/>
  <c r="D15" i="7"/>
  <c r="B1772" i="106" s="1"/>
  <c r="D1772" i="106" s="1"/>
  <c r="F27" i="108"/>
  <c r="B3649" i="106"/>
  <c r="D3649" i="106"/>
  <c r="G367" i="29"/>
  <c r="B3650" i="106"/>
  <c r="D3650" i="106" s="1"/>
  <c r="E174" i="29"/>
  <c r="B1309" i="106"/>
  <c r="D1309" i="106" s="1"/>
  <c r="I210" i="29"/>
  <c r="B1410" i="106"/>
  <c r="D1410" i="106" s="1"/>
  <c r="I129" i="29"/>
  <c r="K350" i="29"/>
  <c r="G210" i="29"/>
  <c r="K41" i="3"/>
  <c r="K76" i="4"/>
  <c r="B3586" i="106" s="1"/>
  <c r="D3586" i="106"/>
  <c r="J77" i="4"/>
  <c r="B6262" i="106"/>
  <c r="D6262" i="106" s="1"/>
  <c r="B5161" i="106"/>
  <c r="D5161" i="106" s="1"/>
  <c r="F128" i="34"/>
  <c r="E109" i="5"/>
  <c r="F136" i="34"/>
  <c r="H173" i="5"/>
  <c r="B3254" i="106"/>
  <c r="D3254" i="106" s="1"/>
  <c r="J41" i="3"/>
  <c r="C41" i="3"/>
  <c r="B93" i="106"/>
  <c r="D93" i="106" s="1"/>
  <c r="H295" i="29"/>
  <c r="B1454" i="106" s="1"/>
  <c r="D1454" i="106"/>
  <c r="B4156" i="106"/>
  <c r="D4156" i="106"/>
  <c r="H172" i="29"/>
  <c r="H174" i="29"/>
  <c r="B1318" i="106" s="1"/>
  <c r="D1318" i="106" s="1"/>
  <c r="B2823" i="106"/>
  <c r="D2823" i="106"/>
  <c r="J90" i="28"/>
  <c r="H352" i="29"/>
  <c r="B3656" i="106" s="1"/>
  <c r="D3656" i="106" s="1"/>
  <c r="K168" i="29"/>
  <c r="K172" i="29"/>
  <c r="E102" i="29"/>
  <c r="B2790" i="106"/>
  <c r="D2790" i="106" s="1"/>
  <c r="J342" i="29"/>
  <c r="B7223" i="106" s="1"/>
  <c r="D7223" i="106"/>
  <c r="G342" i="29"/>
  <c r="B7220" i="106"/>
  <c r="D7220" i="106" s="1"/>
  <c r="K137" i="29"/>
  <c r="K84" i="29"/>
  <c r="B79" i="36"/>
  <c r="B77" i="36"/>
  <c r="D18" i="7"/>
  <c r="B4105" i="106" s="1"/>
  <c r="D4105" i="106"/>
  <c r="F107" i="34"/>
  <c r="J173" i="5"/>
  <c r="F95" i="34"/>
  <c r="D14" i="7"/>
  <c r="B1770" i="106" s="1"/>
  <c r="D1770" i="106"/>
  <c r="C5" i="4"/>
  <c r="B3405" i="106" s="1"/>
  <c r="D3405" i="106" s="1"/>
  <c r="B6840" i="106"/>
  <c r="D6840" i="106"/>
  <c r="D172" i="5"/>
  <c r="B5412" i="106"/>
  <c r="D5412" i="106" s="1"/>
  <c r="B5618" i="106"/>
  <c r="D5618" i="106" s="1"/>
  <c r="F16" i="11"/>
  <c r="B2031" i="106"/>
  <c r="D2031" i="106" s="1"/>
  <c r="F48" i="34"/>
  <c r="F40" i="34"/>
  <c r="B7200" i="106"/>
  <c r="D7200" i="106" s="1"/>
  <c r="D342" i="29"/>
  <c r="B7217" i="106" s="1"/>
  <c r="D7217" i="106"/>
  <c r="B7144" i="106"/>
  <c r="D7144" i="106"/>
  <c r="K330" i="29"/>
  <c r="B6901" i="106"/>
  <c r="D6901" i="106" s="1"/>
  <c r="F51" i="34"/>
  <c r="B6885" i="106"/>
  <c r="D6885" i="106"/>
  <c r="F43" i="34"/>
  <c r="B7211" i="106"/>
  <c r="D7211" i="106" s="1"/>
  <c r="K340" i="29"/>
  <c r="B6893" i="106"/>
  <c r="D6893" i="106" s="1"/>
  <c r="F47" i="34"/>
  <c r="B6877" i="106"/>
  <c r="D6877" i="106"/>
  <c r="F39" i="34"/>
  <c r="B3703" i="106"/>
  <c r="D3703" i="106" s="1"/>
  <c r="K362" i="29"/>
  <c r="D352" i="29"/>
  <c r="D367" i="29"/>
  <c r="B3629" i="106" s="1"/>
  <c r="D3629" i="106"/>
  <c r="I76" i="4"/>
  <c r="L41" i="3"/>
  <c r="I41" i="3"/>
  <c r="K16" i="11"/>
  <c r="H312" i="29"/>
  <c r="B1554" i="106"/>
  <c r="D1554" i="106" s="1"/>
  <c r="E312" i="29"/>
  <c r="B1536" i="106" s="1"/>
  <c r="D1536" i="106" s="1"/>
  <c r="D312" i="29"/>
  <c r="B1530" i="106"/>
  <c r="D1530" i="106" s="1"/>
  <c r="B1512" i="106"/>
  <c r="D1512" i="106" s="1"/>
  <c r="K293" i="29"/>
  <c r="K229" i="29"/>
  <c r="B1352" i="106"/>
  <c r="D1352" i="106" s="1"/>
  <c r="E210" i="29"/>
  <c r="B1353" i="106" s="1"/>
  <c r="D1353" i="106" s="1"/>
  <c r="B1264" i="106"/>
  <c r="D1264" i="106"/>
  <c r="H129" i="29"/>
  <c r="B1266" i="106"/>
  <c r="D1266" i="106" s="1"/>
  <c r="B1239" i="106"/>
  <c r="D1239" i="106" s="1"/>
  <c r="E129" i="29"/>
  <c r="B1146" i="106"/>
  <c r="D1146" i="106"/>
  <c r="K110" i="29"/>
  <c r="B122" i="106"/>
  <c r="D122" i="106" s="1"/>
  <c r="D41" i="3"/>
  <c r="E17" i="145"/>
  <c r="G17" i="145" s="1"/>
  <c r="B1134" i="106"/>
  <c r="D1134" i="106" s="1"/>
  <c r="B7759" i="106"/>
  <c r="D7759" i="106" s="1"/>
  <c r="B1339" i="106"/>
  <c r="D1339" i="106" s="1"/>
  <c r="C210" i="29"/>
  <c r="B1340" i="106" s="1"/>
  <c r="D1340" i="106"/>
  <c r="B1225" i="106"/>
  <c r="D1225" i="106"/>
  <c r="C151" i="29"/>
  <c r="B1226" i="106"/>
  <c r="D1226" i="106" s="1"/>
  <c r="B169" i="106"/>
  <c r="D169" i="106" s="1"/>
  <c r="F41" i="3"/>
  <c r="B171" i="106" s="1"/>
  <c r="D171" i="106" s="1"/>
  <c r="E16" i="145"/>
  <c r="G16" i="145" s="1"/>
  <c r="B1131" i="106"/>
  <c r="D1131" i="106" s="1"/>
  <c r="L3" i="11"/>
  <c r="B7596" i="106" s="1"/>
  <c r="L9" i="11"/>
  <c r="B7614" i="106" s="1"/>
  <c r="L10" i="11"/>
  <c r="B2058" i="106" s="1"/>
  <c r="D2058" i="106"/>
  <c r="D10" i="7"/>
  <c r="B1765" i="106"/>
  <c r="D1765" i="106" s="1"/>
  <c r="D16" i="7"/>
  <c r="B3447" i="106" s="1"/>
  <c r="D3447" i="106"/>
  <c r="D8" i="7"/>
  <c r="B1764" i="106" s="1"/>
  <c r="D1764" i="106" s="1"/>
  <c r="B4435" i="106"/>
  <c r="D4435" i="106"/>
  <c r="I7" i="4"/>
  <c r="B4444" i="106"/>
  <c r="D4444" i="106" s="1"/>
  <c r="F273" i="5"/>
  <c r="D4397" i="106"/>
  <c r="B4950" i="106"/>
  <c r="D4950" i="106"/>
  <c r="L102" i="29"/>
  <c r="B1116" i="106"/>
  <c r="D1116" i="106" s="1"/>
  <c r="K47" i="29"/>
  <c r="G22" i="108" s="1"/>
  <c r="B7600" i="106"/>
  <c r="L6" i="11"/>
  <c r="B7605" i="106"/>
  <c r="E273" i="5"/>
  <c r="B6835" i="106"/>
  <c r="D6835" i="106"/>
  <c r="B4398" i="106"/>
  <c r="D4398" i="106" s="1"/>
  <c r="B5537" i="106"/>
  <c r="D5537" i="106" s="1"/>
  <c r="E173" i="5"/>
  <c r="B5544" i="106" s="1"/>
  <c r="D5544" i="106" s="1"/>
  <c r="I109" i="5"/>
  <c r="L279" i="29"/>
  <c r="L74" i="29"/>
  <c r="L114" i="29" s="1"/>
  <c r="B720" i="106"/>
  <c r="D720" i="106" s="1"/>
  <c r="B7618" i="106"/>
  <c r="L14" i="11"/>
  <c r="B7623" i="106"/>
  <c r="B7230" i="106"/>
  <c r="D7230" i="106"/>
  <c r="I352" i="29"/>
  <c r="I367" i="29"/>
  <c r="B7244" i="106" s="1"/>
  <c r="D7244" i="106" s="1"/>
  <c r="B7202" i="106"/>
  <c r="D7202" i="106"/>
  <c r="F342" i="29"/>
  <c r="B7219" i="106"/>
  <c r="D7219" i="106" s="1"/>
  <c r="B7503" i="106"/>
  <c r="B7531" i="106"/>
  <c r="B7214" i="106"/>
  <c r="D7214" i="106" s="1"/>
  <c r="B7201" i="106"/>
  <c r="D7201" i="106" s="1"/>
  <c r="E342" i="29"/>
  <c r="B7218" i="106" s="1"/>
  <c r="D7218" i="106" s="1"/>
  <c r="B6917" i="106"/>
  <c r="D6917" i="106"/>
  <c r="J74" i="29"/>
  <c r="D273" i="5"/>
  <c r="B5501" i="106" s="1"/>
  <c r="D5501" i="106"/>
  <c r="D7246" i="106"/>
  <c r="J312" i="29"/>
  <c r="B7117" i="106"/>
  <c r="D7117" i="106" s="1"/>
  <c r="I312" i="29"/>
  <c r="B7116" i="106" s="1"/>
  <c r="D7116" i="106" s="1"/>
  <c r="B6916" i="106"/>
  <c r="D6916" i="106"/>
  <c r="I74" i="29"/>
  <c r="I49" i="8"/>
  <c r="B3633" i="106"/>
  <c r="D3633" i="106"/>
  <c r="E352" i="29"/>
  <c r="E367" i="29"/>
  <c r="B3636" i="106" s="1"/>
  <c r="E44" i="4"/>
  <c r="B3235" i="106"/>
  <c r="D3235" i="106" s="1"/>
  <c r="D77" i="4"/>
  <c r="B3238" i="106" s="1"/>
  <c r="D3238" i="106" s="1"/>
  <c r="B3229" i="106"/>
  <c r="D3229" i="106"/>
  <c r="C77" i="4"/>
  <c r="B3232" i="106"/>
  <c r="D3232" i="106" s="1"/>
  <c r="B1977" i="106"/>
  <c r="D1977" i="106" s="1"/>
  <c r="H24" i="12"/>
  <c r="B1867" i="106"/>
  <c r="D1867" i="106"/>
  <c r="F15" i="8"/>
  <c r="K310" i="29"/>
  <c r="B4099" i="106"/>
  <c r="D4099" i="106"/>
  <c r="B1555" i="106"/>
  <c r="D1555" i="106"/>
  <c r="K303" i="29"/>
  <c r="G312" i="29"/>
  <c r="B1548" i="106" s="1"/>
  <c r="D1548" i="106"/>
  <c r="F312" i="29"/>
  <c r="B1542" i="106"/>
  <c r="D1542" i="106" s="1"/>
  <c r="B1523" i="106"/>
  <c r="D1523" i="106" s="1"/>
  <c r="C312" i="29"/>
  <c r="B1524" i="106" s="1"/>
  <c r="D1524" i="106" s="1"/>
  <c r="K277" i="29"/>
  <c r="B1508" i="106"/>
  <c r="D1508" i="106" s="1"/>
  <c r="K261" i="29"/>
  <c r="B1491" i="106" s="1"/>
  <c r="D1491" i="106" s="1"/>
  <c r="K243" i="29"/>
  <c r="B1485" i="106"/>
  <c r="D1485" i="106" s="1"/>
  <c r="B1475" i="106"/>
  <c r="D1475" i="106" s="1"/>
  <c r="K238" i="29"/>
  <c r="K204" i="29"/>
  <c r="B2842" i="106"/>
  <c r="D2842" i="106" s="1"/>
  <c r="B1127" i="106"/>
  <c r="D1127" i="106" s="1"/>
  <c r="K65" i="29"/>
  <c r="B1133" i="106" s="1"/>
  <c r="D1133" i="106" s="1"/>
  <c r="B1123" i="106"/>
  <c r="D1123" i="106"/>
  <c r="K57" i="29"/>
  <c r="B3640" i="106"/>
  <c r="D3640" i="106" s="1"/>
  <c r="F352" i="29"/>
  <c r="B3296" i="106"/>
  <c r="D3296" i="106" s="1"/>
  <c r="G77" i="4"/>
  <c r="B3261" i="106" s="1"/>
  <c r="D3261" i="106" s="1"/>
  <c r="L12" i="11"/>
  <c r="B2059" i="106"/>
  <c r="D2059" i="106" s="1"/>
  <c r="L8" i="11"/>
  <c r="B2057" i="106" s="1"/>
  <c r="D2057" i="106" s="1"/>
  <c r="G24" i="12"/>
  <c r="B1492" i="106"/>
  <c r="D1492" i="106" s="1"/>
  <c r="K270" i="29"/>
  <c r="B1500" i="106" s="1"/>
  <c r="D1500" i="106" s="1"/>
  <c r="K257" i="29"/>
  <c r="B1488" i="106"/>
  <c r="D1488" i="106" s="1"/>
  <c r="B1417" i="106"/>
  <c r="D1417" i="106" s="1"/>
  <c r="D279" i="29"/>
  <c r="D295" i="29" s="1"/>
  <c r="H196" i="29"/>
  <c r="H210" i="29" s="1"/>
  <c r="B1376" i="106" s="1"/>
  <c r="D1376" i="106" s="1"/>
  <c r="B2828" i="106"/>
  <c r="D2828" i="106"/>
  <c r="B1328" i="106"/>
  <c r="D1328" i="106"/>
  <c r="B2986" i="106"/>
  <c r="D2986" i="106"/>
  <c r="B1256" i="106"/>
  <c r="D1256" i="106"/>
  <c r="G129" i="29"/>
  <c r="K100" i="29"/>
  <c r="B7013" i="106" s="1"/>
  <c r="D7013" i="106" s="1"/>
  <c r="B2088" i="106"/>
  <c r="D2088" i="106"/>
  <c r="B1135" i="106"/>
  <c r="D1135" i="106"/>
  <c r="K72" i="29"/>
  <c r="B1141" i="106"/>
  <c r="D1141" i="106" s="1"/>
  <c r="B1021" i="106"/>
  <c r="D1021" i="106" s="1"/>
  <c r="H74" i="29"/>
  <c r="B847" i="106"/>
  <c r="D847" i="106"/>
  <c r="E74" i="29"/>
  <c r="E39" i="108"/>
  <c r="B1144" i="106"/>
  <c r="D1144" i="106"/>
  <c r="K194" i="29"/>
  <c r="B1358" i="106"/>
  <c r="D1358" i="106" s="1"/>
  <c r="F210" i="29"/>
  <c r="B1359" i="106" s="1"/>
  <c r="D1359" i="106" s="1"/>
  <c r="B1345" i="106"/>
  <c r="D1345" i="106"/>
  <c r="D210" i="29"/>
  <c r="B1346" i="106"/>
  <c r="D1346" i="106" s="1"/>
  <c r="B1283" i="106"/>
  <c r="D1283" i="106" s="1"/>
  <c r="K147" i="29"/>
  <c r="K149" i="29" s="1"/>
  <c r="B1275" i="106"/>
  <c r="D1275" i="106"/>
  <c r="K127" i="29"/>
  <c r="B1279" i="106"/>
  <c r="D1279" i="106" s="1"/>
  <c r="B1247" i="106"/>
  <c r="D1247" i="106" s="1"/>
  <c r="F129" i="29"/>
  <c r="B1249" i="106" s="1"/>
  <c r="B1231" i="106"/>
  <c r="D1231" i="106"/>
  <c r="D129" i="29"/>
  <c r="B1109" i="106"/>
  <c r="D1109" i="106" s="1"/>
  <c r="K42" i="29"/>
  <c r="H102" i="29"/>
  <c r="B1047" i="106"/>
  <c r="D1047" i="106" s="1"/>
  <c r="G74" i="29"/>
  <c r="B905" i="106"/>
  <c r="D905" i="106"/>
  <c r="F74" i="29"/>
  <c r="D74" i="29"/>
  <c r="B211" i="106"/>
  <c r="D211" i="106"/>
  <c r="H41" i="3"/>
  <c r="B188" i="106"/>
  <c r="D188" i="106" s="1"/>
  <c r="G41" i="3"/>
  <c r="B190" i="106" s="1"/>
  <c r="D190" i="106" s="1"/>
  <c r="B139" i="106"/>
  <c r="D139" i="106"/>
  <c r="E41" i="3"/>
  <c r="L151" i="29"/>
  <c r="C273" i="5"/>
  <c r="J24" i="12"/>
  <c r="B7732" i="106" s="1"/>
  <c r="D7732" i="106" s="1"/>
  <c r="B7730" i="106"/>
  <c r="D7730" i="106"/>
  <c r="B7270" i="106"/>
  <c r="N23" i="3"/>
  <c r="B284" i="106" s="1"/>
  <c r="D284" i="106" s="1"/>
  <c r="D41" i="108"/>
  <c r="E43" i="108"/>
  <c r="B1381" i="106"/>
  <c r="D1381" i="106"/>
  <c r="B3628" i="106"/>
  <c r="D3628" i="106"/>
  <c r="F41" i="108"/>
  <c r="G43" i="108"/>
  <c r="B7733" i="106"/>
  <c r="D7733" i="106"/>
  <c r="K26" i="12"/>
  <c r="B7743" i="106"/>
  <c r="D7743" i="106" s="1"/>
  <c r="J151" i="29"/>
  <c r="B7052" i="106" s="1"/>
  <c r="D7052" i="106"/>
  <c r="B1879" i="106"/>
  <c r="D1879" i="106"/>
  <c r="H22" i="37"/>
  <c r="H77" i="4"/>
  <c r="B3299" i="106"/>
  <c r="D3299" i="106" s="1"/>
  <c r="B5527" i="106"/>
  <c r="D5527" i="106" s="1"/>
  <c r="K77" i="4"/>
  <c r="B3587" i="106"/>
  <c r="D3587" i="106" s="1"/>
  <c r="D44" i="36"/>
  <c r="H367" i="29"/>
  <c r="B3660" i="106" s="1"/>
  <c r="D3660" i="106" s="1"/>
  <c r="B1365" i="106"/>
  <c r="D1365" i="106" s="1"/>
  <c r="F65" i="34"/>
  <c r="B7071" i="106"/>
  <c r="D7071" i="106"/>
  <c r="F66" i="34"/>
  <c r="H151" i="29"/>
  <c r="B1273" i="106" s="1"/>
  <c r="D1273" i="106" s="1"/>
  <c r="B1317" i="106"/>
  <c r="D1317" i="106"/>
  <c r="B5906" i="106"/>
  <c r="D5906" i="106" s="1"/>
  <c r="H6" i="4"/>
  <c r="B2656" i="106" s="1"/>
  <c r="D2656" i="106" s="1"/>
  <c r="B3670" i="106"/>
  <c r="D3670" i="106" s="1"/>
  <c r="K352" i="29"/>
  <c r="B3568" i="106"/>
  <c r="D3568" i="106" s="1"/>
  <c r="D52" i="36"/>
  <c r="B7760" i="106"/>
  <c r="D7760" i="106" s="1"/>
  <c r="D24" i="36"/>
  <c r="K102" i="29"/>
  <c r="B1145" i="106" s="1"/>
  <c r="D1145" i="106" s="1"/>
  <c r="B2913" i="106"/>
  <c r="D2913" i="106" s="1"/>
  <c r="D50" i="36"/>
  <c r="B3318" i="106"/>
  <c r="D3318" i="106"/>
  <c r="I77" i="4"/>
  <c r="B3319" i="106"/>
  <c r="D3319" i="106" s="1"/>
  <c r="B3674" i="106"/>
  <c r="D3674" i="106" s="1"/>
  <c r="B3573" i="106"/>
  <c r="D3573" i="106" s="1"/>
  <c r="D173" i="5"/>
  <c r="B1151" i="106"/>
  <c r="D1151" i="106" s="1"/>
  <c r="K112" i="29"/>
  <c r="B1474" i="106"/>
  <c r="D1474" i="106" s="1"/>
  <c r="G12" i="4"/>
  <c r="B2607" i="106" s="1"/>
  <c r="D2607" i="106"/>
  <c r="B7207" i="106"/>
  <c r="D7207" i="106" s="1"/>
  <c r="J13" i="4"/>
  <c r="B7042" i="106" s="1"/>
  <c r="D7042" i="106"/>
  <c r="B6397" i="106"/>
  <c r="D6397" i="106"/>
  <c r="J6" i="4"/>
  <c r="B6221" i="106"/>
  <c r="D6221" i="106" s="1"/>
  <c r="B5320" i="106"/>
  <c r="D5320" i="106"/>
  <c r="C274" i="5"/>
  <c r="B929" i="106"/>
  <c r="D929" i="106" s="1"/>
  <c r="F114" i="29"/>
  <c r="B931" i="106" s="1"/>
  <c r="D931" i="106" s="1"/>
  <c r="G21" i="108"/>
  <c r="D151" i="29"/>
  <c r="B1234" i="106"/>
  <c r="D1234" i="106" s="1"/>
  <c r="B1233" i="106"/>
  <c r="D1233" i="106" s="1"/>
  <c r="F151" i="29"/>
  <c r="B1250" i="106" s="1"/>
  <c r="D1250" i="106"/>
  <c r="D1249" i="106"/>
  <c r="B7048" i="106"/>
  <c r="D7048" i="106" s="1"/>
  <c r="K196" i="29"/>
  <c r="B2837" i="106"/>
  <c r="D2837" i="106"/>
  <c r="G151" i="29"/>
  <c r="F58" i="34"/>
  <c r="B1258" i="106"/>
  <c r="D1258" i="106"/>
  <c r="B1446" i="106"/>
  <c r="D1446" i="106" s="1"/>
  <c r="B1448" i="106"/>
  <c r="D1448" i="106" s="1"/>
  <c r="B1125" i="106"/>
  <c r="D1125" i="106" s="1"/>
  <c r="G24" i="108"/>
  <c r="E24" i="108"/>
  <c r="K129" i="29"/>
  <c r="K208" i="29"/>
  <c r="B4157" i="106"/>
  <c r="D4157" i="106" s="1"/>
  <c r="K312" i="29"/>
  <c r="B1560" i="106" s="1"/>
  <c r="D1560" i="106"/>
  <c r="B1559" i="106"/>
  <c r="D1559" i="106"/>
  <c r="H13" i="4"/>
  <c r="B1875" i="106"/>
  <c r="D1875" i="106" s="1"/>
  <c r="F22" i="37"/>
  <c r="B3274" i="106"/>
  <c r="D3274" i="106" s="1"/>
  <c r="E77" i="4"/>
  <c r="B3277" i="106" s="1"/>
  <c r="D3277" i="106"/>
  <c r="B6977" i="106"/>
  <c r="D6977" i="106"/>
  <c r="I114" i="29"/>
  <c r="B6026" i="106"/>
  <c r="D6026" i="106" s="1"/>
  <c r="I4" i="4"/>
  <c r="J26" i="12"/>
  <c r="B7742" i="106" s="1"/>
  <c r="D7742" i="106" s="1"/>
  <c r="B141" i="106"/>
  <c r="D141" i="106"/>
  <c r="D46" i="36"/>
  <c r="D48" i="36"/>
  <c r="B213" i="106"/>
  <c r="D213" i="106"/>
  <c r="D49" i="36"/>
  <c r="B813" i="106"/>
  <c r="D813" i="106" s="1"/>
  <c r="D114" i="29"/>
  <c r="B815" i="106" s="1"/>
  <c r="D815" i="106"/>
  <c r="E114" i="29"/>
  <c r="B873" i="106"/>
  <c r="D873" i="106" s="1"/>
  <c r="B871" i="106"/>
  <c r="D871" i="106" s="1"/>
  <c r="B1045" i="106"/>
  <c r="D1045" i="106" s="1"/>
  <c r="H114" i="29"/>
  <c r="B1054" i="106" s="1"/>
  <c r="D1054" i="106"/>
  <c r="B2830" i="106"/>
  <c r="D2830" i="106" s="1"/>
  <c r="B1958" i="106"/>
  <c r="D1958" i="106" s="1"/>
  <c r="G26" i="12"/>
  <c r="B7739" i="106" s="1"/>
  <c r="D7739" i="106" s="1"/>
  <c r="B1481" i="106"/>
  <c r="D1481" i="106" s="1"/>
  <c r="B2102" i="106"/>
  <c r="D2102" i="106" s="1"/>
  <c r="H15" i="4"/>
  <c r="D3636" i="106"/>
  <c r="B3635" i="106"/>
  <c r="D3635" i="106"/>
  <c r="J114" i="29"/>
  <c r="B7021" i="106" s="1"/>
  <c r="D7021" i="106" s="1"/>
  <c r="B6978" i="106"/>
  <c r="D6978" i="106"/>
  <c r="B7234" i="106"/>
  <c r="D7234" i="106"/>
  <c r="B1119" i="106"/>
  <c r="D1119" i="106" s="1"/>
  <c r="E22" i="108"/>
  <c r="B7298" i="106"/>
  <c r="B7299" i="106"/>
  <c r="K13" i="4"/>
  <c r="B3672" i="106"/>
  <c r="D3672" i="106"/>
  <c r="B7019" i="106"/>
  <c r="D7019" i="106"/>
  <c r="C16" i="4"/>
  <c r="B2560" i="106"/>
  <c r="D2560" i="106" s="1"/>
  <c r="B5421" i="106"/>
  <c r="D5421" i="106" s="1"/>
  <c r="D6" i="4"/>
  <c r="B2566" i="106" s="1"/>
  <c r="D2566" i="106" s="1"/>
  <c r="B1259" i="106"/>
  <c r="D1259" i="106"/>
  <c r="B5326" i="106"/>
  <c r="D5326" i="106"/>
  <c r="C7" i="4"/>
  <c r="B3225" i="106"/>
  <c r="D3225" i="106" s="1"/>
  <c r="B7020" i="106"/>
  <c r="D7020" i="106"/>
  <c r="F55" i="34"/>
  <c r="B2659" i="106"/>
  <c r="D2659" i="106"/>
  <c r="B1387" i="106"/>
  <c r="D1387" i="106" s="1"/>
  <c r="F16" i="4"/>
  <c r="B2599" i="106" s="1"/>
  <c r="D2599" i="106" s="1"/>
  <c r="B1382" i="106"/>
  <c r="D1382" i="106"/>
  <c r="F63" i="34"/>
  <c r="F15" i="4"/>
  <c r="K210" i="29"/>
  <c r="F11" i="34"/>
  <c r="B1287" i="106"/>
  <c r="D1287" i="106"/>
  <c r="D16" i="4"/>
  <c r="B2572" i="106"/>
  <c r="D2572" i="106" s="1"/>
  <c r="B1388" i="106"/>
  <c r="D1388" i="106"/>
  <c r="B2554" i="106"/>
  <c r="D2554" i="106" s="1"/>
  <c r="B2660" i="106" l="1"/>
  <c r="D2660" i="106" s="1"/>
  <c r="H17" i="4"/>
  <c r="B5677" i="106"/>
  <c r="D5677" i="106" s="1"/>
  <c r="F130" i="34"/>
  <c r="B5425" i="106"/>
  <c r="D5425" i="106" s="1"/>
  <c r="F127" i="34"/>
  <c r="D274" i="5"/>
  <c r="B5562" i="106"/>
  <c r="D5562" i="106" s="1"/>
  <c r="F109" i="5"/>
  <c r="B5987" i="106"/>
  <c r="D5987" i="106" s="1"/>
  <c r="K109" i="5"/>
  <c r="B5725" i="106"/>
  <c r="D5725" i="106" s="1"/>
  <c r="G109" i="5"/>
  <c r="B731" i="106"/>
  <c r="D731" i="106" s="1"/>
  <c r="C74" i="29"/>
  <c r="B1752" i="106"/>
  <c r="D1752" i="106" s="1"/>
  <c r="D11" i="7"/>
  <c r="B1768" i="106" s="1"/>
  <c r="D1768" i="106" s="1"/>
  <c r="B1744" i="106"/>
  <c r="D1744" i="106" s="1"/>
  <c r="B19" i="7"/>
  <c r="B1759" i="106" s="1"/>
  <c r="D1759" i="106" s="1"/>
  <c r="D4" i="7"/>
  <c r="F161" i="34"/>
  <c r="B2598" i="106"/>
  <c r="D2598" i="106" s="1"/>
  <c r="F17" i="4"/>
  <c r="E6" i="4"/>
  <c r="B2631" i="106" s="1"/>
  <c r="D2631" i="106" s="1"/>
  <c r="B1281" i="106"/>
  <c r="D1281" i="106" s="1"/>
  <c r="D13" i="4"/>
  <c r="D47" i="36"/>
  <c r="B1115" i="106"/>
  <c r="D1115" i="106" s="1"/>
  <c r="E21" i="108"/>
  <c r="B2055" i="106"/>
  <c r="D2055" i="106" s="1"/>
  <c r="L16" i="11"/>
  <c r="B2061" i="106" s="1"/>
  <c r="D2061" i="106" s="1"/>
  <c r="B2917" i="106"/>
  <c r="D2917" i="106" s="1"/>
  <c r="D53" i="36"/>
  <c r="J16" i="4"/>
  <c r="B7215" i="106"/>
  <c r="D7215" i="106" s="1"/>
  <c r="K342" i="29"/>
  <c r="J109" i="5"/>
  <c r="C109" i="5"/>
  <c r="C367" i="29"/>
  <c r="B3622" i="106" s="1"/>
  <c r="D3622" i="106" s="1"/>
  <c r="B3621" i="106"/>
  <c r="D3621" i="106" s="1"/>
  <c r="F73" i="34"/>
  <c r="B3724" i="106"/>
  <c r="D3724" i="106" s="1"/>
  <c r="G15" i="4"/>
  <c r="B6032" i="106" s="1"/>
  <c r="D6032" i="106" s="1"/>
  <c r="F131" i="34"/>
  <c r="B3572" i="106"/>
  <c r="D3572" i="106" s="1"/>
  <c r="F53" i="34"/>
  <c r="C15" i="4"/>
  <c r="B2559" i="106" s="1"/>
  <c r="D2559" i="106" s="1"/>
  <c r="F367" i="29"/>
  <c r="B3643" i="106" s="1"/>
  <c r="D3643" i="106" s="1"/>
  <c r="B3642" i="106"/>
  <c r="D3642" i="106" s="1"/>
  <c r="B5713" i="106"/>
  <c r="D5713" i="106" s="1"/>
  <c r="F274" i="5"/>
  <c r="B124" i="106"/>
  <c r="D124" i="106" s="1"/>
  <c r="D45" i="36"/>
  <c r="B3676" i="106"/>
  <c r="D3676" i="106" s="1"/>
  <c r="K365" i="29"/>
  <c r="E4" i="4"/>
  <c r="B7037" i="106"/>
  <c r="D7037" i="106" s="1"/>
  <c r="I151" i="29"/>
  <c r="H273" i="5"/>
  <c r="B6838" i="106"/>
  <c r="D6838" i="106" s="1"/>
  <c r="B5178" i="106"/>
  <c r="D5178" i="106" s="1"/>
  <c r="F111" i="34"/>
  <c r="C172" i="5"/>
  <c r="B5752" i="106"/>
  <c r="D5752" i="106" s="1"/>
  <c r="F106" i="34"/>
  <c r="G172" i="5"/>
  <c r="B5592" i="106"/>
  <c r="D5592" i="106" s="1"/>
  <c r="F5" i="4"/>
  <c r="B3408" i="106" s="1"/>
  <c r="D3408" i="106" s="1"/>
  <c r="L295" i="29"/>
  <c r="B1121" i="106"/>
  <c r="D1121" i="106" s="1"/>
  <c r="K53" i="29"/>
  <c r="K74" i="29" s="1"/>
  <c r="E12" i="145"/>
  <c r="B1093" i="106"/>
  <c r="D1093" i="106" s="1"/>
  <c r="K33" i="29"/>
  <c r="B1747" i="106"/>
  <c r="D1747" i="106" s="1"/>
  <c r="D7" i="7"/>
  <c r="B1763" i="106" s="1"/>
  <c r="D1763" i="106" s="1"/>
  <c r="A7248" i="106"/>
  <c r="D7247" i="106"/>
  <c r="B987" i="106"/>
  <c r="D987" i="106" s="1"/>
  <c r="G114" i="29"/>
  <c r="K279" i="29"/>
  <c r="B1983" i="106"/>
  <c r="D1983" i="106" s="1"/>
  <c r="H26" i="12"/>
  <c r="B7740" i="106" s="1"/>
  <c r="D7740" i="106" s="1"/>
  <c r="B4171" i="106"/>
  <c r="D4171" i="106" s="1"/>
  <c r="N36" i="3"/>
  <c r="B7747" i="106"/>
  <c r="D7747" i="106" s="1"/>
  <c r="E274" i="5"/>
  <c r="B1241" i="106"/>
  <c r="D1241" i="106" s="1"/>
  <c r="E151" i="29"/>
  <c r="B1242" i="106" s="1"/>
  <c r="D1242" i="106" s="1"/>
  <c r="B1515" i="106"/>
  <c r="D1515" i="106" s="1"/>
  <c r="G16" i="4"/>
  <c r="B2611" i="106" s="1"/>
  <c r="D2611" i="106" s="1"/>
  <c r="K139" i="29"/>
  <c r="B2093" i="106"/>
  <c r="D2093" i="106" s="1"/>
  <c r="B1331" i="106"/>
  <c r="D1331" i="106" s="1"/>
  <c r="E16" i="4"/>
  <c r="B2634" i="106" s="1"/>
  <c r="D2634" i="106" s="1"/>
  <c r="B6216" i="106"/>
  <c r="D6216" i="106" s="1"/>
  <c r="D51" i="36"/>
  <c r="B6025" i="106"/>
  <c r="D6025" i="106" s="1"/>
  <c r="H4" i="4"/>
  <c r="J273" i="5"/>
  <c r="B6839" i="106"/>
  <c r="D6839" i="106" s="1"/>
  <c r="B6409" i="106"/>
  <c r="D6409" i="106" s="1"/>
  <c r="F129" i="34"/>
  <c r="G273" i="5"/>
  <c r="B4951" i="106"/>
  <c r="D4951" i="106" s="1"/>
  <c r="K274" i="5"/>
  <c r="B5614" i="106"/>
  <c r="D5614" i="106" s="1"/>
  <c r="F172" i="5"/>
  <c r="F105" i="34"/>
  <c r="F178" i="34" s="1"/>
  <c r="I26" i="12"/>
  <c r="B7741" i="106" s="1"/>
  <c r="D7741" i="106" s="1"/>
  <c r="B1996" i="106"/>
  <c r="D1996" i="106" s="1"/>
  <c r="B5000" i="106"/>
  <c r="D5000" i="106" s="1"/>
  <c r="K173" i="5"/>
  <c r="B4363" i="106"/>
  <c r="D4363" i="106" s="1"/>
  <c r="I173" i="5"/>
  <c r="B5339" i="106"/>
  <c r="D5339" i="106" s="1"/>
  <c r="D109" i="5"/>
  <c r="B4102" i="106"/>
  <c r="D4102" i="106" s="1"/>
  <c r="D17" i="7"/>
  <c r="B4104" i="106" s="1"/>
  <c r="D4104" i="106" s="1"/>
  <c r="B3725" i="106"/>
  <c r="D3725" i="106" s="1"/>
  <c r="D13" i="7"/>
  <c r="B3726" i="106" s="1"/>
  <c r="D3726" i="106" s="1"/>
  <c r="D6" i="7"/>
  <c r="B1762" i="106" s="1"/>
  <c r="D1762" i="106" s="1"/>
  <c r="B1746" i="106"/>
  <c r="D1746" i="106" s="1"/>
  <c r="J19" i="145"/>
  <c r="D82" i="36" s="1"/>
  <c r="K160" i="29"/>
  <c r="F24" i="181"/>
  <c r="B7798" i="106" s="1"/>
  <c r="D7798" i="106" s="1"/>
  <c r="G17" i="181"/>
  <c r="G24" i="181" s="1"/>
  <c r="E24" i="181"/>
  <c r="B7797" i="106"/>
  <c r="D7797" i="106" s="1"/>
  <c r="C13" i="4" l="1"/>
  <c r="B2557" i="106" s="1"/>
  <c r="D2557" i="106" s="1"/>
  <c r="B1143" i="106"/>
  <c r="D1143" i="106" s="1"/>
  <c r="F60" i="34"/>
  <c r="E15" i="4"/>
  <c r="K174" i="29"/>
  <c r="B5356" i="106"/>
  <c r="D5356" i="106" s="1"/>
  <c r="D4" i="4"/>
  <c r="D275" i="5"/>
  <c r="I275" i="5"/>
  <c r="B5946" i="106" s="1"/>
  <c r="D5946" i="106" s="1"/>
  <c r="B4216" i="106"/>
  <c r="D4216" i="106" s="1"/>
  <c r="I6" i="4"/>
  <c r="K6" i="4"/>
  <c r="B3570" i="106" s="1"/>
  <c r="D3570" i="106" s="1"/>
  <c r="B6014" i="106"/>
  <c r="D6014" i="106" s="1"/>
  <c r="B2655" i="106"/>
  <c r="D2655" i="106" s="1"/>
  <c r="B4434" i="106"/>
  <c r="D4434" i="106" s="1"/>
  <c r="E7" i="4"/>
  <c r="B4443" i="106" s="1"/>
  <c r="D4443" i="106" s="1"/>
  <c r="B285" i="106"/>
  <c r="D285" i="106" s="1"/>
  <c r="N37" i="3"/>
  <c r="H37" i="37"/>
  <c r="K295" i="29"/>
  <c r="B1510" i="106"/>
  <c r="D1510" i="106" s="1"/>
  <c r="G13" i="4"/>
  <c r="A7249" i="106"/>
  <c r="D7248" i="106"/>
  <c r="B1108" i="106"/>
  <c r="D1108" i="106" s="1"/>
  <c r="E19" i="108"/>
  <c r="G19" i="108"/>
  <c r="C12" i="4"/>
  <c r="K114" i="29"/>
  <c r="G12" i="145"/>
  <c r="G19" i="145" s="1"/>
  <c r="J20" i="145" s="1"/>
  <c r="E19" i="145"/>
  <c r="B5770" i="106"/>
  <c r="D5770" i="106" s="1"/>
  <c r="G173" i="5"/>
  <c r="F59" i="34"/>
  <c r="B7051" i="106"/>
  <c r="D7051" i="106" s="1"/>
  <c r="F17" i="11"/>
  <c r="E275" i="5"/>
  <c r="B7243" i="106"/>
  <c r="D7243" i="106" s="1"/>
  <c r="K367" i="29"/>
  <c r="B3678" i="106" s="1"/>
  <c r="D3678" i="106" s="1"/>
  <c r="K16" i="4"/>
  <c r="F7" i="4"/>
  <c r="B2594" i="106" s="1"/>
  <c r="D2594" i="106" s="1"/>
  <c r="B5719" i="106"/>
  <c r="D5719" i="106" s="1"/>
  <c r="B5121" i="106"/>
  <c r="D5121" i="106" s="1"/>
  <c r="C4" i="4"/>
  <c r="B2569" i="106"/>
  <c r="D2569" i="106" s="1"/>
  <c r="B1760" i="106"/>
  <c r="D1760" i="106" s="1"/>
  <c r="D19" i="7"/>
  <c r="B1775" i="106" s="1"/>
  <c r="D1775" i="106" s="1"/>
  <c r="B2661" i="106"/>
  <c r="D2661" i="106" s="1"/>
  <c r="H19" i="4"/>
  <c r="B4141" i="106" s="1"/>
  <c r="D4141" i="106" s="1"/>
  <c r="B5644" i="106"/>
  <c r="D5644" i="106" s="1"/>
  <c r="F173" i="5"/>
  <c r="K7" i="4"/>
  <c r="B3718" i="106" s="1"/>
  <c r="D3718" i="106" s="1"/>
  <c r="B6022" i="106"/>
  <c r="D6022" i="106" s="1"/>
  <c r="B5863" i="106"/>
  <c r="D5863" i="106" s="1"/>
  <c r="G274" i="5"/>
  <c r="B7041" i="106"/>
  <c r="D7041" i="106" s="1"/>
  <c r="J274" i="5"/>
  <c r="F57" i="34"/>
  <c r="B1282" i="106"/>
  <c r="D1282" i="106" s="1"/>
  <c r="D15" i="4"/>
  <c r="B2571" i="106" s="1"/>
  <c r="D2571" i="106" s="1"/>
  <c r="K151" i="29"/>
  <c r="B989" i="106"/>
  <c r="D989" i="106" s="1"/>
  <c r="F54" i="34"/>
  <c r="B1122" i="106"/>
  <c r="D1122" i="106" s="1"/>
  <c r="G23" i="108"/>
  <c r="E23" i="108"/>
  <c r="C173" i="5"/>
  <c r="B5214" i="106"/>
  <c r="D5214" i="106" s="1"/>
  <c r="B4441" i="106"/>
  <c r="D4441" i="106" s="1"/>
  <c r="H274" i="5"/>
  <c r="B2630" i="106"/>
  <c r="D2630" i="106" s="1"/>
  <c r="E8" i="4"/>
  <c r="B6352" i="106"/>
  <c r="D6352" i="106" s="1"/>
  <c r="J275" i="5"/>
  <c r="J4" i="4"/>
  <c r="F13" i="34"/>
  <c r="B7224" i="106"/>
  <c r="D7224" i="106" s="1"/>
  <c r="B6226" i="106"/>
  <c r="D6226" i="106" s="1"/>
  <c r="J17" i="4"/>
  <c r="B2600" i="106"/>
  <c r="D2600" i="106" s="1"/>
  <c r="D9" i="146"/>
  <c r="F19" i="4"/>
  <c r="B4139" i="106" s="1"/>
  <c r="D4139" i="106" s="1"/>
  <c r="B755" i="106"/>
  <c r="D755" i="106" s="1"/>
  <c r="C114" i="29"/>
  <c r="B757" i="106" s="1"/>
  <c r="D757" i="106" s="1"/>
  <c r="B6024" i="106"/>
  <c r="D6024" i="106" s="1"/>
  <c r="G4" i="4"/>
  <c r="G275" i="5"/>
  <c r="B6028" i="106"/>
  <c r="D6028" i="106" s="1"/>
  <c r="K4" i="4"/>
  <c r="K275" i="5"/>
  <c r="B5588" i="106"/>
  <c r="D5588" i="106" s="1"/>
  <c r="F275" i="5"/>
  <c r="F4" i="4"/>
  <c r="D7" i="4"/>
  <c r="B5507" i="106"/>
  <c r="D5507" i="106" s="1"/>
  <c r="B7799" i="106"/>
  <c r="D7799" i="106" s="1"/>
  <c r="E40" i="108"/>
  <c r="G40" i="108"/>
  <c r="G41" i="108" s="1"/>
  <c r="G44" i="108" s="1"/>
  <c r="G45" i="108" s="1"/>
  <c r="B2567" i="106" l="1"/>
  <c r="D2567" i="106" s="1"/>
  <c r="B6023" i="106"/>
  <c r="D6023" i="106" s="1"/>
  <c r="K368" i="29"/>
  <c r="B3681" i="106" s="1"/>
  <c r="D3681" i="106" s="1"/>
  <c r="B2603" i="106"/>
  <c r="D2603" i="106" s="1"/>
  <c r="K343" i="29"/>
  <c r="B7225" i="106" s="1"/>
  <c r="D7225" i="106" s="1"/>
  <c r="B7055" i="106"/>
  <c r="D7055" i="106" s="1"/>
  <c r="H7" i="4"/>
  <c r="B5914" i="106"/>
  <c r="D5914" i="106" s="1"/>
  <c r="H275" i="5"/>
  <c r="E41" i="108"/>
  <c r="E44" i="108" s="1"/>
  <c r="E45" i="108" s="1"/>
  <c r="B2591" i="106"/>
  <c r="D2591" i="106" s="1"/>
  <c r="B3569" i="106"/>
  <c r="D3569" i="106" s="1"/>
  <c r="K8" i="4"/>
  <c r="B5870" i="106"/>
  <c r="D5870" i="106" s="1"/>
  <c r="K296" i="29"/>
  <c r="B1518" i="106" s="1"/>
  <c r="D1518" i="106" s="1"/>
  <c r="B6227" i="106"/>
  <c r="D6227" i="106" s="1"/>
  <c r="J19" i="4"/>
  <c r="B6229" i="106" s="1"/>
  <c r="D6229" i="106" s="1"/>
  <c r="B6220" i="106"/>
  <c r="D6220" i="106" s="1"/>
  <c r="C6" i="4"/>
  <c r="B2553" i="106" s="1"/>
  <c r="D2553" i="106" s="1"/>
  <c r="B5223" i="106"/>
  <c r="D5223" i="106" s="1"/>
  <c r="F76" i="34"/>
  <c r="B1288" i="106"/>
  <c r="D1288" i="106" s="1"/>
  <c r="F9" i="34"/>
  <c r="B7054" i="106"/>
  <c r="D7054" i="106" s="1"/>
  <c r="J7" i="4"/>
  <c r="B6222" i="106" s="1"/>
  <c r="D6222" i="106" s="1"/>
  <c r="G7" i="4"/>
  <c r="B2605" i="106" s="1"/>
  <c r="D2605" i="106" s="1"/>
  <c r="B5869" i="106"/>
  <c r="D5869" i="106" s="1"/>
  <c r="B5653" i="106"/>
  <c r="D5653" i="106" s="1"/>
  <c r="F6" i="4"/>
  <c r="B2593" i="106" s="1"/>
  <c r="D2593" i="106" s="1"/>
  <c r="D17" i="4"/>
  <c r="C275" i="5"/>
  <c r="B5552" i="106"/>
  <c r="D5552" i="106" s="1"/>
  <c r="K175" i="29"/>
  <c r="B1333" i="106" s="1"/>
  <c r="D1333" i="106" s="1"/>
  <c r="B5778" i="106"/>
  <c r="D5778" i="106" s="1"/>
  <c r="G6" i="4"/>
  <c r="B2604" i="106" s="1"/>
  <c r="D2604" i="106" s="1"/>
  <c r="B1152" i="106"/>
  <c r="D1152" i="106" s="1"/>
  <c r="F8" i="34"/>
  <c r="A7250" i="106"/>
  <c r="D7249" i="106"/>
  <c r="B4997" i="106"/>
  <c r="D4997" i="106" s="1"/>
  <c r="H32" i="118"/>
  <c r="K32" i="118" s="1"/>
  <c r="O31" i="118" s="1"/>
  <c r="O33" i="118" s="1"/>
  <c r="B5508" i="106"/>
  <c r="D5508" i="106" s="1"/>
  <c r="K152" i="29"/>
  <c r="B1289" i="106" s="1"/>
  <c r="D1289" i="106" s="1"/>
  <c r="B2633" i="106"/>
  <c r="D2633" i="106" s="1"/>
  <c r="E17" i="4"/>
  <c r="K211" i="29"/>
  <c r="B1389" i="106" s="1"/>
  <c r="D1389" i="106" s="1"/>
  <c r="B5720" i="106"/>
  <c r="D5720" i="106" s="1"/>
  <c r="B2632" i="106"/>
  <c r="D2632" i="106" s="1"/>
  <c r="E10" i="4"/>
  <c r="B4124" i="106" s="1"/>
  <c r="D4124" i="106" s="1"/>
  <c r="B2551" i="106"/>
  <c r="D2551" i="106" s="1"/>
  <c r="C8" i="4"/>
  <c r="B3574" i="106"/>
  <c r="D3574" i="106" s="1"/>
  <c r="K17" i="4"/>
  <c r="I17" i="11"/>
  <c r="B7624" i="106"/>
  <c r="B2556" i="106"/>
  <c r="D2556" i="106" s="1"/>
  <c r="C17" i="4"/>
  <c r="B2608" i="106"/>
  <c r="D2608" i="106" s="1"/>
  <c r="G17" i="4"/>
  <c r="F12" i="34"/>
  <c r="B1517" i="106"/>
  <c r="D1517" i="106" s="1"/>
  <c r="N41" i="3"/>
  <c r="B287" i="106"/>
  <c r="D287" i="106" s="1"/>
  <c r="B5011" i="106"/>
  <c r="D5011" i="106" s="1"/>
  <c r="I8" i="4"/>
  <c r="B2564" i="106"/>
  <c r="D2564" i="106" s="1"/>
  <c r="D8" i="4"/>
  <c r="B1332" i="106"/>
  <c r="D1332" i="106" s="1"/>
  <c r="F10" i="34"/>
  <c r="B288" i="106" l="1"/>
  <c r="D288" i="106" s="1"/>
  <c r="D55" i="36"/>
  <c r="B2635" i="106"/>
  <c r="D2635" i="106" s="1"/>
  <c r="E19" i="4"/>
  <c r="B4138" i="106" s="1"/>
  <c r="D4138" i="106" s="1"/>
  <c r="B2568" i="106"/>
  <c r="D2568" i="106" s="1"/>
  <c r="D20" i="4"/>
  <c r="D10" i="4"/>
  <c r="B4123" i="106" s="1"/>
  <c r="D4123" i="106" s="1"/>
  <c r="C8" i="146"/>
  <c r="I10" i="4"/>
  <c r="B4128" i="106" s="1"/>
  <c r="D4128" i="106" s="1"/>
  <c r="E8" i="146"/>
  <c r="E10" i="146" s="1"/>
  <c r="B3226" i="106"/>
  <c r="D3226" i="106" s="1"/>
  <c r="I20" i="4"/>
  <c r="B2612" i="106"/>
  <c r="D2612" i="106" s="1"/>
  <c r="G19" i="4"/>
  <c r="B4140" i="106" s="1"/>
  <c r="D4140" i="106" s="1"/>
  <c r="B9" i="146"/>
  <c r="F16" i="37"/>
  <c r="B2561" i="106"/>
  <c r="D2561" i="106" s="1"/>
  <c r="C19" i="4"/>
  <c r="B4136" i="106" s="1"/>
  <c r="D4136" i="106" s="1"/>
  <c r="H17" i="118"/>
  <c r="B3575" i="106"/>
  <c r="D3575" i="106" s="1"/>
  <c r="K19" i="4"/>
  <c r="B4144" i="106" s="1"/>
  <c r="D4144" i="106" s="1"/>
  <c r="H18" i="118"/>
  <c r="B8" i="146"/>
  <c r="D16" i="37"/>
  <c r="H16" i="37" s="1"/>
  <c r="C10" i="4"/>
  <c r="B4122" i="106" s="1"/>
  <c r="D4122" i="106" s="1"/>
  <c r="B2555" i="106"/>
  <c r="D2555" i="106" s="1"/>
  <c r="C20" i="4"/>
  <c r="E20" i="4"/>
  <c r="A7251" i="106"/>
  <c r="D7250" i="106"/>
  <c r="C9" i="146"/>
  <c r="B2573" i="106"/>
  <c r="D2573" i="106" s="1"/>
  <c r="D19" i="4"/>
  <c r="B4137" i="106" s="1"/>
  <c r="D4137" i="106" s="1"/>
  <c r="J8" i="4"/>
  <c r="B3571" i="106"/>
  <c r="D3571" i="106" s="1"/>
  <c r="K20" i="4"/>
  <c r="K10" i="4"/>
  <c r="B4130" i="106" s="1"/>
  <c r="D4130" i="106" s="1"/>
  <c r="F8" i="4"/>
  <c r="G8" i="4"/>
  <c r="D10" i="171"/>
  <c r="D19" i="171" s="1"/>
  <c r="D32" i="171" s="1"/>
  <c r="D49" i="171" s="1"/>
  <c r="B7625" i="106"/>
  <c r="I18" i="11"/>
  <c r="F14" i="34"/>
  <c r="F77" i="34" s="1"/>
  <c r="B5327" i="106"/>
  <c r="D5327" i="106" s="1"/>
  <c r="K115" i="29"/>
  <c r="B1153" i="106" s="1"/>
  <c r="D1153" i="106" s="1"/>
  <c r="B5915" i="106"/>
  <c r="D5915" i="106" s="1"/>
  <c r="K313" i="29"/>
  <c r="B1561" i="106" s="1"/>
  <c r="D1561" i="106" s="1"/>
  <c r="B2657" i="106"/>
  <c r="D2657" i="106" s="1"/>
  <c r="H8" i="4"/>
  <c r="B2658" i="106" l="1"/>
  <c r="D2658" i="106" s="1"/>
  <c r="H10" i="4"/>
  <c r="B4127" i="106" s="1"/>
  <c r="D4127" i="106" s="1"/>
  <c r="H20" i="4"/>
  <c r="G10" i="4"/>
  <c r="B4126" i="106" s="1"/>
  <c r="D4126" i="106" s="1"/>
  <c r="B2606" i="106"/>
  <c r="D2606" i="106" s="1"/>
  <c r="G20" i="4"/>
  <c r="A7252" i="106"/>
  <c r="D7251" i="106"/>
  <c r="B2562" i="106"/>
  <c r="D2562" i="106" s="1"/>
  <c r="C78" i="4"/>
  <c r="B7631" i="106"/>
  <c r="F180" i="34"/>
  <c r="F10" i="4"/>
  <c r="B4125" i="106" s="1"/>
  <c r="D4125" i="106" s="1"/>
  <c r="F20" i="4"/>
  <c r="B2595" i="106"/>
  <c r="D2595" i="106" s="1"/>
  <c r="D8" i="146"/>
  <c r="D10" i="146" s="1"/>
  <c r="B3576" i="106"/>
  <c r="D3576" i="106" s="1"/>
  <c r="K78" i="4"/>
  <c r="J20" i="4"/>
  <c r="B6223" i="106"/>
  <c r="D6223" i="106" s="1"/>
  <c r="J10" i="4"/>
  <c r="B6225" i="106" s="1"/>
  <c r="D6225" i="106" s="1"/>
  <c r="B2636" i="106"/>
  <c r="D2636" i="106" s="1"/>
  <c r="E78" i="4"/>
  <c r="H13" i="118"/>
  <c r="B10" i="146"/>
  <c r="B3227" i="106"/>
  <c r="D3227" i="106" s="1"/>
  <c r="I78" i="4"/>
  <c r="C10" i="146"/>
  <c r="D78" i="4"/>
  <c r="B2574" i="106"/>
  <c r="D2574" i="106" s="1"/>
  <c r="F79" i="34"/>
  <c r="F179" i="34"/>
  <c r="H25" i="118"/>
  <c r="K24" i="118" s="1"/>
  <c r="O23" i="118" s="1"/>
  <c r="O25" i="118" s="1"/>
  <c r="K17" i="118"/>
  <c r="F9" i="146"/>
  <c r="D81" i="4" l="1"/>
  <c r="B3239" i="106"/>
  <c r="D3239" i="106" s="1"/>
  <c r="I81" i="4"/>
  <c r="B3320" i="106"/>
  <c r="D3320" i="106" s="1"/>
  <c r="O16" i="118"/>
  <c r="K20" i="118"/>
  <c r="J20" i="118"/>
  <c r="F181" i="34"/>
  <c r="F183" i="34" s="1"/>
  <c r="F8" i="146"/>
  <c r="F10" i="146" s="1"/>
  <c r="B3278" i="106"/>
  <c r="D3278" i="106" s="1"/>
  <c r="E81" i="4"/>
  <c r="J78" i="4"/>
  <c r="B6230" i="106"/>
  <c r="D6230" i="106" s="1"/>
  <c r="D7252" i="106"/>
  <c r="A7253" i="106"/>
  <c r="B3588" i="106"/>
  <c r="D3588" i="106" s="1"/>
  <c r="K81" i="4"/>
  <c r="F78" i="4"/>
  <c r="B2601" i="106"/>
  <c r="D2601" i="106" s="1"/>
  <c r="C81" i="4"/>
  <c r="B3233" i="106"/>
  <c r="D3233" i="106" s="1"/>
  <c r="B2613" i="106"/>
  <c r="D2613" i="106" s="1"/>
  <c r="G78" i="4"/>
  <c r="B2662" i="106"/>
  <c r="D2662" i="106" s="1"/>
  <c r="H78" i="4"/>
  <c r="B3300" i="106" l="1"/>
  <c r="D3300" i="106" s="1"/>
  <c r="H81" i="4"/>
  <c r="G81" i="4"/>
  <c r="B3262" i="106"/>
  <c r="D3262" i="106" s="1"/>
  <c r="B3591" i="106"/>
  <c r="D3591" i="106" s="1"/>
  <c r="D65" i="36"/>
  <c r="K82" i="4"/>
  <c r="A7254" i="106"/>
  <c r="D7253" i="106"/>
  <c r="J81" i="4"/>
  <c r="B6263" i="106"/>
  <c r="D6263" i="106" s="1"/>
  <c r="C82" i="4"/>
  <c r="B1630" i="106"/>
  <c r="D1630" i="106" s="1"/>
  <c r="D57" i="36"/>
  <c r="B11" i="146"/>
  <c r="B3256" i="106"/>
  <c r="D3256" i="106" s="1"/>
  <c r="F81" i="4"/>
  <c r="J16" i="37" s="1"/>
  <c r="B4269" i="106" s="1"/>
  <c r="D4269" i="106" s="1"/>
  <c r="E82" i="4"/>
  <c r="D59" i="36"/>
  <c r="B1658" i="106"/>
  <c r="D1658" i="106" s="1"/>
  <c r="O20" i="118"/>
  <c r="O17" i="118"/>
  <c r="D63" i="36"/>
  <c r="E11" i="146"/>
  <c r="I82" i="4"/>
  <c r="B3323" i="106"/>
  <c r="D3323" i="106" s="1"/>
  <c r="B1644" i="106"/>
  <c r="D1644" i="106" s="1"/>
  <c r="D58" i="36"/>
  <c r="D82" i="4"/>
  <c r="C11" i="146"/>
  <c r="B6268" i="106" l="1"/>
  <c r="D6268" i="106" s="1"/>
  <c r="D83" i="4"/>
  <c r="B6277" i="106" s="1"/>
  <c r="D6277" i="106" s="1"/>
  <c r="B6269" i="106"/>
  <c r="D6269" i="106" s="1"/>
  <c r="E83" i="4"/>
  <c r="B6278" i="106" s="1"/>
  <c r="D6278" i="106" s="1"/>
  <c r="H12" i="118"/>
  <c r="K12" i="118" s="1"/>
  <c r="O11" i="118" s="1"/>
  <c r="O13" i="118" s="1"/>
  <c r="O35" i="118" s="1"/>
  <c r="O37" i="118" s="1"/>
  <c r="D64" i="36"/>
  <c r="B6266" i="106"/>
  <c r="D6266" i="106" s="1"/>
  <c r="J82" i="4"/>
  <c r="D7254" i="106"/>
  <c r="A7255" i="106"/>
  <c r="B1700" i="106"/>
  <c r="D1700" i="106" s="1"/>
  <c r="H82" i="4"/>
  <c r="D62" i="36"/>
  <c r="I83" i="4"/>
  <c r="B6282" i="106" s="1"/>
  <c r="D6282" i="106" s="1"/>
  <c r="B6273" i="106"/>
  <c r="D6273" i="106" s="1"/>
  <c r="D11" i="146"/>
  <c r="D60" i="36"/>
  <c r="F82" i="4"/>
  <c r="B1672" i="106"/>
  <c r="D1672" i="106" s="1"/>
  <c r="F11" i="146"/>
  <c r="B6267" i="106"/>
  <c r="D6267" i="106" s="1"/>
  <c r="C83" i="4"/>
  <c r="B6276" i="106" s="1"/>
  <c r="D6276" i="106" s="1"/>
  <c r="K83" i="4"/>
  <c r="B6284" i="106" s="1"/>
  <c r="D6284" i="106" s="1"/>
  <c r="B6275" i="106"/>
  <c r="D6275" i="106" s="1"/>
  <c r="D61" i="36"/>
  <c r="G82" i="4"/>
  <c r="B1686" i="106"/>
  <c r="D1686" i="106" s="1"/>
  <c r="B6271" i="106" l="1"/>
  <c r="D6271" i="106" s="1"/>
  <c r="G83" i="4"/>
  <c r="B6280" i="106" s="1"/>
  <c r="D6280" i="106" s="1"/>
  <c r="D29" i="36"/>
  <c r="J24" i="24" s="1"/>
  <c r="C12" i="146"/>
  <c r="F83" i="4"/>
  <c r="B6279" i="106" s="1"/>
  <c r="D6279" i="106" s="1"/>
  <c r="B6270" i="106"/>
  <c r="D6270" i="106" s="1"/>
  <c r="H83" i="4"/>
  <c r="B6281" i="106" s="1"/>
  <c r="D6281" i="106" s="1"/>
  <c r="B6272" i="106"/>
  <c r="D6272" i="106" s="1"/>
  <c r="A7256" i="106"/>
  <c r="D7255" i="106"/>
  <c r="J83" i="4"/>
  <c r="B6283" i="106" s="1"/>
  <c r="D6283" i="106" s="1"/>
  <c r="B6274" i="106"/>
  <c r="D6274" i="106" s="1"/>
  <c r="D7256" i="106" l="1"/>
  <c r="A7257" i="106"/>
  <c r="D7257" i="106" l="1"/>
  <c r="A7258" i="106"/>
  <c r="D7258" i="106" l="1"/>
  <c r="A7259" i="106"/>
  <c r="A7260" i="106" l="1"/>
  <c r="D7259" i="106"/>
  <c r="D7260" i="106" l="1"/>
  <c r="A7261" i="106"/>
  <c r="A7262" i="106" l="1"/>
  <c r="D7261" i="106"/>
  <c r="A7263" i="106" l="1"/>
  <c r="D7262" i="106"/>
  <c r="A7264" i="106" l="1"/>
  <c r="D7263" i="106"/>
  <c r="A7265" i="106" l="1"/>
  <c r="D7264" i="106"/>
  <c r="D7265" i="106" l="1"/>
  <c r="A7266" i="106"/>
  <c r="D7266" i="106" l="1"/>
  <c r="A7267" i="106"/>
  <c r="D7267" i="106" l="1"/>
  <c r="A7268" i="106"/>
  <c r="D7268" i="106" l="1"/>
  <c r="A7269" i="106"/>
  <c r="D7269" i="106" l="1"/>
  <c r="A7270" i="106"/>
  <c r="D7270" i="106" l="1"/>
  <c r="A7271" i="106"/>
  <c r="A7272" i="106" l="1"/>
  <c r="D7271" i="106"/>
  <c r="D7272" i="106" l="1"/>
  <c r="A7273" i="106"/>
  <c r="A7274" i="106" l="1"/>
  <c r="D7273" i="106"/>
  <c r="D7274" i="106" l="1"/>
  <c r="A7275" i="106"/>
  <c r="A7276" i="106" l="1"/>
  <c r="D7275" i="106"/>
  <c r="D7276" i="106" l="1"/>
  <c r="A7277" i="106"/>
  <c r="A7278" i="106" l="1"/>
  <c r="D7277" i="106"/>
  <c r="D7278" i="106" l="1"/>
  <c r="A7279" i="106"/>
  <c r="A7280" i="106" l="1"/>
  <c r="D7279" i="106"/>
  <c r="D7280" i="106" l="1"/>
  <c r="A7281" i="106"/>
  <c r="A7282" i="106" l="1"/>
  <c r="D7281" i="106"/>
  <c r="D7282" i="106" l="1"/>
  <c r="A7283" i="106"/>
  <c r="A7284" i="106" l="1"/>
  <c r="D7283" i="106"/>
  <c r="D7284" i="106" l="1"/>
  <c r="A7285" i="106"/>
  <c r="A7286" i="106" l="1"/>
  <c r="D7285" i="106"/>
  <c r="D7286" i="106" l="1"/>
  <c r="A7287" i="106"/>
  <c r="A7288" i="106" l="1"/>
  <c r="D7287" i="106"/>
  <c r="D7288" i="106" l="1"/>
  <c r="A7289" i="106"/>
  <c r="A7290" i="106" l="1"/>
  <c r="D7289" i="106"/>
  <c r="D7290" i="106" l="1"/>
  <c r="A7291" i="106"/>
  <c r="A7292" i="106" l="1"/>
  <c r="D7291" i="106"/>
  <c r="D7292" i="106" l="1"/>
  <c r="A7293" i="106"/>
  <c r="A7294" i="106" l="1"/>
  <c r="D7293" i="106"/>
  <c r="D7294" i="106" l="1"/>
  <c r="A7295" i="106"/>
  <c r="A7296" i="106" l="1"/>
  <c r="D7295" i="106"/>
  <c r="D7296" i="106" l="1"/>
  <c r="A7297" i="106"/>
  <c r="A7298" i="106" l="1"/>
  <c r="D7297" i="106"/>
  <c r="D7298" i="106" l="1"/>
  <c r="A7299" i="106"/>
  <c r="D7299" i="106" l="1"/>
  <c r="A7300" i="106"/>
  <c r="D7300" i="106" l="1"/>
  <c r="A7301" i="106"/>
  <c r="D7301" i="106" l="1"/>
  <c r="A7302" i="106"/>
  <c r="D7302" i="106" l="1"/>
  <c r="A7303" i="106"/>
  <c r="D7303" i="106" l="1"/>
  <c r="A7304" i="106"/>
  <c r="D7304" i="106" l="1"/>
  <c r="A7305" i="106"/>
  <c r="D7305" i="106" l="1"/>
  <c r="A7306" i="106"/>
  <c r="D7306" i="106" l="1"/>
  <c r="A7307" i="106"/>
  <c r="D7307" i="106" l="1"/>
  <c r="A7308" i="106"/>
  <c r="D7308" i="106" l="1"/>
  <c r="A7309" i="106"/>
  <c r="D7309" i="106" l="1"/>
  <c r="A7310" i="106"/>
  <c r="D7310" i="106" l="1"/>
  <c r="A7311" i="106"/>
  <c r="D7311" i="106" l="1"/>
  <c r="A7312" i="106"/>
  <c r="D7312" i="106" l="1"/>
  <c r="A7313" i="106"/>
  <c r="D7313" i="106" l="1"/>
  <c r="A7314" i="106"/>
  <c r="D7314" i="106" l="1"/>
  <c r="A7315" i="106"/>
  <c r="D7315" i="106" l="1"/>
  <c r="A7316" i="106"/>
  <c r="D7316" i="106" l="1"/>
  <c r="A7317" i="106"/>
  <c r="D7317" i="106" l="1"/>
  <c r="A7318" i="106"/>
  <c r="D7318" i="106" l="1"/>
  <c r="A7319" i="106"/>
  <c r="D7319" i="106" l="1"/>
  <c r="A7320" i="106"/>
  <c r="D7320" i="106" l="1"/>
  <c r="A7321" i="106"/>
  <c r="D7321" i="106" l="1"/>
  <c r="A7322" i="106"/>
  <c r="D7322" i="106" l="1"/>
  <c r="A7323" i="106"/>
  <c r="D7323" i="106" l="1"/>
  <c r="A7324" i="106"/>
  <c r="D7324" i="106" l="1"/>
  <c r="A7325" i="106"/>
  <c r="D7325" i="106" l="1"/>
  <c r="A7326" i="106"/>
  <c r="D7326" i="106" l="1"/>
  <c r="A7327" i="106"/>
  <c r="D7327" i="106" l="1"/>
  <c r="A7328" i="106"/>
  <c r="D7328" i="106" l="1"/>
  <c r="A7329" i="106"/>
  <c r="D7329" i="106" l="1"/>
  <c r="A7330" i="106"/>
  <c r="D7330" i="106" l="1"/>
  <c r="A7331" i="106"/>
  <c r="D7331" i="106" l="1"/>
  <c r="A7332" i="106"/>
  <c r="D7332" i="106" l="1"/>
  <c r="A7333" i="106"/>
  <c r="D7333" i="106" l="1"/>
  <c r="A7334" i="106"/>
  <c r="D7334" i="106" l="1"/>
  <c r="A7335" i="106"/>
  <c r="D7335" i="106" l="1"/>
  <c r="A7336" i="106"/>
  <c r="D7336" i="106" l="1"/>
  <c r="A7337" i="106"/>
  <c r="D7337" i="106" l="1"/>
  <c r="A7338" i="106"/>
  <c r="D7338" i="106" l="1"/>
  <c r="A7339" i="106"/>
  <c r="D7339" i="106" l="1"/>
  <c r="A7340" i="106"/>
  <c r="D7340" i="106" l="1"/>
  <c r="A7341" i="106"/>
  <c r="D7341" i="106" l="1"/>
  <c r="A7342" i="106"/>
  <c r="D7342" i="106" l="1"/>
  <c r="A7343" i="106"/>
  <c r="D7343" i="106" l="1"/>
  <c r="A7344" i="106"/>
  <c r="D7344" i="106" l="1"/>
  <c r="A7345" i="106"/>
  <c r="D7345" i="106" l="1"/>
  <c r="A7346" i="106"/>
  <c r="D7346" i="106" l="1"/>
  <c r="A7347" i="106"/>
  <c r="D7347" i="106" l="1"/>
  <c r="A7348" i="106"/>
  <c r="D7348" i="106" l="1"/>
  <c r="A7349" i="106"/>
  <c r="D7349" i="106" l="1"/>
  <c r="A7350" i="106"/>
  <c r="D7350" i="106" l="1"/>
  <c r="A7351" i="106"/>
  <c r="D7351" i="106" l="1"/>
  <c r="A7352" i="106"/>
  <c r="D7352" i="106" l="1"/>
  <c r="A7353" i="106"/>
  <c r="D7353" i="106" l="1"/>
  <c r="A7354" i="106"/>
  <c r="D7354" i="106" l="1"/>
  <c r="A7355" i="106"/>
  <c r="D7355" i="106" l="1"/>
  <c r="A7356" i="106"/>
  <c r="D7356" i="106" l="1"/>
  <c r="A7357" i="106"/>
  <c r="D7357" i="106" l="1"/>
  <c r="A7358" i="106"/>
  <c r="D7358" i="106" l="1"/>
  <c r="A7359" i="106"/>
  <c r="D7359" i="106" l="1"/>
  <c r="A7360" i="106"/>
  <c r="D7360" i="106" l="1"/>
  <c r="A7361" i="106"/>
  <c r="D7361" i="106" l="1"/>
  <c r="A7362" i="106"/>
  <c r="D7362" i="106" l="1"/>
  <c r="A7363" i="106"/>
  <c r="D7363" i="106" l="1"/>
  <c r="A7364" i="106"/>
  <c r="D7364" i="106" l="1"/>
  <c r="A7365" i="106"/>
  <c r="D7365" i="106" l="1"/>
  <c r="A7366" i="106"/>
  <c r="D7366" i="106" l="1"/>
  <c r="A7367" i="106"/>
  <c r="D7367" i="106" l="1"/>
  <c r="A7368" i="106"/>
  <c r="D7368" i="106" l="1"/>
  <c r="A7369" i="106"/>
  <c r="D7369" i="106" l="1"/>
  <c r="A7370" i="106"/>
  <c r="D7370" i="106" l="1"/>
  <c r="A7371" i="106"/>
  <c r="D7371" i="106" l="1"/>
  <c r="A7372" i="106"/>
  <c r="D7372" i="106" l="1"/>
  <c r="A7373" i="106"/>
  <c r="D7373" i="106" l="1"/>
  <c r="A7374" i="106"/>
  <c r="D7374" i="106" l="1"/>
  <c r="A7375" i="106"/>
  <c r="D7375" i="106" l="1"/>
  <c r="A7376" i="106"/>
  <c r="D7376" i="106" l="1"/>
  <c r="A7377" i="106"/>
  <c r="D7377" i="106" l="1"/>
  <c r="A7378" i="106"/>
  <c r="D7378" i="106" l="1"/>
  <c r="A7379" i="106"/>
  <c r="D7379" i="106" l="1"/>
  <c r="A7380" i="106"/>
  <c r="D7380" i="106" l="1"/>
  <c r="A7381" i="106"/>
  <c r="D7381" i="106" l="1"/>
  <c r="A7382" i="106"/>
  <c r="D7382" i="106" l="1"/>
  <c r="A7383" i="106"/>
  <c r="D7383" i="106" l="1"/>
  <c r="A7384" i="106"/>
  <c r="D7384" i="106" l="1"/>
  <c r="A7385" i="106"/>
  <c r="D7385" i="106" l="1"/>
  <c r="A7386" i="106"/>
  <c r="D7386" i="106" l="1"/>
  <c r="A7387" i="106"/>
  <c r="D7387" i="106" l="1"/>
  <c r="A7388" i="106"/>
  <c r="D7388" i="106" l="1"/>
  <c r="A7389" i="106"/>
  <c r="D7389" i="106" l="1"/>
  <c r="A7390" i="106"/>
  <c r="D7390" i="106" l="1"/>
  <c r="A7391" i="106"/>
  <c r="D7391" i="106" l="1"/>
  <c r="A7392" i="106"/>
  <c r="D7392" i="106" l="1"/>
  <c r="A7393" i="106"/>
  <c r="D7393" i="106" l="1"/>
  <c r="A7394" i="106"/>
  <c r="D7394" i="106" l="1"/>
  <c r="A7395" i="106"/>
  <c r="D7395" i="106" l="1"/>
  <c r="A7396" i="106"/>
  <c r="D7396" i="106" l="1"/>
  <c r="A7397" i="106"/>
  <c r="D7397" i="106" l="1"/>
  <c r="A7398" i="106"/>
  <c r="D7398" i="106" l="1"/>
  <c r="A7399" i="106"/>
  <c r="D7399" i="106" l="1"/>
  <c r="A7400" i="106"/>
  <c r="D7400" i="106" l="1"/>
  <c r="A7401" i="106"/>
  <c r="D7401" i="106" l="1"/>
  <c r="A7402" i="106"/>
  <c r="D7402" i="106" l="1"/>
  <c r="A7403" i="106"/>
  <c r="D7403" i="106" l="1"/>
  <c r="A7404" i="106"/>
  <c r="D7404" i="106" l="1"/>
  <c r="A7405" i="106"/>
  <c r="D7405" i="106" l="1"/>
  <c r="A7406" i="106"/>
  <c r="D7406" i="106" l="1"/>
  <c r="A7407" i="106"/>
  <c r="D7407" i="106" l="1"/>
  <c r="A7408" i="106"/>
  <c r="D7408" i="106" l="1"/>
  <c r="A7409" i="106"/>
  <c r="D7409" i="106" l="1"/>
  <c r="A7410" i="106"/>
  <c r="D7410" i="106" l="1"/>
  <c r="A7411" i="106"/>
  <c r="D7411" i="106" l="1"/>
  <c r="A7412" i="106"/>
  <c r="D7412" i="106" l="1"/>
  <c r="A7413" i="106"/>
  <c r="D7413" i="106" l="1"/>
  <c r="A7414" i="106"/>
  <c r="D7414" i="106" l="1"/>
  <c r="A7415" i="106"/>
  <c r="D7415" i="106" l="1"/>
  <c r="A7416" i="106"/>
  <c r="D7416" i="106" l="1"/>
  <c r="A7417" i="106"/>
  <c r="D7417" i="106" l="1"/>
  <c r="A7418" i="106"/>
  <c r="D7418" i="106" l="1"/>
  <c r="A7419" i="106"/>
  <c r="D7419" i="106" l="1"/>
  <c r="A7420" i="106"/>
  <c r="D7420" i="106" l="1"/>
  <c r="A7421" i="106"/>
  <c r="D7421" i="106" l="1"/>
  <c r="A7422" i="106"/>
  <c r="D7422" i="106" l="1"/>
  <c r="A7423" i="106"/>
  <c r="D7423" i="106" l="1"/>
  <c r="A7424" i="106"/>
  <c r="D7424" i="106" l="1"/>
  <c r="A7425" i="106"/>
  <c r="D7425" i="106" l="1"/>
  <c r="A7426" i="106"/>
  <c r="D7426" i="106" l="1"/>
  <c r="A7427" i="106"/>
  <c r="D7427" i="106" l="1"/>
  <c r="A7428" i="106"/>
  <c r="D7428" i="106" l="1"/>
  <c r="A7429" i="106"/>
  <c r="D7429" i="106" l="1"/>
  <c r="A7430" i="106"/>
  <c r="D7430" i="106" l="1"/>
  <c r="A7431" i="106"/>
  <c r="D7431" i="106" l="1"/>
  <c r="A7432" i="106"/>
  <c r="D7432" i="106" l="1"/>
  <c r="A7433" i="106"/>
  <c r="D7433" i="106" l="1"/>
  <c r="A7434" i="106"/>
  <c r="D7434" i="106" l="1"/>
  <c r="A7435" i="106"/>
  <c r="D7435" i="106" l="1"/>
  <c r="A7436" i="106"/>
  <c r="D7436" i="106" l="1"/>
  <c r="A7437" i="106"/>
  <c r="D7437" i="106" l="1"/>
  <c r="A7438" i="106"/>
  <c r="D7438" i="106" l="1"/>
  <c r="A7439" i="106"/>
  <c r="D7439" i="106" l="1"/>
  <c r="A7440" i="106"/>
  <c r="D7440" i="106" l="1"/>
  <c r="A7441" i="106"/>
  <c r="D7441" i="106" l="1"/>
  <c r="A7442" i="106"/>
  <c r="D7442" i="106" l="1"/>
  <c r="A7443" i="106"/>
  <c r="D7443" i="106" l="1"/>
  <c r="A7444" i="106"/>
  <c r="D7444" i="106" l="1"/>
  <c r="A7445" i="106"/>
  <c r="D7445" i="106" l="1"/>
  <c r="A7446" i="106"/>
  <c r="D7446" i="106" l="1"/>
  <c r="A7447" i="106"/>
  <c r="D7447" i="106" l="1"/>
  <c r="A7448" i="106"/>
  <c r="D7448" i="106" l="1"/>
  <c r="A7449" i="106"/>
  <c r="D7449" i="106" l="1"/>
  <c r="A7450" i="106"/>
  <c r="D7450" i="106" l="1"/>
  <c r="A7451" i="106"/>
  <c r="D7451" i="106" l="1"/>
  <c r="A7452" i="106"/>
  <c r="D7452" i="106" l="1"/>
  <c r="A7453" i="106"/>
  <c r="D7453" i="106" l="1"/>
  <c r="A7454" i="106"/>
  <c r="D7454" i="106" l="1"/>
  <c r="A7455" i="106"/>
  <c r="D7455" i="106" l="1"/>
  <c r="A7456" i="106"/>
  <c r="D7456" i="106" l="1"/>
  <c r="A7457" i="106"/>
  <c r="D7457" i="106" l="1"/>
  <c r="A7458" i="106"/>
  <c r="D7458" i="106" l="1"/>
  <c r="A7459" i="106"/>
  <c r="D7459" i="106" l="1"/>
  <c r="A7460" i="106"/>
  <c r="D7460" i="106" l="1"/>
  <c r="A7461" i="106"/>
  <c r="D7461" i="106" l="1"/>
  <c r="A7462" i="106"/>
  <c r="D7462" i="106" l="1"/>
  <c r="A7463" i="106"/>
  <c r="D7463" i="106" l="1"/>
  <c r="A7464" i="106"/>
  <c r="D7464" i="106" l="1"/>
  <c r="A7465" i="106"/>
  <c r="D7465" i="106" l="1"/>
  <c r="A7466" i="106"/>
  <c r="D7466" i="106" l="1"/>
  <c r="A7467" i="106"/>
  <c r="D7467" i="106" l="1"/>
  <c r="A7468" i="106"/>
  <c r="D7468" i="106" l="1"/>
  <c r="A7469" i="106"/>
  <c r="D7469" i="106" l="1"/>
  <c r="A7470" i="106"/>
  <c r="D7470" i="106" l="1"/>
  <c r="A7471" i="106"/>
  <c r="D7471" i="106" l="1"/>
  <c r="A7472" i="106"/>
  <c r="D7472" i="106" l="1"/>
  <c r="A7473" i="106"/>
  <c r="D7473" i="106" l="1"/>
  <c r="A7474" i="106"/>
  <c r="D7474" i="106" l="1"/>
  <c r="A7475" i="106"/>
  <c r="D7475" i="106" l="1"/>
  <c r="A7476" i="106"/>
  <c r="D7476" i="106" l="1"/>
  <c r="A7477" i="106"/>
  <c r="D7477" i="106" l="1"/>
  <c r="A7478" i="106"/>
  <c r="D7478" i="106" l="1"/>
  <c r="A7479" i="106"/>
  <c r="D7479" i="106" l="1"/>
  <c r="A7480" i="106"/>
  <c r="D7480" i="106" l="1"/>
  <c r="A7481" i="106"/>
  <c r="D7481" i="106" l="1"/>
  <c r="A7482" i="106"/>
  <c r="D7482" i="106" l="1"/>
  <c r="A7483" i="106"/>
  <c r="D7483" i="106" l="1"/>
  <c r="A7484" i="106"/>
  <c r="D7484" i="106" l="1"/>
  <c r="A7485" i="106"/>
  <c r="D7485" i="106" l="1"/>
  <c r="A7486" i="106"/>
  <c r="D7486" i="106" l="1"/>
  <c r="A7487" i="106"/>
  <c r="D7487" i="106" l="1"/>
  <c r="A7488" i="106"/>
  <c r="D7488" i="106" l="1"/>
  <c r="A7489" i="106"/>
  <c r="D7489" i="106" l="1"/>
  <c r="A7490" i="106"/>
  <c r="D7490" i="106" l="1"/>
  <c r="A7491" i="106"/>
  <c r="D7491" i="106" l="1"/>
  <c r="A7492" i="106"/>
  <c r="D7492" i="106" l="1"/>
  <c r="A7493" i="106"/>
  <c r="D7493" i="106" l="1"/>
  <c r="A7494" i="106"/>
  <c r="D7494" i="106" l="1"/>
  <c r="A7495" i="106"/>
  <c r="D7495" i="106" l="1"/>
  <c r="A7496" i="106"/>
  <c r="D7496" i="106" l="1"/>
  <c r="A7497" i="106"/>
  <c r="D7497" i="106" l="1"/>
  <c r="A7498" i="106"/>
  <c r="D7498" i="106" l="1"/>
  <c r="A7499" i="106"/>
  <c r="D7499" i="106" l="1"/>
  <c r="A7500" i="106"/>
  <c r="D7500" i="106" l="1"/>
  <c r="A7501" i="106"/>
  <c r="D7501" i="106" l="1"/>
  <c r="A7502" i="106"/>
  <c r="D7502" i="106" l="1"/>
  <c r="A7503" i="106"/>
  <c r="D7503" i="106" l="1"/>
  <c r="A7504" i="106"/>
  <c r="D7504" i="106" l="1"/>
  <c r="A7505" i="106"/>
  <c r="D7505" i="106" l="1"/>
  <c r="A7506" i="106"/>
  <c r="D7506" i="106" l="1"/>
  <c r="A7507" i="106"/>
  <c r="D7507" i="106" l="1"/>
  <c r="A7508" i="106"/>
  <c r="D7508" i="106" l="1"/>
  <c r="A7509" i="106"/>
  <c r="D7509" i="106" l="1"/>
  <c r="A7510" i="106"/>
  <c r="D7510" i="106" l="1"/>
  <c r="A7511" i="106"/>
  <c r="D7511" i="106" l="1"/>
  <c r="A7512" i="106"/>
  <c r="D7512" i="106" l="1"/>
  <c r="A7513" i="106"/>
  <c r="D7513" i="106" l="1"/>
  <c r="A7514" i="106"/>
  <c r="D7514" i="106" l="1"/>
  <c r="A7515" i="106"/>
  <c r="D7515" i="106" l="1"/>
  <c r="A7516" i="106"/>
  <c r="D7516" i="106" l="1"/>
  <c r="A7517" i="106"/>
  <c r="D7517" i="106" l="1"/>
  <c r="A7518" i="106"/>
  <c r="D7518" i="106" l="1"/>
  <c r="A7519" i="106"/>
  <c r="D7519" i="106" l="1"/>
  <c r="A7520" i="106"/>
  <c r="D7520" i="106" l="1"/>
  <c r="A7521" i="106"/>
  <c r="D7521" i="106" l="1"/>
  <c r="A7522" i="106"/>
  <c r="D7522" i="106" l="1"/>
  <c r="A7523" i="106"/>
  <c r="D7523" i="106" l="1"/>
  <c r="A7524" i="106"/>
  <c r="D7524" i="106" l="1"/>
  <c r="A7525" i="106"/>
  <c r="D7525" i="106" l="1"/>
  <c r="A7526" i="106"/>
  <c r="D7526" i="106" l="1"/>
  <c r="A7527" i="106"/>
  <c r="D7527" i="106" l="1"/>
  <c r="A7528" i="106"/>
  <c r="D7528" i="106" l="1"/>
  <c r="A7529" i="106"/>
  <c r="D7529" i="106" l="1"/>
  <c r="A7530" i="106"/>
  <c r="D7530" i="106" l="1"/>
  <c r="A7531" i="106"/>
  <c r="D7531" i="106" l="1"/>
  <c r="A7532" i="106"/>
  <c r="D7532" i="106" l="1"/>
  <c r="A7533" i="106"/>
  <c r="D7533" i="106" l="1"/>
  <c r="A7534" i="106"/>
  <c r="D7534" i="106" l="1"/>
  <c r="A7535" i="106"/>
  <c r="D7535" i="106" l="1"/>
  <c r="A7536" i="106"/>
  <c r="D7536" i="106" l="1"/>
  <c r="A7537" i="106"/>
  <c r="D7537" i="106" l="1"/>
  <c r="A7538" i="106"/>
  <c r="D7538" i="106" l="1"/>
  <c r="A7539" i="106"/>
  <c r="D7539" i="106" l="1"/>
  <c r="A7540" i="106"/>
  <c r="D7540" i="106" l="1"/>
  <c r="A7541" i="106"/>
  <c r="D7541" i="106" l="1"/>
  <c r="A7542" i="106"/>
  <c r="D7542" i="106" l="1"/>
  <c r="A7543" i="106"/>
  <c r="D7543" i="106" l="1"/>
  <c r="A7544" i="106"/>
  <c r="D7544" i="106" l="1"/>
  <c r="A7545" i="106"/>
  <c r="D7545" i="106" l="1"/>
  <c r="A7546" i="106"/>
  <c r="D7546" i="106" l="1"/>
  <c r="A7547" i="106"/>
  <c r="D7547" i="106" l="1"/>
  <c r="A7548" i="106"/>
  <c r="D7548" i="106" l="1"/>
  <c r="A7549" i="106"/>
  <c r="D7549" i="106" l="1"/>
  <c r="A7550" i="106"/>
  <c r="D7550" i="106" l="1"/>
  <c r="A7551" i="106"/>
  <c r="D7551" i="106" l="1"/>
  <c r="A7552" i="106"/>
  <c r="D7552" i="106" l="1"/>
  <c r="A7553" i="106"/>
  <c r="D7553" i="106" l="1"/>
  <c r="A7554" i="106"/>
  <c r="D7554" i="106" l="1"/>
  <c r="A7555" i="106"/>
  <c r="D7555" i="106" l="1"/>
  <c r="A7556" i="106"/>
  <c r="D7556" i="106" l="1"/>
  <c r="A7557" i="106"/>
  <c r="D7557" i="106" l="1"/>
  <c r="A7558" i="106"/>
  <c r="D7558" i="106" l="1"/>
  <c r="A7559" i="106"/>
  <c r="D7559" i="106" l="1"/>
  <c r="A7560" i="106"/>
  <c r="D7560" i="106" l="1"/>
  <c r="A7561" i="106"/>
  <c r="D7561" i="106" l="1"/>
  <c r="A7562" i="106"/>
  <c r="D7562" i="106" l="1"/>
  <c r="A7563" i="106"/>
  <c r="D7563" i="106" l="1"/>
  <c r="A7564" i="106"/>
  <c r="D7564" i="106" l="1"/>
  <c r="A7565" i="106"/>
  <c r="D7565" i="106" l="1"/>
  <c r="A7566" i="106"/>
  <c r="D7566" i="106" l="1"/>
  <c r="A7567" i="106"/>
  <c r="D7567" i="106" l="1"/>
  <c r="A7568" i="106"/>
  <c r="D7568" i="106" l="1"/>
  <c r="A7569" i="106"/>
  <c r="D7569" i="106" l="1"/>
  <c r="A7570" i="106"/>
  <c r="D7570" i="106" l="1"/>
  <c r="A7571" i="106"/>
  <c r="D7571" i="106" l="1"/>
  <c r="A7572" i="106"/>
  <c r="D7572" i="106" l="1"/>
  <c r="A7573" i="106"/>
  <c r="D7573" i="106" l="1"/>
  <c r="A7574" i="106"/>
  <c r="D7574" i="106" l="1"/>
  <c r="A7575" i="106"/>
  <c r="D7575" i="106" l="1"/>
  <c r="A7576" i="106"/>
  <c r="D7576" i="106" l="1"/>
  <c r="A7577" i="106"/>
  <c r="D7577" i="106" l="1"/>
  <c r="A7578" i="106"/>
  <c r="D7578" i="106" l="1"/>
  <c r="A7579" i="106"/>
  <c r="D7579" i="106" l="1"/>
  <c r="A7580" i="106"/>
  <c r="D7580" i="106" l="1"/>
  <c r="A7581" i="106"/>
  <c r="D7581" i="106" l="1"/>
  <c r="A7582" i="106"/>
  <c r="D7582" i="106" l="1"/>
  <c r="A7583" i="106"/>
  <c r="D7583" i="106" l="1"/>
  <c r="A7584" i="106"/>
  <c r="D7584" i="106" l="1"/>
  <c r="A7585" i="106"/>
  <c r="D7585" i="106" l="1"/>
  <c r="A7586" i="106"/>
  <c r="D7586" i="106" l="1"/>
  <c r="A7587" i="106"/>
  <c r="D7587" i="106" l="1"/>
  <c r="A7588" i="106"/>
  <c r="D7588" i="106" l="1"/>
  <c r="A7589" i="106"/>
  <c r="D7589" i="106" l="1"/>
  <c r="A7590" i="106"/>
  <c r="D7590" i="106" l="1"/>
  <c r="A7591" i="106"/>
  <c r="A7592" i="106" l="1"/>
  <c r="D7591" i="106"/>
  <c r="D7592" i="106" l="1"/>
  <c r="A7593" i="106"/>
  <c r="D7593" i="106" l="1"/>
  <c r="A7594" i="106"/>
  <c r="D7594" i="106" l="1"/>
  <c r="A7595" i="106"/>
  <c r="D7595" i="106" l="1"/>
  <c r="A7596" i="106"/>
  <c r="D7596" i="106" l="1"/>
  <c r="A7597" i="106"/>
  <c r="D7597" i="106" l="1"/>
  <c r="A7598" i="106"/>
  <c r="D7598" i="106" l="1"/>
  <c r="A7599" i="106"/>
  <c r="D7599" i="106" l="1"/>
  <c r="A7600" i="106"/>
  <c r="A7601" i="106" l="1"/>
  <c r="D7600" i="106"/>
  <c r="D7601" i="106" l="1"/>
  <c r="A7602" i="106"/>
  <c r="D7602" i="106" l="1"/>
  <c r="A7603" i="106"/>
  <c r="D7603" i="106" l="1"/>
  <c r="A7604" i="106"/>
  <c r="D7604" i="106" l="1"/>
  <c r="A7605" i="106"/>
  <c r="D7605" i="106" l="1"/>
  <c r="A7606" i="106"/>
  <c r="D7606" i="106" l="1"/>
  <c r="A7607" i="106"/>
  <c r="A7608" i="106" l="1"/>
  <c r="D7607" i="106"/>
  <c r="D7608" i="106" l="1"/>
  <c r="A7609" i="106"/>
  <c r="D7609" i="106" l="1"/>
  <c r="A7610" i="106"/>
  <c r="D7610" i="106" l="1"/>
  <c r="A7611" i="106"/>
  <c r="A7612" i="106" l="1"/>
  <c r="D7611" i="106"/>
  <c r="D7612" i="106" l="1"/>
  <c r="A7613" i="106"/>
  <c r="A7614" i="106" l="1"/>
  <c r="D7613" i="106"/>
  <c r="D7614" i="106" l="1"/>
  <c r="A7615" i="106"/>
  <c r="D7615" i="106" l="1"/>
  <c r="A7616" i="106"/>
  <c r="A7617" i="106" l="1"/>
  <c r="D7616" i="106"/>
  <c r="D7617" i="106" l="1"/>
  <c r="A7618" i="106"/>
  <c r="A7619" i="106" l="1"/>
  <c r="D7618" i="106"/>
  <c r="D7619" i="106" l="1"/>
  <c r="A7620" i="106"/>
  <c r="A7621" i="106" l="1"/>
  <c r="D7620" i="106"/>
  <c r="D7621" i="106" l="1"/>
  <c r="A7622" i="106"/>
  <c r="A7623" i="106" l="1"/>
  <c r="D7622" i="106"/>
  <c r="D7623" i="106" l="1"/>
  <c r="A7624" i="106"/>
  <c r="A7625" i="106" l="1"/>
  <c r="D7624" i="106"/>
  <c r="A7626" i="106" l="1"/>
  <c r="A7627" i="106" s="1"/>
  <c r="A7628" i="106" s="1"/>
  <c r="A7629" i="106" s="1"/>
  <c r="A7630" i="106" s="1"/>
  <c r="A7631" i="106" s="1"/>
  <c r="D7625" i="106"/>
  <c r="A7632" i="106" l="1"/>
  <c r="A7633" i="106" s="1"/>
  <c r="A7634" i="106" s="1"/>
  <c r="A7635" i="106" s="1"/>
  <c r="D7631" i="106"/>
  <c r="A7636" i="106" l="1"/>
  <c r="D7635" i="106"/>
  <c r="D7636" i="106" l="1"/>
  <c r="A7637" i="106"/>
  <c r="A7638" i="106" l="1"/>
  <c r="D7637" i="106"/>
  <c r="D7638" i="106" l="1"/>
  <c r="A7639" i="106"/>
  <c r="D7639" i="106" l="1"/>
  <c r="A7640" i="106"/>
  <c r="A7641" i="106" l="1"/>
  <c r="D7640" i="106"/>
  <c r="D7641" i="106" l="1"/>
  <c r="A7642" i="106"/>
  <c r="A7643" i="106" l="1"/>
  <c r="D7642" i="106"/>
  <c r="A7644" i="106" l="1"/>
  <c r="D7643" i="106"/>
  <c r="D7644" i="106" l="1"/>
  <c r="A7645" i="106"/>
  <c r="D7645" i="106" l="1"/>
  <c r="A7646" i="106"/>
  <c r="A7647" i="106" l="1"/>
  <c r="D7646" i="106"/>
  <c r="D7647" i="106" l="1"/>
  <c r="A7648"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<sst xmlns="http://schemas.openxmlformats.org/spreadsheetml/2006/main" count="5100" uniqueCount="2149">
  <si>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</si>
  <si>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</si>
  <si>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</si>
  <si>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</si>
  <si>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</si>
  <si>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</si>
  <si>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</si>
  <si>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</si>
  <si>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</si>
  <si>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</si>
  <si>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</si>
  <si>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</si>
  <si>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</si>
  <si>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</si>
  <si>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</si>
  <si>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</si>
  <si>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</si>
  <si>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</si>
  <si>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</si>
  <si>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</si>
  <si>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</si>
  <si>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</si>
  <si>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</si>
  <si>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</si>
  <si>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</si>
  <si>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</si>
  <si>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</si>
  <si>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</si>
  <si>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</si>
  <si>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</si>
  <si>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</si>
  <si>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</si>
  <si>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</si>
  <si>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</si>
  <si>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</si>
  <si>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</si>
  <si>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</si>
  <si>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</si>
  <si>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</si>
  <si>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</si>
  <si>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</si>
  <si>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</si>
  <si>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</si>
  <si>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</si>
  <si>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</si>
  <si>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</si>
  <si>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</si>
  <si>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</si>
  <si>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</si>
  <si>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</si>
  <si>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</si>
  <si>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</si>
  <si>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</si>
  <si>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</si>
  <si>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</si>
  <si>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</si>
  <si>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</si>
  <si>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</si>
  <si>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</si>
  <si>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</si>
  <si>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</si>
  <si>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</si>
  <si>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</si>
  <si>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</si>
  <si>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</si>
  <si>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</si>
  <si>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</si>
  <si>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</si>
  <si>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</si>
  <si>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</si>
  <si>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</si>
  <si>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</si>
  <si>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</si>
  <si>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</si>
  <si>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</si>
  <si>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</si>
  <si>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</si>
  <si>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</si>
  <si>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</si>
  <si>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</si>
  <si>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</si>
  <si>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</si>
  <si>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</si>
  <si>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</si>
  <si>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</si>
  <si>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</si>
  <si>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</si>
  <si>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</si>
  <si>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</si>
  <si>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</si>
  <si>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</si>
  <si>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</si>
  <si>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</si>
  <si>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</si>
  <si>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</si>
  <si>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</si>
  <si>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</si>
  <si>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</si>
  <si>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</si>
  <si>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</si>
  <si>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</si>
  <si>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</si>
  <si>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</si>
  <si>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</si>
  <si>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</si>
  <si>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</si>
  <si>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</si>
  <si>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</si>
  <si>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</si>
  <si>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</si>
  <si>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</si>
  <si>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</si>
  <si>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</si>
  <si>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</si>
  <si>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</si>
  <si>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</si>
  <si>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</si>
  <si>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</si>
  <si>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</si>
  <si>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</si>
  <si>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</si>
  <si>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</si>
  <si>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</si>
  <si>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</si>
  <si>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</si>
  <si>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</si>
  <si>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</si>
  <si>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</si>
  <si>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</si>
  <si>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</si>
  <si>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</si>
  <si>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</si>
  <si>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</si>
  <si>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</si>
  <si>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</si>
  <si>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</si>
  <si>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</si>
  <si>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</si>
  <si>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</si>
  <si>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</si>
  <si>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</si>
  <si>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</si>
  <si>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</si>
  <si>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</si>
  <si>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</si>
  <si>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</si>
  <si>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</si>
  <si>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</si>
  <si>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</si>
  <si>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</si>
  <si>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</si>
  <si>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</si>
  <si>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</si>
  <si>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</si>
  <si>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</si>
  <si>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</si>
  <si>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</si>
  <si>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</si>
  <si>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</si>
  <si>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</si>
  <si>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</si>
  <si>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</si>
  <si>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</si>
  <si>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</si>
  <si>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</si>
  <si>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</si>
  <si>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</si>
  <si>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</si>
  <si>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</si>
  <si>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</si>
  <si>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</si>
  <si>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</si>
  <si>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</si>
  <si>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</si>
  <si>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</si>
  <si>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</si>
  <si>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</si>
  <si>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</si>
  <si>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</si>
  <si>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</si>
  <si>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</si>
  <si>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</si>
  <si>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</si>
  <si>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</si>
  <si>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</si>
  <si>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</si>
  <si>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</si>
  <si>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</si>
  <si>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</si>
  <si>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</si>
  <si>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</si>
  <si>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</si>
  <si>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</si>
  <si>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</si>
  <si>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</si>
  <si>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</si>
  <si>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</si>
  <si>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</si>
  <si>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</si>
  <si>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</si>
  <si>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</si>
  <si>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</si>
  <si>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</si>
  <si>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</si>
  <si>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</si>
  <si>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</si>
  <si>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</si>
  <si>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</si>
  <si>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</si>
  <si>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</si>
  <si>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</si>
  <si>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</si>
  <si>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</si>
  <si>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</si>
  <si>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</si>
  <si>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</si>
  <si>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</si>
  <si>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</si>
  <si>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</si>
  <si>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</si>
  <si>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</si>
  <si>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</si>
  <si>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</si>
  <si>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</si>
  <si>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</si>
  <si>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</si>
  <si>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</si>
  <si>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</si>
  <si>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</si>
  <si>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</si>
  <si>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</si>
  <si>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</si>
  <si>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</si>
  <si>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</si>
  <si>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</si>
  <si>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</si>
  <si>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</si>
  <si>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</si>
  <si>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</si>
  <si>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</si>
  <si>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</si>
  <si>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</si>
  <si>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</si>
  <si>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</si>
  <si>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</si>
  <si>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</si>
  <si>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</si>
  <si>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</si>
  <si>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</si>
  <si>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</si>
  <si>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</si>
  <si>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</si>
  <si>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</si>
  <si>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</si>
  <si>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</si>
  <si>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</si>
  <si>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</si>
  <si>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</si>
  <si>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</si>
  <si>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</si>
  <si>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</si>
  <si>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</si>
  <si>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</si>
  <si>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</si>
  <si>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</si>
  <si>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</si>
  <si>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</si>
  <si>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</si>
  <si>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</si>
  <si>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</si>
  <si>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</si>
  <si>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</si>
  <si>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</si>
  <si>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</si>
  <si>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</si>
  <si>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</si>
  <si>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</si>
  <si>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</si>
  <si>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</si>
  <si>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</si>
  <si>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</si>
  <si>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</si>
  <si>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</si>
  <si>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</si>
  <si>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</si>
  <si>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</si>
  <si>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</si>
  <si>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</si>
  <si>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</si>
  <si>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</si>
  <si>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</si>
  <si>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</si>
  <si>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</si>
  <si>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</si>
  <si>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</si>
  <si>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</si>
  <si>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</si>
  <si>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</si>
  <si>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</si>
  <si>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</si>
  <si>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</si>
  <si>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</si>
  <si>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</si>
  <si>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</si>
  <si>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</si>
  <si>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</si>
  <si>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</si>
  <si>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</si>
  <si>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</si>
  <si>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</si>
  <si>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</si>
  <si>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</si>
  <si>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</si>
  <si>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</si>
  <si>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</si>
  <si>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</si>
  <si>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</si>
  <si>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</si>
  <si>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</si>
  <si>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</si>
  <si>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</si>
  <si>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</si>
  <si>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</si>
  <si>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</si>
  <si>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</si>
  <si>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</si>
  <si>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</si>
  <si>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</si>
  <si>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</si>
  <si>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</si>
  <si>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</si>
  <si>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</si>
  <si>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</si>
  <si>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</si>
  <si>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</si>
  <si>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</si>
  <si>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</si>
  <si>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</si>
  <si>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</si>
  <si>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</si>
  <si>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</si>
  <si>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</si>
  <si>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</si>
  <si>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</si>
  <si>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</si>
  <si>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</si>
  <si>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</si>
  <si>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</si>
  <si>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</si>
  <si>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</si>
  <si>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</si>
  <si>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</si>
  <si>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</si>
  <si>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</si>
  <si>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</si>
  <si>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</si>
  <si>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</si>
  <si>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</si>
  <si>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</si>
  <si>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</si>
  <si>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</si>
  <si>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</si>
  <si>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</si>
  <si>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</si>
  <si>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</si>
  <si>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</si>
  <si>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</si>
  <si>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</si>
  <si>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</si>
  <si>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</si>
  <si>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</si>
  <si>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</si>
  <si>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</si>
  <si>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</si>
  <si>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</si>
  <si>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</si>
  <si>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</si>
  <si>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</si>
  <si>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</si>
  <si>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</si>
  <si>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</si>
  <si>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</si>
  <si>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</si>
  <si>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</si>
  <si>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</si>
  <si>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</si>
  <si>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</si>
  <si>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</si>
  <si>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</si>
  <si>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</si>
  <si>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</si>
  <si>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</si>
  <si>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</si>
  <si>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</si>
  <si>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</si>
  <si>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</si>
  <si>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</si>
  <si>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</si>
  <si>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</si>
  <si>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</si>
  <si>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</si>
  <si>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</si>
  <si>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</si>
  <si>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</si>
  <si>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</si>
  <si>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</si>
  <si>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</si>
  <si>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</si>
  <si>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</si>
  <si>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</si>
  <si>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</si>
  <si>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</si>
  <si>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</si>
  <si>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</si>
  <si>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</si>
  <si>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</si>
  <si>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</si>
  <si>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</si>
  <si>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</si>
  <si>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</si>
  <si>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</si>
  <si>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</si>
  <si>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</si>
  <si>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</si>
  <si>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</si>
  <si>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</si>
  <si>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</si>
  <si>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</si>
  <si>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</si>
  <si>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</si>
  <si>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</si>
  <si>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</si>
  <si>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</si>
  <si>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</si>
  <si>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</si>
  <si>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</si>
  <si>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</si>
  <si>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</si>
  <si>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</si>
  <si>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</si>
  <si>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</si>
  <si>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</si>
  <si>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</si>
  <si>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</si>
  <si>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</si>
  <si>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</si>
  <si>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</si>
  <si>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</si>
  <si>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</si>
  <si>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</si>
  <si>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</si>
  <si>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</si>
  <si>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</si>
  <si>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</si>
  <si>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</si>
  <si>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</si>
  <si>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</si>
  <si>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</si>
  <si>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</si>
  <si>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</si>
  <si>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</si>
  <si>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</si>
  <si>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</si>
  <si>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</si>
  <si>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</si>
  <si>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</si>
  <si>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</si>
  <si>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</si>
  <si>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</si>
  <si>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</si>
  <si>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</si>
  <si>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</si>
  <si>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</si>
  <si>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</si>
  <si>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</si>
  <si>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</si>
  <si>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</si>
  <si>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</si>
  <si>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</si>
  <si>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</si>
  <si>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</si>
  <si>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</si>
  <si>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</si>
  <si>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</si>
  <si>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</si>
  <si>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</si>
  <si>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</si>
  <si>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</si>
  <si>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</si>
  <si>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</si>
  <si>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</si>
  <si>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</si>
  <si>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</si>
  <si>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</si>
  <si>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</si>
  <si>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</si>
  <si>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</si>
  <si>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</si>
  <si>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</si>
  <si>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</si>
  <si>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</si>
  <si>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</si>
  <si>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</si>
  <si>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</si>
  <si>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</si>
  <si>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</si>
  <si>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</si>
  <si>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</si>
  <si>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</si>
  <si>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</si>
  <si>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</si>
  <si>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</si>
  <si>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</si>
  <si>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</si>
  <si>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</si>
  <si>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</si>
  <si>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</si>
  <si>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</si>
  <si>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</si>
  <si>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</si>
  <si>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</si>
  <si>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</si>
  <si>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</si>
  <si>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</si>
  <si>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</si>
  <si>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</si>
  <si>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</si>
  <si>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</si>
  <si>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</si>
  <si>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</si>
  <si>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</si>
  <si>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</si>
  <si>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</si>
  <si>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</si>
  <si>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</si>
  <si>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</si>
  <si>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</si>
  <si>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</si>
  <si>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</si>
  <si>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</si>
  <si>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</si>
  <si>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</si>
  <si>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</si>
  <si>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</si>
  <si>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</si>
  <si>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</si>
  <si>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</si>
  <si>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</si>
  <si>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</si>
  <si>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</si>
  <si>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</si>
  <si>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</si>
  <si>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</si>
  <si>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</si>
  <si>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</si>
  <si>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</si>
  <si>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</si>
  <si>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</si>
  <si>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</si>
  <si>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</si>
  <si>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</si>
  <si>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</si>
  <si>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</si>
  <si>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</si>
  <si>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</si>
  <si>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</si>
  <si>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</si>
  <si>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</si>
  <si>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</si>
  <si>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</si>
  <si>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</si>
  <si>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</si>
  <si>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</si>
  <si>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</si>
  <si>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</si>
  <si>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</si>
  <si>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</si>
  <si>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</si>
  <si>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</si>
  <si>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</si>
  <si>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</si>
  <si>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</si>
  <si>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</si>
  <si>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</si>
  <si>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</si>
  <si>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</si>
  <si>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</si>
  <si>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</si>
  <si>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</si>
  <si>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</si>
  <si>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</si>
  <si>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</si>
  <si>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</si>
  <si>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</si>
  <si>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</si>
  <si>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</si>
  <si>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</si>
  <si>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</si>
  <si>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</si>
  <si>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</si>
  <si>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</si>
  <si>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</si>
  <si>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</si>
  <si>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</si>
  <si>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</si>
  <si>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</si>
  <si>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</si>
  <si>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</si>
  <si>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</si>
  <si>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</si>
  <si>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</si>
  <si>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</si>
  <si>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</si>
  <si>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</si>
  <si>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</si>
  <si>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</si>
  <si>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</si>
  <si>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</si>
  <si>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</si>
  <si>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</si>
  <si>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</si>
  <si>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</si>
  <si>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</si>
  <si>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</si>
  <si>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</si>
  <si>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</si>
  <si>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</si>
  <si>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</si>
  <si>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</si>
  <si>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</si>
  <si>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</si>
  <si>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</si>
  <si>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</si>
  <si>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</si>
  <si>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</si>
  <si>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</si>
  <si>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</si>
  <si>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</si>
  <si>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</si>
  <si>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</si>
  <si>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</si>
  <si>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</si>
  <si>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</si>
  <si>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</si>
  <si>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</si>
  <si>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</si>
  <si>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</si>
  <si>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</si>
  <si>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</si>
  <si>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</si>
  <si>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</si>
  <si>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</si>
  <si>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</si>
  <si>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</si>
  <si>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</si>
  <si>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</si>
  <si>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</si>
  <si>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</si>
  <si>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</si>
  <si>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</si>
  <si>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</si>
  <si>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</si>
  <si>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</si>
  <si>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</si>
  <si>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</si>
  <si>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</si>
  <si>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</si>
  <si>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</si>
  <si>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</si>
  <si>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</si>
  <si>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</si>
  <si>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</si>
  <si>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</si>
  <si>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</si>
  <si>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</si>
  <si>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</si>
  <si>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</si>
  <si>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</si>
  <si>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</si>
  <si>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</si>
  <si>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</si>
  <si>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</si>
  <si>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</si>
  <si>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</si>
  <si>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</si>
  <si>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</si>
  <si>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</si>
  <si>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</si>
  <si>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</si>
  <si>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</si>
  <si>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</si>
  <si>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</si>
  <si>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</si>
  <si>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</si>
  <si>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</si>
  <si>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</si>
  <si>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</si>
  <si>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</si>
  <si>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</si>
  <si>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</si>
  <si>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</si>
  <si>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</si>
  <si>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</si>
  <si>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</si>
  <si>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</si>
  <si>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</si>
  <si>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</si>
  <si>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</si>
  <si>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</si>
  <si>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</si>
  <si>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</si>
  <si>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</si>
  <si>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</si>
  <si>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</si>
  <si>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</si>
  <si>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</si>
  <si>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</si>
  <si>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</si>
  <si>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</si>
  <si>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</si>
  <si>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</si>
  <si>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</si>
  <si>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</si>
  <si>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</si>
  <si>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</si>
  <si>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</si>
  <si>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</si>
  <si>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</si>
  <si>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</si>
  <si>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</si>
  <si>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</si>
  <si>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</si>
  <si>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</si>
  <si>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</si>
  <si>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</si>
  <si>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</si>
  <si>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</si>
  <si>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</si>
  <si>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</si>
  <si>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</si>
  <si>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</si>
  <si>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</si>
  <si>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</si>
  <si>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</si>
  <si>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</si>
  <si>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</si>
  <si>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</si>
  <si>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</si>
  <si>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</si>
  <si>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</si>
  <si>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</si>
  <si>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</si>
  <si>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</si>
  <si>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</si>
  <si>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</si>
  <si>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</si>
  <si>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</si>
  <si>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</si>
  <si>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</si>
  <si>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</si>
  <si>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</si>
  <si>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</si>
  <si>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</si>
  <si>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</si>
  <si>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</si>
  <si>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</si>
  <si>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</si>
  <si>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</si>
  <si>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</si>
  <si>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</si>
  <si>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</si>
  <si>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</si>
  <si>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</si>
  <si>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</si>
  <si>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</si>
  <si>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</si>
  <si>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</si>
  <si>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</si>
  <si>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</si>
  <si>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</si>
  <si>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</si>
  <si>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</si>
  <si>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</si>
  <si>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</si>
  <si>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</si>
  <si>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</si>
  <si>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</si>
  <si>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</si>
  <si>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</si>
  <si>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</si>
  <si>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</si>
  <si>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</si>
  <si>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</si>
  <si>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</si>
  <si>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</si>
  <si>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</si>
  <si>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</si>
  <si>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</si>
  <si>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</si>
  <si>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</si>
  <si>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</si>
  <si>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</si>
  <si>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</si>
  <si>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</si>
  <si>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</si>
  <si>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</si>
  <si>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</si>
  <si>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</si>
  <si>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</si>
  <si>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</si>
  <si>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</si>
  <si>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</si>
  <si>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</si>
  <si>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</si>
  <si>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</si>
  <si>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</si>
  <si>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</si>
  <si>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</si>
  <si>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</si>
  <si>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</si>
  <si>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</si>
  <si>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</si>
  <si>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</si>
  <si>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</si>
  <si>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</si>
  <si>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</si>
  <si>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</si>
  <si>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</si>
  <si>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</si>
  <si>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</si>
  <si>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</si>
  <si>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</si>
  <si>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</si>
  <si>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</si>
  <si>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</si>
  <si>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</si>
  <si>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</si>
  <si>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</si>
  <si>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</si>
  <si>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</si>
  <si>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</si>
  <si>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</si>
  <si>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</si>
  <si>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</si>
  <si>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</si>
  <si>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</si>
  <si>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</si>
  <si>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</si>
  <si>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</si>
  <si>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</si>
  <si>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</si>
  <si>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</si>
  <si>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</si>
  <si>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</si>
  <si>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</si>
  <si>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</si>
  <si>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</si>
  <si>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</si>
  <si>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</si>
  <si>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</si>
  <si>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</si>
  <si>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</si>
  <si>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</si>
  <si>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</si>
  <si>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</si>
  <si>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</si>
  <si>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</si>
  <si>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</si>
  <si>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</si>
  <si>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</si>
  <si>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</si>
  <si>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</si>
  <si>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</si>
  <si>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</si>
  <si>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</si>
  <si>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</si>
  <si>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</si>
  <si>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</si>
  <si>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</si>
  <si>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</si>
  <si>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</si>
  <si>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</si>
  <si>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</si>
  <si>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</si>
  <si>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</si>
  <si>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</si>
  <si>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</si>
  <si>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</si>
  <si>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</si>
  <si>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</si>
  <si>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</si>
  <si>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</si>
  <si>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</si>
  <si>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</si>
  <si>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</si>
  <si>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</si>
  <si>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</si>
  <si>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</si>
  <si>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</si>
  <si>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</si>
  <si>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</si>
  <si>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</si>
  <si>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</si>
  <si>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</si>
  <si>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</si>
  <si>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</si>
  <si>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</si>
  <si>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</si>
  <si>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</si>
  <si>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</si>
  <si>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</si>
  <si>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</si>
  <si>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</si>
  <si>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</si>
  <si>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</si>
  <si>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</si>
  <si>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</si>
  <si>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</si>
  <si>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</si>
  <si>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</si>
  <si>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</si>
  <si>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</si>
  <si>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</si>
  <si>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</si>
  <si>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</si>
  <si>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</si>
  <si>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</si>
  <si>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</si>
  <si>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</si>
  <si>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</si>
  <si>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</si>
  <si>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</si>
  <si>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</si>
  <si>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</si>
  <si>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</si>
  <si>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</si>
  <si>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</si>
  <si>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</si>
  <si>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</si>
  <si>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</si>
  <si>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</si>
  <si>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</si>
  <si>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</si>
  <si>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</si>
  <si>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</si>
  <si>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</si>
  <si>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</si>
  <si>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</si>
  <si>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</si>
  <si>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</si>
  <si>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</si>
  <si>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</si>
  <si>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</si>
  <si>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</si>
  <si>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</si>
  <si>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</si>
  <si>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</si>
  <si>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</si>
  <si>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</si>
  <si>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</si>
  <si>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</si>
  <si>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</si>
  <si>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</si>
  <si>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</si>
  <si>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</si>
  <si>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</si>
  <si>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</si>
  <si>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</si>
  <si>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</si>
  <si>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</si>
  <si>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</si>
  <si>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</si>
  <si>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</si>
  <si>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</si>
  <si>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</si>
  <si>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</si>
  <si>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</si>
  <si>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</si>
  <si>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</si>
  <si>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</si>
  <si>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</si>
  <si>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</si>
  <si>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</si>
  <si>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</si>
  <si>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</si>
  <si>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</si>
  <si>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</si>
  <si>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</si>
  <si>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</si>
  <si>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</si>
  <si>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</si>
  <si>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</si>
  <si>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</si>
  <si>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</si>
  <si>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</si>
  <si>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</si>
  <si>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</si>
  <si>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</si>
  <si>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</si>
  <si>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</si>
  <si>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</si>
  <si>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</si>
  <si>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</si>
  <si>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</si>
  <si>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</si>
  <si>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</si>
  <si>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</si>
  <si>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</si>
  <si>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</si>
  <si>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</si>
  <si>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</si>
  <si>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</si>
  <si>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</si>
  <si>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</si>
  <si>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</si>
  <si>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</si>
  <si>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</si>
  <si>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</si>
  <si>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</si>
  <si>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</si>
  <si>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</si>
  <si>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</si>
  <si>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</si>
  <si>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</si>
  <si>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</si>
  <si>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</si>
  <si>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</si>
  <si>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</si>
  <si>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</si>
  <si>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</si>
  <si>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</si>
  <si>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</si>
  <si>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</si>
  <si>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</si>
  <si>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</si>
  <si>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</si>
  <si>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</si>
  <si>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</si>
  <si>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</si>
  <si>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</si>
  <si>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</si>
  <si>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</si>
  <si>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</si>
  <si>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</si>
  <si>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</si>
  <si>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</si>
  <si>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</si>
  <si>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</si>
  <si>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</si>
  <si>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</si>
  <si>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</si>
  <si>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</si>
  <si>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</si>
  <si>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</si>
  <si>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</si>
  <si>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</si>
  <si>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</si>
  <si>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</si>
  <si>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</si>
  <si>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</si>
  <si>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</si>
  <si>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</si>
  <si>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</si>
  <si>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</si>
  <si>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</si>
  <si>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</si>
  <si>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</si>
  <si>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</si>
  <si>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</si>
  <si>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</si>
  <si>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</si>
  <si>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</si>
  <si>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</si>
  <si>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</si>
  <si>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</si>
  <si>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</si>
  <si>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</si>
  <si>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</si>
  <si>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</si>
  <si>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</si>
  <si>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</si>
  <si>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</si>
  <si>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</si>
  <si>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</si>
  <si>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</si>
  <si>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</si>
  <si>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</si>
  <si>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</si>
  <si>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</si>
  <si>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</si>
  <si>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</si>
  <si>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</si>
  <si>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</si>
  <si>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</si>
  <si>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</si>
  <si>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</si>
  <si>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</si>
  <si>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</si>
  <si>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</si>
  <si>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</si>
  <si>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</si>
  <si>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</si>
  <si>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</si>
  <si>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</si>
  <si>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</si>
  <si>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</si>
  <si>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</si>
  <si>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</si>
  <si>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</si>
  <si>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</si>
  <si>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</si>
  <si>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</si>
  <si>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</si>
  <si>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</si>
  <si>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</si>
  <si>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</si>
  <si>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</si>
  <si>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</si>
  <si>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</si>
  <si>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</si>
  <si>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</si>
  <si>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</si>
  <si>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</si>
  <si>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</si>
  <si>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</si>
  <si>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</si>
  <si>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</si>
  <si>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</si>
  <si>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</si>
  <si>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</si>
  <si>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</si>
  <si>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</si>
  <si>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</si>
  <si>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</si>
  <si>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</si>
  <si>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</si>
  <si>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</si>
  <si>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</si>
  <si>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</si>
  <si>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</si>
  <si>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</si>
  <si>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</si>
  <si>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</si>
  <si>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</si>
  <si>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</si>
  <si>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</si>
  <si>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</si>
  <si>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</si>
  <si>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</si>
  <si>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</si>
  <si>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</si>
  <si>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</si>
  <si>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</si>
  <si>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</si>
  <si>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</si>
  <si>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</si>
  <si>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</si>
  <si>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</si>
  <si>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</si>
  <si>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</si>
  <si>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</si>
  <si>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</si>
  <si>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</si>
  <si>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</si>
  <si>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</si>
  <si>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</si>
  <si>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</si>
  <si>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</si>
  <si>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</si>
  <si>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</si>
  <si>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</si>
  <si>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</si>
  <si>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</si>
  <si>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</si>
  <si>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</si>
  <si>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</si>
  <si>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</si>
  <si>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</si>
  <si>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</si>
  <si>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</si>
  <si>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</si>
  <si>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</si>
  <si>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</si>
  <si>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</si>
  <si>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</si>
  <si>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</si>
  <si>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</si>
  <si>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</si>
  <si>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</si>
  <si>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</si>
  <si>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</si>
  <si>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</si>
  <si>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</si>
  <si>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</si>
  <si>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</si>
  <si>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</si>
  <si>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</si>
  <si>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</si>
  <si>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</si>
  <si>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</si>
  <si>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</si>
  <si>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</si>
  <si>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</si>
  <si>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</si>
  <si>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</si>
  <si>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</si>
  <si>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</si>
  <si>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</si>
  <si>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</si>
  <si>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</si>
  <si>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</si>
  <si>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</si>
  <si>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</si>
  <si>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</si>
  <si>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</si>
  <si>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</si>
  <si>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</si>
  <si>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</si>
  <si>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</si>
  <si>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</si>
  <si>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</si>
  <si>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</si>
  <si>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</si>
  <si>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</si>
  <si>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</si>
  <si>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</si>
  <si>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</si>
  <si>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</si>
  <si>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</si>
  <si>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</si>
  <si>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</si>
  <si>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</si>
  <si>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</si>
  <si>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</si>
  <si>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</si>
  <si>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</si>
  <si>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</si>
  <si>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</si>
  <si>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</si>
  <si>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</si>
  <si>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</si>
  <si>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</si>
  <si>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</si>
  <si>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</si>
  <si>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</si>
  <si>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</si>
  <si>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</si>
  <si>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</si>
  <si>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</si>
  <si>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</si>
  <si>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</si>
  <si>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</si>
  <si>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</si>
  <si>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</si>
  <si>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</si>
  <si>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</si>
  <si>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</si>
  <si>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</si>
  <si>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</si>
  <si>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</si>
  <si>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</si>
  <si>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</si>
  <si>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</si>
  <si>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</si>
  <si>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</si>
  <si>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</si>
  <si>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</si>
  <si>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</si>
  <si>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</si>
  <si>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</si>
  <si>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</si>
  <si>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</si>
  <si>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</si>
  <si>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</si>
  <si>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</si>
  <si>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</si>
  <si>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</si>
  <si>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</si>
  <si>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</si>
  <si>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</si>
  <si>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</si>
  <si>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</si>
  <si>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</si>
  <si>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</si>
  <si>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</si>
  <si>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</si>
  <si>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</si>
  <si>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</si>
  <si>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</si>
  <si>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</si>
  <si>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</si>
  <si>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</si>
  <si>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</si>
  <si>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</si>
  <si>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</si>
  <si>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</si>
  <si>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</si>
  <si>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</si>
  <si>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</si>
  <si>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</si>
  <si>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</si>
  <si>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</si>
  <si>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</si>
  <si>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</si>
  <si>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</si>
  <si>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</si>
  <si>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</si>
  <si>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</si>
  <si>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</si>
  <si>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</si>
  <si>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</si>
  <si>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</si>
  <si>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</si>
  <si>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</si>
  <si>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</si>
  <si>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</si>
  <si>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</si>
  <si>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</si>
  <si>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</si>
  <si>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</si>
  <si>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</si>
  <si>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</si>
  <si>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</si>
  <si>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</si>
  <si>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</si>
  <si>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</si>
  <si>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</si>
  <si>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</si>
  <si>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</si>
  <si>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</si>
  <si>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</si>
  <si>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</si>
  <si>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</si>
  <si>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</si>
  <si>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</si>
  <si>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</si>
  <si>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</si>
  <si>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</si>
  <si>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</si>
  <si>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</si>
  <si>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</si>
  <si>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</si>
  <si>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</si>
  <si>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</si>
  <si>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</si>
  <si>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</si>
  <si>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</si>
  <si>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</si>
  <si>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</si>
  <si>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</si>
  <si>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</si>
  <si>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</si>
  <si>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</si>
  <si>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</si>
  <si>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</si>
  <si>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</si>
  <si>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</si>
  <si>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</si>
  <si>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</si>
  <si>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</si>
  <si>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</si>
  <si>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</si>
  <si>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</si>
  <si>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</si>
  <si>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</si>
  <si>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</si>
  <si>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</si>
  <si>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</si>
  <si>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</si>
  <si>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</si>
  <si>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</si>
  <si>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</si>
  <si>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</si>
  <si>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</si>
  <si>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</si>
  <si>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</si>
  <si>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</si>
  <si>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</si>
  <si>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</si>
  <si>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</si>
  <si>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</si>
  <si>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</si>
  <si>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</si>
  <si>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</si>
  <si>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</si>
  <si>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</si>
  <si>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</si>
  <si>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</si>
  <si>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</si>
  <si>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</si>
  <si>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</si>
  <si>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</si>
  <si>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</si>
  <si>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</si>
  <si>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</si>
  <si>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</si>
  <si>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</si>
  <si>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</si>
  <si>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</si>
  <si>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</si>
  <si>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</si>
  <si>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</si>
  <si>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</si>
  <si>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</si>
  <si>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</si>
  <si>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</si>
  <si>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</si>
  <si>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</si>
  <si>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</si>
  <si>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</si>
  <si>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</si>
  <si>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</si>
  <si>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</si>
  <si>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</si>
  <si>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</si>
  <si>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</si>
  <si>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</si>
  <si>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</si>
  <si>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</si>
  <si>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</si>
  <si>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</si>
  <si>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</si>
  <si>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</si>
  <si>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</si>
  <si>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</si>
  <si>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</si>
  <si>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</si>
  <si>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</si>
  <si>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</si>
  <si>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</si>
  <si>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</si>
  <si>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</si>
  <si>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</si>
  <si>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</si>
  <si>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</si>
  <si>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</si>
  <si>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</si>
  <si>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</si>
  <si>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</si>
  <si>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</si>
  <si>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</si>
  <si>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</si>
  <si>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</si>
  <si>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</si>
  <si>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</si>
  <si>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</si>
  <si>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</si>
  <si>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</si>
  <si>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</si>
  <si>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</si>
  <si>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</si>
  <si>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</si>
  <si>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</si>
  <si>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</si>
  <si>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</si>
  <si>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</si>
  <si>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</si>
  <si>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</si>
  <si>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</si>
  <si>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</si>
  <si>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</si>
  <si>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</si>
  <si>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</si>
  <si>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</si>
  <si>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</si>
  <si>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</si>
  <si>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</si>
  <si>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</si>
  <si>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</si>
  <si>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</si>
  <si>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</si>
  <si>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</si>
  <si>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</si>
  <si>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</si>
  <si>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</si>
  <si>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</si>
  <si>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</si>
  <si>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</si>
  <si>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</si>
  <si>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</si>
  <si>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</si>
  <si>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</si>
  <si>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</si>
  <si>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</si>
  <si>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</si>
  <si>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</si>
  <si>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</si>
  <si>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</si>
  <si>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</si>
  <si>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</si>
  <si>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</si>
  <si>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</si>
  <si>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</si>
  <si>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</si>
  <si>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</si>
  <si>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</si>
  <si>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</si>
  <si>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</si>
  <si>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</si>
  <si>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</si>
  <si>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</si>
  <si>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</si>
  <si>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</si>
  <si>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</si>
  <si>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</si>
  <si>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</si>
  <si>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</si>
  <si>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</si>
  <si>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</si>
  <si>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</si>
  <si>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</si>
  <si>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</si>
  <si>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</si>
  <si>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</si>
  <si>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</si>
  <si>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</si>
  <si>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</si>
  <si>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</si>
  <si>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</si>
  <si>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</si>
  <si>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</si>
  <si>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</si>
  <si>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</si>
  <si>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</si>
  <si>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</si>
  <si>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</si>
  <si>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</si>
  <si>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</si>
  <si>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</si>
  <si>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</si>
  <si>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</si>
  <si>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</si>
  <si>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</si>
  <si>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</si>
  <si>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</si>
  <si>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</si>
  <si>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</si>
  <si>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</si>
  <si>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</si>
  <si>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</si>
  <si>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</si>
  <si>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</si>
  <si>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</si>
  <si>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</si>
  <si>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</si>
  <si>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</si>
  <si>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</si>
  <si>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</si>
  <si>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</si>
  <si>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</si>
  <si>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</si>
  <si>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</si>
  <si>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</si>
  <si>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</si>
  <si>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</si>
  <si>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</si>
  <si>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</si>
  <si>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</si>
  <si>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</si>
  <si>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</si>
  <si>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</si>
  <si>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</si>
  <si>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</si>
  <si>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</si>
  <si>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</si>
  <si>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</si>
  <si>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</si>
  <si>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</si>
  <si>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</si>
  <si>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</si>
  <si>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</si>
  <si>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</si>
  <si>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</si>
  <si>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</si>
  <si>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</si>
  <si>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</si>
  <si>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</si>
  <si>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</si>
  <si>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</si>
  <si>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</si>
  <si>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</si>
  <si>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</si>
  <si>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</si>
  <si>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</si>
  <si>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</si>
  <si>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</si>
  <si>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</si>
  <si>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</si>
  <si>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</si>
  <si>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</si>
  <si>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</si>
  <si>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</si>
  <si>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</si>
  <si>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</si>
  <si>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</si>
  <si>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</si>
  <si>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</si>
  <si>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</si>
  <si>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</si>
  <si>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</si>
  <si>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</si>
  <si>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</si>
  <si>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</si>
  <si>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</si>
  <si>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</si>
  <si>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</si>
  <si>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</si>
  <si>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</si>
  <si>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</si>
  <si>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</si>
  <si>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</si>
  <si>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</si>
  <si>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</si>
  <si>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</si>
  <si>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</si>
  <si>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</si>
  <si>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</si>
  <si>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</si>
  <si>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</si>
  <si>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</si>
  <si>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</si>
  <si>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</si>
  <si>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</si>
  <si>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</si>
  <si>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</si>
  <si>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</si>
  <si>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</si>
  <si>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</si>
  <si>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</si>
  <si>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</si>
  <si>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</si>
  <si>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</si>
  <si>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</si>
  <si>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</si>
  <si>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</si>
  <si>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</si>
  <si>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</si>
  <si>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</si>
  <si>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</si>
  <si>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</si>
  <si>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</si>
  <si>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</si>
  <si>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</si>
  <si>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</si>
  <si>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</si>
  <si>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</si>
  <si>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</si>
  <si>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</si>
  <si>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</si>
  <si>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</si>
  <si>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</si>
  <si>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</si>
  <si>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</si>
  <si>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</si>
  <si>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</si>
  <si>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</si>
  <si>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</si>
  <si>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</si>
  <si>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</si>
  <si>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</si>
  <si>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</si>
  <si>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</si>
  <si>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</si>
  <si>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</si>
  <si>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</si>
  <si>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</si>
  <si>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</si>
  <si>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</si>
  <si>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</si>
  <si>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</si>
  <si>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</si>
  <si>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</si>
  <si>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</si>
  <si>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</si>
  <si>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</si>
  <si>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</si>
  <si>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</si>
  <si>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</si>
  <si>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</si>
  <si>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</si>
  <si>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</si>
  <si>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</si>
  <si>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</si>
  <si>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</si>
  <si>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</si>
  <si>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</si>
  <si>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</si>
  <si>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</si>
  <si>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</si>
  <si>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</si>
  <si>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</si>
  <si>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</si>
  <si>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</si>
  <si>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</si>
  <si>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</si>
  <si>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</si>
  <si>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</si>
  <si>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</si>
  <si>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</si>
  <si>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</si>
  <si>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</si>
  <si>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</si>
  <si>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</si>
  <si>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</si>
  <si>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</si>
  <si>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</si>
  <si>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</si>
  <si>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</si>
  <si>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</si>
  <si>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</si>
  <si>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</si>
  <si>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</si>
  <si>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</si>
  <si>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</si>
  <si>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</si>
  <si>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</si>
  <si>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</si>
  <si>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</si>
  <si>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</si>
  <si>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</si>
  <si>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</si>
  <si>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</si>
  <si>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</si>
  <si>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</si>
  <si>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</si>
  <si>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</si>
  <si>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</si>
  <si>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</si>
  <si>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</si>
  <si>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</si>
  <si>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</si>
  <si>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</si>
  <si>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</si>
  <si>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</si>
  <si>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</si>
  <si>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</si>
  <si>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</si>
  <si>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</si>
  <si>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</si>
  <si>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</si>
  <si>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</si>
  <si>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</si>
  <si>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</si>
  <si>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</si>
  <si>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</si>
  <si>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</si>
  <si>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</si>
  <si>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</si>
  <si>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</si>
  <si>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</si>
  <si>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</si>
  <si>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</si>
  <si>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</si>
  <si>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</si>
  <si>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</si>
  <si>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</si>
  <si>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</si>
  <si>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</si>
  <si>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</si>
  <si>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</si>
  <si>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</si>
  <si>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</si>
  <si>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</si>
  <si>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</si>
  <si>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</si>
  <si>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</si>
  <si>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</si>
  <si>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</si>
  <si>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</si>
  <si>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</si>
  <si>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</si>
  <si>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</si>
  <si>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</si>
  <si>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</si>
  <si>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</si>
  <si>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</si>
  <si>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</si>
  <si>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</si>
  <si>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</si>
  <si>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</si>
  <si>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</si>
  <si>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</si>
  <si>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</si>
  <si>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</si>
  <si>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</si>
  <si>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</si>
  <si>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</si>
  <si>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</si>
  <si>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</si>
  <si>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</si>
  <si>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</si>
  <si>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</si>
  <si>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</si>
  <si>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</si>
  <si>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</si>
  <si>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</si>
  <si>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</si>
  <si>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</si>
  <si>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</si>
  <si>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</si>
  <si>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</si>
  <si>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</si>
  <si>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</si>
  <si>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</si>
  <si>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</si>
  <si>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</si>
  <si>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</si>
  <si>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</si>
  <si>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</si>
  <si>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</si>
  <si>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</si>
  <si>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</si>
  <si>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</si>
  <si>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</si>
  <si>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</si>
  <si>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</si>
  <si>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</si>
  <si>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</si>
  <si>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</si>
  <si>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</si>
  <si>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</si>
  <si>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</si>
  <si>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</si>
  <si>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</si>
  <si>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</si>
  <si>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</si>
  <si>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</si>
  <si>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</si>
  <si>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</si>
  <si>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</si>
  <si>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</si>
  <si>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</si>
  <si>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</si>
  <si>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</si>
  <si>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</si>
  <si>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</si>
  <si>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</si>
  <si>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</si>
  <si>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</si>
  <si>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</si>
  <si>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</si>
  <si>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</si>
  <si>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</si>
  <si>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</si>
  <si>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</si>
  <si>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</si>
  <si>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</si>
  <si>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</si>
  <si>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</si>
  <si>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</si>
  <si>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</si>
  <si>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</si>
  <si>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</si>
  <si>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</si>
  <si>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</si>
  <si>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</si>
  <si>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</si>
  <si>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</si>
  <si>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</si>
  <si>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</si>
  <si>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</si>
  <si>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</si>
  <si>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</si>
  <si>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</si>
  <si>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</si>
  <si>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</si>
  <si>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</si>
  <si>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</si>
  <si>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</si>
  <si>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</si>
  <si>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</si>
  <si>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</si>
  <si>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</si>
  <si>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</si>
  <si>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</si>
  <si>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</si>
  <si>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</si>
  <si>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</si>
  <si>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</si>
  <si>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</si>
  <si>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</si>
  <si>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</si>
  <si>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</si>
  <si>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</si>
  <si>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</si>
  <si>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</si>
  <si>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</si>
  <si>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</si>
  <si>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</si>
  <si>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</si>
  <si>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</si>
  <si>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</si>
  <si>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</si>
  <si>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</si>
  <si>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</si>
  <si>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</si>
  <si>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</si>
  <si>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</si>
  <si>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</si>
  <si>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</si>
  <si>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</si>
  <si>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</si>
  <si>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</si>
  <si>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</si>
  <si>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</si>
  <si>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</si>
  <si>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</si>
  <si>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</si>
  <si>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</si>
  <si>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</si>
  <si>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</si>
  <si>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</si>
  <si>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</si>
  <si>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</si>
  <si>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</si>
  <si>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</si>
  <si>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</si>
  <si>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</si>
  <si>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</si>
  <si>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</si>
  <si>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</si>
  <si>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</si>
  <si>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</si>
  <si>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</si>
  <si>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</si>
  <si>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</si>
  <si>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</si>
  <si>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</si>
  <si>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</si>
  <si>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</si>
  <si>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</si>
  <si>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</si>
  <si>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</si>
  <si>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</si>
  <si>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</si>
  <si>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</si>
  <si>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</si>
  <si>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</si>
  <si>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</si>
  <si>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</si>
  <si>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</si>
  <si>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</si>
  <si>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</si>
  <si>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</si>
  <si>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</si>
  <si>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</si>
  <si>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</si>
  <si>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</si>
  <si>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</si>
  <si>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</si>
  <si>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</si>
  <si>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</si>
  <si>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</si>
  <si>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</si>
  <si>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</si>
  <si>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</si>
  <si>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</si>
  <si>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</si>
  <si>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</si>
  <si>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</si>
  <si>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</si>
  <si>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</si>
  <si>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</si>
  <si>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</si>
  <si>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</si>
  <si>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</si>
  <si>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</si>
  <si>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</si>
  <si>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</si>
  <si>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</si>
  <si>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</si>
  <si>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</si>
  <si>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</si>
  <si>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</si>
  <si>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</si>
  <si>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</si>
  <si>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</si>
  <si>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</si>
  <si>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</si>
  <si>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</si>
  <si>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</si>
  <si>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</si>
  <si>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</si>
  <si>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</si>
  <si>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</si>
  <si>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</si>
  <si>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</si>
  <si>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</si>
  <si>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</si>
  <si>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</si>
  <si>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</si>
  <si>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</si>
  <si>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</si>
  <si>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</si>
  <si>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</si>
  <si>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</si>
  <si>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</si>
  <si>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</si>
  <si>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</si>
  <si>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</si>
  <si>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</si>
  <si>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</si>
  <si>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</si>
  <si>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</si>
  <si>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</si>
  <si>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</si>
  <si>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</si>
  <si>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</si>
  <si>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</si>
  <si>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</si>
  <si>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</si>
  <si>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</si>
  <si>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</si>
  <si>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</si>
  <si>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</si>
  <si>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</si>
  <si>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</si>
  <si>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</si>
  <si>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</si>
  <si>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</si>
  <si>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</si>
  <si>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</si>
  <si>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</si>
  <si>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</si>
  <si>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</si>
  <si>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</si>
  <si>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</si>
  <si>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</si>
  <si>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</si>
  <si>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</si>
  <si>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</si>
  <si>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</si>
  <si>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</si>
  <si>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</si>
  <si>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</si>
  <si>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</si>
  <si>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</si>
  <si>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</si>
  <si>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</si>
  <si>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</si>
  <si>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</si>
  <si>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</si>
  <si>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</si>
  <si>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</si>
  <si>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</si>
  <si>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</si>
  <si>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</si>
  <si>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</si>
  <si>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</si>
  <si>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</si>
  <si>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</si>
  <si>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</si>
  <si>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</si>
  <si>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</si>
  <si>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</si>
  <si>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</si>
  <si>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</si>
  <si>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</si>
  <si>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</si>
  <si>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</si>
  <si>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</si>
  <si>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</si>
  <si>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</si>
  <si>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</si>
  <si>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</si>
  <si>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</si>
  <si>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</si>
  <si>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</si>
  <si>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</si>
  <si>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</si>
  <si>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</si>
  <si>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</si>
  <si>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</si>
  <si>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</si>
  <si>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</si>
  <si>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</si>
  <si>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</si>
  <si>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</si>
  <si>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Edwards, Richland, Wayne</t>
  </si>
  <si>
    <t>361 West Main Street</t>
  </si>
  <si>
    <t>Albion</t>
  </si>
  <si>
    <t>Kemper CPA Group LLP</t>
  </si>
  <si>
    <t>Krista McLaren</t>
  </si>
  <si>
    <t>703 W. Main St, PO Box 447</t>
  </si>
  <si>
    <t>Olney</t>
  </si>
  <si>
    <t>IL</t>
  </si>
  <si>
    <t>618-395-2105</t>
  </si>
  <si>
    <t>618-395-7079</t>
  </si>
  <si>
    <t>kmclaren@kempercpa.com</t>
  </si>
  <si>
    <t>David Cowger</t>
  </si>
  <si>
    <t>dcowger@eccusd.com</t>
  </si>
  <si>
    <t>618-445-2814</t>
  </si>
  <si>
    <t>618-445-2272</t>
  </si>
  <si>
    <t>Series 2012A QZAB Bonds</t>
  </si>
  <si>
    <t>Series 2015 G.O. Bonds</t>
  </si>
  <si>
    <t>QZAB Bond</t>
  </si>
  <si>
    <t>Egyptian Trust</t>
  </si>
  <si>
    <t>Job Bank through ROE #20</t>
  </si>
  <si>
    <t>Wabash Ohio Valley Special Education (See below)</t>
  </si>
  <si>
    <t>Ohio Wabash Valley Regional Vocation System (See below)</t>
  </si>
  <si>
    <t>Line 26 - School districts in the Illinois counties of Edwards, Gallatin, Hamilton, Hardin, Pope, Saline, Wabash, Wayne, and White.</t>
  </si>
  <si>
    <t>Line 31 - School districts in the Illinois counties of Edwards, Gallatin, Hardin, Pope, Saline, Wabash, Wayne, and White.</t>
  </si>
  <si>
    <t>Page 10, Line 72; Educational - Sales to Pupils - Other - Student Milk $1,729</t>
  </si>
  <si>
    <t>Page 10, Line 74; Educational - Other Food Services - Misc. Revenue $2,300</t>
  </si>
  <si>
    <t>Page 11, Line 107; Educational - Other Local Revenues - Other Revenue $676</t>
  </si>
  <si>
    <t>Page 12, Line 171; Educational - Other Restricted Revenue from State Sources - State Library Grant $1,500</t>
  </si>
  <si>
    <t>Page 14, Line 272; Educational - Other Restricted Revenue from Federal Sources - Other Revenue $4,500</t>
  </si>
  <si>
    <t>Page 15, Line 41; Educational - Other Support Services - Pupils - Object 400 - Supplies for graduation $2,428</t>
  </si>
  <si>
    <t>Page 18, Line 171; Debt Service - Debt Services Other - Object 600 - Bond Registrar Fees $371</t>
  </si>
  <si>
    <t>Page 11, Line 107; Transportation - Other Local Revenues - Other Revenue $1,450</t>
  </si>
  <si>
    <t>Page 21, Line 309; Capital Projects - Other Payments to In-State Gov't Units - Object 600 - Return of unused grant funds on Fiscal Year</t>
  </si>
  <si>
    <t>2014 School Maintenance Grant $78,891</t>
  </si>
  <si>
    <t xml:space="preserve">The District does not currently employ an </t>
  </si>
  <si>
    <t>individual with the necessary knowledge and</t>
  </si>
  <si>
    <t>expertise to draft the footnotes to the financial</t>
  </si>
  <si>
    <t>statements.</t>
  </si>
  <si>
    <t>2017-001</t>
  </si>
  <si>
    <t>N/A</t>
  </si>
  <si>
    <t>District personnel do not possess the necessary accounting expertise to prevent, detect, or correct potential omissions in the footnoted to the financial statements prepared in accordance with the financial reporting provisions of the Illinois State Board of Education.</t>
  </si>
  <si>
    <t>The District's personnel have not obtained the necessary knowledge, training, or expertise.</t>
  </si>
  <si>
    <t>The District should provide necessary training to personnel  or contract with and independent contractor with the knowledge to properly prepare the notes to the financial statements in accordance with the financial reporting provisions of the Illinois State Board of Education.</t>
  </si>
  <si>
    <t>The District does not intend to correct the finding in the next fiscal year.</t>
  </si>
  <si>
    <t>Repeated at 2018-001</t>
  </si>
  <si>
    <t>Part C, Number 23:  The Auditor's Report contains a qualified opinion because the financial statements do not include disclosures regarding postemployment health insurance benefits required by the financial reporting provisions of the ISBE.</t>
  </si>
  <si>
    <t>Operations &amp; Maintenance - Care &amp; Upkeep - Repairs &amp; Maint.</t>
  </si>
  <si>
    <t>Operations &amp; Maintenance - Care &amp; Upkeep - Communications</t>
  </si>
  <si>
    <t>Education - Board of Education - Purchase Services</t>
  </si>
  <si>
    <t>Bushue Human Resources</t>
  </si>
  <si>
    <t>Clearwave</t>
  </si>
  <si>
    <t>Tort Fund - Insurance Payment</t>
  </si>
  <si>
    <t>CSI Insurance</t>
  </si>
  <si>
    <t>Operations &amp; Maintenance - Care &amp; Upkeep - Electricity</t>
  </si>
  <si>
    <t>Energy.ME</t>
  </si>
  <si>
    <t>Operations &amp; Maintenace - Care &amp; Upkeep Equip - TAC Agreement</t>
  </si>
  <si>
    <t>Schneider Electric</t>
  </si>
  <si>
    <t>J.E. Shekell, Inc</t>
  </si>
  <si>
    <t>Transportation - Vehicle Oper. Service - Supplies</t>
  </si>
  <si>
    <t>AT&amp;T</t>
  </si>
  <si>
    <t>20-2540-300</t>
  </si>
  <si>
    <t>10-2300-300</t>
  </si>
  <si>
    <t>20-2540-400</t>
  </si>
  <si>
    <t>80-2300-300</t>
  </si>
  <si>
    <t>20-2540-500</t>
  </si>
  <si>
    <t>40-2550-400</t>
  </si>
  <si>
    <t>Page 11, Line 107; Operations &amp; Maintenance - Other Local Revenues - E-rates - $12,174; Other Revenue $2,261</t>
  </si>
  <si>
    <t>The District does not currently employ an individual with the necessary knowledge and expertise to draft the footnotes to the financial statements prepared in accordance with the financial reporting provisions of the Illinois State Board of Education.</t>
  </si>
  <si>
    <t>In the absence of the necessary knowledge, training, and expertise, the District must rely on the auditors to ensure the notes to the financial statements are properly presented in accordance with the financial reporting provisions of the Illinois State Board of Education.</t>
  </si>
  <si>
    <t>The District cannot prepare the notes to the financial statements presented in accordance with the financial reporting provisions of the Illinois State Board of Education.</t>
  </si>
  <si>
    <t>Edwards County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</si>
</sst>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cellStyleXfs>
  <cellXfs count="2496">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62" fillId="0" borderId="0" xfId="0" applyFont="1" applyAlignment="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Fill="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0</xdr:row>
          <xdr:rowOff>0</xdr:rowOff>
        </xdr:from>
        <xdr:to>
          <xdr:col>1</xdr:col>
          <xdr:colOff>1990725</xdr:colOff>
          <xdr:row>4</xdr:row>
          <xdr:rowOff>38100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57150</xdr:rowOff>
        </xdr:from>
        <xdr:to>
          <xdr:col>1</xdr:col>
          <xdr:colOff>790575</xdr:colOff>
          <xdr:row>9</xdr:row>
          <xdr:rowOff>95250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2276475</xdr:colOff>
          <xdr:row>0</xdr:row>
          <xdr:rowOff>0</xdr:rowOff>
        </xdr:from>
        <xdr:to>
          <xdr:col>1</xdr:col>
          <xdr:colOff>3190875</xdr:colOff>
          <xdr:row>4</xdr:row>
          <xdr:rowOff>38100</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xdr:row>
          <xdr:rowOff>19050</xdr:rowOff>
        </xdr:from>
        <xdr:to>
          <xdr:col>1</xdr:col>
          <xdr:colOff>1971675</xdr:colOff>
          <xdr:row>9</xdr:row>
          <xdr:rowOff>57150</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5" t="s">
        <v>425</v>
      </c>
      <c r="J1" s="2026"/>
      <c r="K1" s="2026"/>
      <c r="L1" s="2026"/>
      <c r="M1" s="2026"/>
      <c r="N1" s="2026"/>
      <c r="O1" s="2026"/>
      <c r="P1" s="2026"/>
      <c r="Q1" s="2026"/>
      <c r="R1" s="2026"/>
      <c r="S1" s="2026"/>
    </row>
    <row r="2" spans="1:28" ht="12" customHeight="1" x14ac:dyDescent="0.2">
      <c r="A2" s="47" t="s">
        <v>1684</v>
      </c>
      <c r="D2" s="48"/>
      <c r="I2" s="2027" t="s">
        <v>1036</v>
      </c>
      <c r="J2" s="2026"/>
      <c r="K2" s="2026"/>
      <c r="L2" s="2026"/>
      <c r="M2" s="2026"/>
      <c r="N2" s="2026"/>
      <c r="O2" s="2026"/>
      <c r="P2" s="2026"/>
      <c r="Q2" s="2026"/>
      <c r="R2" s="2026"/>
      <c r="S2" s="2026"/>
    </row>
    <row r="3" spans="1:28" ht="12" customHeight="1" x14ac:dyDescent="0.2">
      <c r="A3" s="155" t="s">
        <v>1685</v>
      </c>
      <c r="B3" s="156"/>
      <c r="C3" s="156"/>
      <c r="D3" s="157"/>
      <c r="I3" s="2027" t="s">
        <v>54</v>
      </c>
      <c r="J3" s="2026"/>
      <c r="K3" s="2026"/>
      <c r="L3" s="2026"/>
      <c r="M3" s="2026"/>
      <c r="N3" s="2026"/>
      <c r="O3" s="2026"/>
      <c r="P3" s="2026"/>
      <c r="Q3" s="2026"/>
      <c r="R3" s="2026"/>
      <c r="S3" s="2026"/>
    </row>
    <row r="4" spans="1:28" ht="12" customHeight="1" x14ac:dyDescent="0.2">
      <c r="A4" s="37"/>
      <c r="I4" s="2027" t="s">
        <v>545</v>
      </c>
      <c r="J4" s="2026"/>
      <c r="K4" s="2026"/>
      <c r="L4" s="2026"/>
      <c r="M4" s="2026"/>
      <c r="N4" s="2026"/>
      <c r="O4" s="2026"/>
      <c r="P4" s="2026"/>
      <c r="Q4" s="2026"/>
      <c r="R4" s="2026"/>
      <c r="S4" s="2026"/>
    </row>
    <row r="5" spans="1:28" ht="14.1" customHeight="1" x14ac:dyDescent="0.2">
      <c r="B5" s="104" t="s">
        <v>2077</v>
      </c>
      <c r="C5" s="26" t="s">
        <v>966</v>
      </c>
      <c r="D5" s="84"/>
      <c r="E5" s="84"/>
      <c r="H5" s="38"/>
      <c r="I5" s="2034" t="s">
        <v>701</v>
      </c>
      <c r="J5" s="1979"/>
      <c r="K5" s="1979"/>
      <c r="L5" s="1979"/>
      <c r="M5" s="1979"/>
      <c r="N5" s="1979"/>
      <c r="O5" s="1979"/>
      <c r="P5" s="1979"/>
      <c r="Q5" s="1979"/>
      <c r="R5" s="1979"/>
      <c r="S5" s="1979"/>
    </row>
    <row r="6" spans="1:28" ht="14.1" customHeight="1" x14ac:dyDescent="0.2">
      <c r="B6" s="104"/>
      <c r="C6" s="26" t="s">
        <v>967</v>
      </c>
      <c r="D6" s="84"/>
      <c r="E6" s="84"/>
      <c r="I6" s="2033" t="s">
        <v>938</v>
      </c>
      <c r="J6" s="1979"/>
      <c r="K6" s="1979"/>
      <c r="L6" s="1979"/>
      <c r="M6" s="1979"/>
      <c r="N6" s="1979"/>
      <c r="O6" s="1979"/>
      <c r="P6" s="1979"/>
      <c r="Q6" s="1979"/>
      <c r="R6" s="1979"/>
      <c r="S6" s="1979"/>
    </row>
    <row r="7" spans="1:28" ht="12.2" customHeight="1" x14ac:dyDescent="0.2">
      <c r="I7" s="2028">
        <v>43281</v>
      </c>
      <c r="J7" s="2029"/>
      <c r="K7" s="2029"/>
      <c r="L7" s="2029"/>
      <c r="M7" s="2029"/>
      <c r="N7" s="2029"/>
      <c r="O7" s="2029"/>
      <c r="P7" s="2029"/>
      <c r="Q7" s="2029"/>
      <c r="R7" s="2029"/>
      <c r="S7" s="202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0" t="s">
        <v>695</v>
      </c>
      <c r="J9" s="2031"/>
      <c r="K9" s="2031"/>
      <c r="L9" s="2031"/>
      <c r="M9" s="2031"/>
      <c r="N9" s="2031"/>
      <c r="O9" s="2031"/>
      <c r="P9" s="2031"/>
      <c r="Q9" s="2031"/>
      <c r="R9" s="2031"/>
      <c r="S9" s="2032"/>
      <c r="T9" s="1975" t="s">
        <v>554</v>
      </c>
      <c r="U9" s="1976"/>
      <c r="V9" s="1976"/>
      <c r="W9" s="1976"/>
      <c r="X9" s="1976"/>
      <c r="Y9" s="1976"/>
      <c r="Z9" s="1976"/>
      <c r="AA9" s="1977"/>
    </row>
    <row r="10" spans="1:28" ht="13.5" customHeight="1" x14ac:dyDescent="0.2">
      <c r="A10" s="1984" t="s">
        <v>696</v>
      </c>
      <c r="B10" s="1985"/>
      <c r="C10" s="1985"/>
      <c r="D10" s="1985"/>
      <c r="E10" s="1985"/>
      <c r="F10" s="1985"/>
      <c r="G10" s="1985"/>
      <c r="H10" s="1986"/>
      <c r="I10" s="29"/>
      <c r="J10" s="30"/>
      <c r="K10" s="28"/>
      <c r="R10" s="30"/>
      <c r="S10" s="30"/>
      <c r="T10" s="1978"/>
      <c r="U10" s="1979"/>
      <c r="V10" s="1979"/>
      <c r="W10" s="1979"/>
      <c r="X10" s="1979"/>
      <c r="Y10" s="1979"/>
      <c r="Z10" s="1979"/>
      <c r="AA10" s="1980"/>
    </row>
    <row r="11" spans="1:28" ht="14.25" customHeight="1" x14ac:dyDescent="0.2">
      <c r="A11" s="1987" t="s">
        <v>1012</v>
      </c>
      <c r="B11" s="1988"/>
      <c r="C11" s="1988"/>
      <c r="D11" s="1988"/>
      <c r="E11" s="1988"/>
      <c r="F11" s="1988"/>
      <c r="G11" s="1988"/>
      <c r="H11" s="1989"/>
      <c r="I11" s="27"/>
      <c r="J11" s="74"/>
      <c r="K11" s="27"/>
      <c r="O11" s="148" t="s">
        <v>2077</v>
      </c>
      <c r="P11" s="100" t="s">
        <v>210</v>
      </c>
      <c r="Q11" s="30"/>
      <c r="R11" s="28"/>
      <c r="S11" s="27"/>
      <c r="T11" s="1981"/>
      <c r="U11" s="1982"/>
      <c r="V11" s="1982"/>
      <c r="W11" s="1982"/>
      <c r="X11" s="1982"/>
      <c r="Y11" s="1982"/>
      <c r="Z11" s="1982"/>
      <c r="AA11" s="198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5">
        <v>20024001026</v>
      </c>
      <c r="B13" s="1996"/>
      <c r="C13" s="1996"/>
      <c r="D13" s="1996"/>
      <c r="E13" s="1996"/>
      <c r="F13" s="1996"/>
      <c r="G13" s="1996"/>
      <c r="H13" s="1997"/>
      <c r="I13" s="31"/>
      <c r="J13" s="30"/>
      <c r="K13" s="28"/>
      <c r="L13" s="30"/>
      <c r="M13" s="30"/>
      <c r="N13" s="30"/>
      <c r="O13" s="30"/>
      <c r="P13" s="30"/>
      <c r="Q13" s="30"/>
      <c r="R13" s="30"/>
      <c r="S13" s="30"/>
      <c r="T13" s="2000" t="s">
        <v>2081</v>
      </c>
      <c r="U13" s="2001"/>
      <c r="V13" s="2001"/>
      <c r="W13" s="2001"/>
      <c r="X13" s="2001"/>
      <c r="Y13" s="2002"/>
      <c r="Z13" s="2002"/>
      <c r="AA13" s="200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3" t="s">
        <v>2078</v>
      </c>
      <c r="B15" s="1998"/>
      <c r="C15" s="1998"/>
      <c r="D15" s="1998"/>
      <c r="E15" s="1998"/>
      <c r="F15" s="1998"/>
      <c r="G15" s="1998"/>
      <c r="H15" s="1999"/>
      <c r="T15" s="1961" t="s">
        <v>2082</v>
      </c>
      <c r="U15" s="1962"/>
      <c r="V15" s="1962"/>
      <c r="W15" s="1962"/>
      <c r="X15" s="1962"/>
      <c r="Y15" s="2004"/>
      <c r="Z15" s="2004"/>
      <c r="AA15" s="200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3" t="s">
        <v>2148</v>
      </c>
      <c r="B17" s="2023"/>
      <c r="C17" s="2023"/>
      <c r="D17" s="2023"/>
      <c r="E17" s="2023"/>
      <c r="F17" s="2023"/>
      <c r="G17" s="2023"/>
      <c r="H17" s="2024"/>
      <c r="T17" s="2010" t="s">
        <v>2083</v>
      </c>
      <c r="U17" s="2011"/>
      <c r="V17" s="2011"/>
      <c r="W17" s="2011"/>
      <c r="X17" s="2011"/>
      <c r="Y17" s="2011"/>
      <c r="Z17" s="2011"/>
      <c r="AA17" s="2012"/>
    </row>
    <row r="18" spans="1:27" ht="13.5" customHeight="1" x14ac:dyDescent="0.2">
      <c r="A18" s="85" t="s">
        <v>551</v>
      </c>
      <c r="B18" s="76"/>
      <c r="C18" s="72"/>
      <c r="D18" s="76"/>
      <c r="E18" s="76"/>
      <c r="F18" s="76"/>
      <c r="G18" s="76"/>
      <c r="H18" s="56"/>
      <c r="I18" s="2020" t="s">
        <v>697</v>
      </c>
      <c r="J18" s="2021"/>
      <c r="K18" s="2021"/>
      <c r="L18" s="2021"/>
      <c r="M18" s="2021"/>
      <c r="N18" s="2021"/>
      <c r="O18" s="2021"/>
      <c r="P18" s="2021"/>
      <c r="Q18" s="2021"/>
      <c r="R18" s="2021"/>
      <c r="S18" s="2022"/>
      <c r="T18" s="85" t="s">
        <v>735</v>
      </c>
      <c r="U18" s="51"/>
      <c r="V18" s="72"/>
      <c r="W18" s="50"/>
      <c r="X18" s="85" t="s">
        <v>284</v>
      </c>
      <c r="Y18" s="81"/>
      <c r="Z18" s="159" t="s">
        <v>698</v>
      </c>
      <c r="AA18" s="46"/>
    </row>
    <row r="19" spans="1:27" ht="13.5" customHeight="1" x14ac:dyDescent="0.2">
      <c r="A19" s="1993" t="s">
        <v>2079</v>
      </c>
      <c r="B19" s="1994"/>
      <c r="C19" s="1994"/>
      <c r="D19" s="1994"/>
      <c r="E19" s="1994"/>
      <c r="F19" s="1994"/>
      <c r="G19" s="1994"/>
      <c r="H19" s="1992"/>
      <c r="I19" s="30"/>
      <c r="J19" s="99"/>
      <c r="K19" s="40"/>
      <c r="L19" s="38"/>
      <c r="M19" s="112" t="s">
        <v>333</v>
      </c>
      <c r="P19" s="27"/>
      <c r="Q19" s="27"/>
      <c r="R19" s="27"/>
      <c r="S19" s="31"/>
      <c r="T19" s="1993" t="s">
        <v>2084</v>
      </c>
      <c r="U19" s="1991"/>
      <c r="V19" s="1991"/>
      <c r="W19" s="1992"/>
      <c r="X19" s="2008" t="s">
        <v>2085</v>
      </c>
      <c r="Y19" s="2009"/>
      <c r="Z19" s="2006">
        <v>62450</v>
      </c>
      <c r="AA19" s="200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0" t="s">
        <v>2080</v>
      </c>
      <c r="B21" s="1991"/>
      <c r="C21" s="1991"/>
      <c r="D21" s="1991"/>
      <c r="E21" s="1991"/>
      <c r="F21" s="1991"/>
      <c r="G21" s="1991"/>
      <c r="H21" s="1992"/>
      <c r="I21" s="2016" t="s">
        <v>699</v>
      </c>
      <c r="J21" s="1979"/>
      <c r="K21" s="1979"/>
      <c r="L21" s="1979"/>
      <c r="M21" s="1979"/>
      <c r="N21" s="1979"/>
      <c r="O21" s="1979"/>
      <c r="P21" s="1979"/>
      <c r="Q21" s="1979"/>
      <c r="R21" s="1979"/>
      <c r="S21" s="1980"/>
      <c r="T21" s="1958" t="s">
        <v>2086</v>
      </c>
      <c r="U21" s="1959"/>
      <c r="V21" s="1959"/>
      <c r="W21" s="1959"/>
      <c r="X21" s="1972" t="s">
        <v>2087</v>
      </c>
      <c r="Y21" s="1973"/>
      <c r="Z21" s="1973"/>
      <c r="AA21" s="1974"/>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3"/>
      <c r="B23" s="2014"/>
      <c r="C23" s="2014"/>
      <c r="D23" s="2014"/>
      <c r="E23" s="2014"/>
      <c r="F23" s="2014"/>
      <c r="G23" s="2014"/>
      <c r="H23" s="2015"/>
      <c r="T23" s="1953">
        <v>65.032562999999996</v>
      </c>
      <c r="U23" s="1954"/>
      <c r="V23" s="1954"/>
      <c r="W23" s="1954"/>
      <c r="X23" s="1969">
        <v>44469</v>
      </c>
      <c r="Y23" s="1970"/>
      <c r="Z23" s="1970"/>
      <c r="AA23" s="1971"/>
    </row>
    <row r="24" spans="1:27" ht="14.1" customHeight="1" x14ac:dyDescent="0.2">
      <c r="A24" s="88" t="s">
        <v>698</v>
      </c>
      <c r="B24" s="49"/>
      <c r="C24" s="49"/>
      <c r="D24" s="49"/>
      <c r="E24" s="49"/>
      <c r="F24" s="49"/>
      <c r="G24" s="49"/>
      <c r="H24" s="61"/>
      <c r="J24" s="2055">
        <f>IF(B5="x",IF(AUDITCHECK!D29="AFR form Incomplete.","",IF(AUDITCHECK!D29="Deficit reduction plan is required.","School District must complete a deficit reduction plan in the 2018-2019 Budget",)),"")</f>
        <v>0</v>
      </c>
      <c r="K24" s="2055"/>
      <c r="L24" s="2055"/>
      <c r="M24" s="2055"/>
      <c r="N24" s="2055"/>
      <c r="O24" s="2055"/>
      <c r="P24" s="2055"/>
      <c r="Q24" s="2055"/>
      <c r="R24" s="2055"/>
      <c r="S24" s="2056"/>
      <c r="T24" s="105" t="s">
        <v>552</v>
      </c>
      <c r="U24" s="106"/>
      <c r="V24" s="106"/>
      <c r="W24" s="106"/>
      <c r="X24" s="107"/>
      <c r="Y24" s="107"/>
      <c r="Z24" s="107"/>
      <c r="AA24" s="108"/>
    </row>
    <row r="25" spans="1:27" ht="14.1" customHeight="1" x14ac:dyDescent="0.2">
      <c r="A25" s="1990">
        <v>62806</v>
      </c>
      <c r="B25" s="1991"/>
      <c r="C25" s="1991"/>
      <c r="D25" s="1991"/>
      <c r="E25" s="1991"/>
      <c r="F25" s="1991"/>
      <c r="G25" s="1991"/>
      <c r="H25" s="1992"/>
      <c r="I25" s="113"/>
      <c r="J25" s="2057"/>
      <c r="K25" s="2057"/>
      <c r="L25" s="2057"/>
      <c r="M25" s="2057"/>
      <c r="N25" s="2057"/>
      <c r="O25" s="2057"/>
      <c r="P25" s="2057"/>
      <c r="Q25" s="2057"/>
      <c r="R25" s="2057"/>
      <c r="S25" s="2058"/>
      <c r="T25" s="1950" t="s">
        <v>2088</v>
      </c>
      <c r="U25" s="1951"/>
      <c r="V25" s="1951"/>
      <c r="W25" s="1951"/>
      <c r="X25" s="1951"/>
      <c r="Y25" s="1951"/>
      <c r="Z25" s="1951"/>
      <c r="AA25" s="19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48" t="s">
        <v>1591</v>
      </c>
      <c r="J27" s="2021"/>
      <c r="K27" s="2021"/>
      <c r="L27" s="2021"/>
      <c r="M27" s="2021"/>
      <c r="N27" s="2021"/>
      <c r="O27" s="2021"/>
      <c r="P27" s="2021"/>
      <c r="Q27" s="2021"/>
      <c r="R27" s="2021"/>
      <c r="S27" s="202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4"/>
      <c r="Q35" s="1991"/>
      <c r="R35" s="199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3" t="s">
        <v>2089</v>
      </c>
      <c r="B38" s="2023"/>
      <c r="C38" s="2023"/>
      <c r="D38" s="2023"/>
      <c r="E38" s="2023"/>
      <c r="F38" s="1991"/>
      <c r="G38" s="1991"/>
      <c r="H38" s="1992"/>
      <c r="I38" s="2042"/>
      <c r="J38" s="1962"/>
      <c r="K38" s="1962"/>
      <c r="L38" s="1962"/>
      <c r="M38" s="1962"/>
      <c r="N38" s="1962"/>
      <c r="O38" s="1962"/>
      <c r="P38" s="1963"/>
      <c r="Q38" s="1963"/>
      <c r="R38" s="1963"/>
      <c r="S38" s="1964"/>
      <c r="T38" s="1961"/>
      <c r="U38" s="1962"/>
      <c r="V38" s="1962"/>
      <c r="W38" s="1962"/>
      <c r="X38" s="1963"/>
      <c r="Y38" s="1963"/>
      <c r="Z38" s="1963"/>
      <c r="AA38" s="1964"/>
    </row>
    <row r="39" spans="1:27" ht="12" customHeight="1" x14ac:dyDescent="0.2">
      <c r="A39" s="2046" t="s">
        <v>552</v>
      </c>
      <c r="B39" s="2047"/>
      <c r="C39" s="72"/>
      <c r="D39" s="69"/>
      <c r="E39" s="69"/>
      <c r="F39" s="79"/>
      <c r="G39" s="69"/>
      <c r="H39" s="56"/>
      <c r="I39" s="2046" t="s">
        <v>552</v>
      </c>
      <c r="J39" s="2047"/>
      <c r="K39" s="2047"/>
      <c r="L39" s="2047"/>
      <c r="M39" s="2047"/>
      <c r="N39" s="67"/>
      <c r="O39" s="72"/>
      <c r="P39" s="72"/>
      <c r="Q39" s="78"/>
      <c r="R39" s="72"/>
      <c r="S39" s="56"/>
      <c r="T39" s="72" t="s">
        <v>552</v>
      </c>
      <c r="U39" s="51"/>
      <c r="V39" s="72"/>
      <c r="W39" s="50"/>
      <c r="X39" s="78"/>
      <c r="Y39" s="45"/>
      <c r="Z39" s="45"/>
      <c r="AA39" s="46"/>
    </row>
    <row r="40" spans="1:27" ht="13.5" customHeight="1" x14ac:dyDescent="0.2">
      <c r="A40" s="2049" t="s">
        <v>2090</v>
      </c>
      <c r="B40" s="2050"/>
      <c r="C40" s="2051"/>
      <c r="D40" s="2051"/>
      <c r="E40" s="2051"/>
      <c r="F40" s="2052"/>
      <c r="G40" s="2052"/>
      <c r="H40" s="2053"/>
      <c r="I40" s="1965"/>
      <c r="J40" s="1967"/>
      <c r="K40" s="1967"/>
      <c r="L40" s="1967"/>
      <c r="M40" s="1967"/>
      <c r="N40" s="1967"/>
      <c r="O40" s="1967"/>
      <c r="P40" s="1967"/>
      <c r="Q40" s="1967"/>
      <c r="R40" s="1967"/>
      <c r="S40" s="1968"/>
      <c r="T40" s="1965"/>
      <c r="U40" s="1966"/>
      <c r="V40" s="1967"/>
      <c r="W40" s="1967"/>
      <c r="X40" s="1967"/>
      <c r="Y40" s="1967"/>
      <c r="Z40" s="1967"/>
      <c r="AA40" s="196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9" t="s">
        <v>2091</v>
      </c>
      <c r="B42" s="2040"/>
      <c r="C42" s="2041"/>
      <c r="D42" s="2054" t="s">
        <v>2092</v>
      </c>
      <c r="E42" s="2040"/>
      <c r="F42" s="2040"/>
      <c r="G42" s="2040"/>
      <c r="H42" s="2041"/>
      <c r="I42" s="1960"/>
      <c r="J42" s="1956"/>
      <c r="K42" s="1956"/>
      <c r="L42" s="1956"/>
      <c r="M42" s="1956"/>
      <c r="N42" s="1956"/>
      <c r="O42" s="1957"/>
      <c r="P42" s="1955"/>
      <c r="Q42" s="1956"/>
      <c r="R42" s="1956"/>
      <c r="S42" s="1957"/>
      <c r="T42" s="1960"/>
      <c r="U42" s="1956"/>
      <c r="V42" s="1956"/>
      <c r="W42" s="1957"/>
      <c r="X42" s="1955"/>
      <c r="Y42" s="1956"/>
      <c r="Z42" s="1956"/>
      <c r="AA42" s="195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3"/>
      <c r="B44" s="2044"/>
      <c r="C44" s="2044"/>
      <c r="D44" s="2044"/>
      <c r="E44" s="2044"/>
      <c r="F44" s="2044"/>
      <c r="G44" s="2044"/>
      <c r="H44" s="2045"/>
      <c r="I44" s="2035"/>
      <c r="J44" s="2037"/>
      <c r="K44" s="2037"/>
      <c r="L44" s="2037"/>
      <c r="M44" s="2037"/>
      <c r="N44" s="2037"/>
      <c r="O44" s="2037"/>
      <c r="P44" s="2037"/>
      <c r="Q44" s="2037"/>
      <c r="R44" s="2037"/>
      <c r="S44" s="2038"/>
      <c r="T44" s="2035"/>
      <c r="U44" s="2036"/>
      <c r="V44" s="2036"/>
      <c r="W44" s="2036"/>
      <c r="X44" s="2036"/>
      <c r="Y44" s="2036"/>
      <c r="Z44" s="2037"/>
      <c r="AA44" s="203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 sqref="A2:F2"/>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8" t="s">
        <v>106</v>
      </c>
    </row>
    <row r="2" spans="1:6" ht="39.75" customHeight="1" x14ac:dyDescent="0.2">
      <c r="A2" s="2192" t="s">
        <v>1905</v>
      </c>
      <c r="B2" s="1550" t="s">
        <v>2037</v>
      </c>
      <c r="C2" s="715" t="s">
        <v>1910</v>
      </c>
      <c r="D2" s="715" t="s">
        <v>1911</v>
      </c>
      <c r="E2" s="715" t="s">
        <v>1912</v>
      </c>
      <c r="F2" s="715" t="s">
        <v>1913</v>
      </c>
    </row>
    <row r="3" spans="1:6" ht="12" customHeight="1" x14ac:dyDescent="0.2">
      <c r="A3" s="2193"/>
      <c r="B3" s="1547"/>
      <c r="C3" s="1548"/>
      <c r="D3" s="1549" t="s">
        <v>274</v>
      </c>
      <c r="E3" s="1548"/>
      <c r="F3" s="1549" t="s">
        <v>275</v>
      </c>
    </row>
    <row r="4" spans="1:6" ht="13.7" customHeight="1" x14ac:dyDescent="0.2">
      <c r="A4" s="716" t="s">
        <v>1217</v>
      </c>
      <c r="B4" s="1764">
        <f>'Revenues 9-14'!C5</f>
        <v>1367763</v>
      </c>
      <c r="C4" s="1546"/>
      <c r="D4" s="1767">
        <f>B4-C4</f>
        <v>1367763</v>
      </c>
      <c r="E4" s="1546">
        <v>1421275</v>
      </c>
      <c r="F4" s="1767">
        <f>E4-C4</f>
        <v>1421275</v>
      </c>
    </row>
    <row r="5" spans="1:6" ht="13.7" customHeight="1" x14ac:dyDescent="0.2">
      <c r="A5" s="716" t="s">
        <v>925</v>
      </c>
      <c r="B5" s="1765">
        <f>'Revenues 9-14'!D5</f>
        <v>371674</v>
      </c>
      <c r="C5" s="585"/>
      <c r="D5" s="1768">
        <f t="shared" ref="D5:D18" si="0">B5-C5</f>
        <v>371674</v>
      </c>
      <c r="E5" s="585">
        <v>386216</v>
      </c>
      <c r="F5" s="1768">
        <f>E5-C5</f>
        <v>386216</v>
      </c>
    </row>
    <row r="6" spans="1:6" ht="13.7" customHeight="1" x14ac:dyDescent="0.2">
      <c r="A6" s="716" t="s">
        <v>431</v>
      </c>
      <c r="B6" s="1765">
        <f>'Revenues 9-14'!E5</f>
        <v>401948</v>
      </c>
      <c r="C6" s="585"/>
      <c r="D6" s="1768">
        <f t="shared" si="0"/>
        <v>401948</v>
      </c>
      <c r="E6" s="585">
        <v>302083</v>
      </c>
      <c r="F6" s="1768">
        <f t="shared" ref="F6:F18" si="1">E6-C6</f>
        <v>302083</v>
      </c>
    </row>
    <row r="7" spans="1:6" ht="13.7" customHeight="1" x14ac:dyDescent="0.2">
      <c r="A7" s="716" t="s">
        <v>157</v>
      </c>
      <c r="B7" s="1765">
        <f>'Revenues 9-14'!F5</f>
        <v>148670</v>
      </c>
      <c r="C7" s="585"/>
      <c r="D7" s="1768">
        <f t="shared" si="0"/>
        <v>148670</v>
      </c>
      <c r="E7" s="585">
        <v>154486</v>
      </c>
      <c r="F7" s="1768">
        <f t="shared" si="1"/>
        <v>154486</v>
      </c>
    </row>
    <row r="8" spans="1:6" ht="13.7" customHeight="1" x14ac:dyDescent="0.2">
      <c r="A8" s="716" t="s">
        <v>1241</v>
      </c>
      <c r="B8" s="1765">
        <f>'Revenues 9-14'!G5</f>
        <v>150333</v>
      </c>
      <c r="C8" s="585"/>
      <c r="D8" s="1768">
        <f t="shared" si="0"/>
        <v>150333</v>
      </c>
      <c r="E8" s="585">
        <v>150647</v>
      </c>
      <c r="F8" s="1768">
        <f t="shared" si="1"/>
        <v>150647</v>
      </c>
    </row>
    <row r="9" spans="1:6" ht="13.7" customHeight="1" x14ac:dyDescent="0.2">
      <c r="A9" s="716" t="s">
        <v>428</v>
      </c>
      <c r="B9" s="1765">
        <f>'Revenues 9-14'!H5</f>
        <v>0</v>
      </c>
      <c r="C9" s="585"/>
      <c r="D9" s="1768">
        <f t="shared" si="0"/>
        <v>0</v>
      </c>
      <c r="E9" s="585"/>
      <c r="F9" s="1768">
        <f t="shared" si="1"/>
        <v>0</v>
      </c>
    </row>
    <row r="10" spans="1:6" ht="13.7" customHeight="1" x14ac:dyDescent="0.2">
      <c r="A10" s="716" t="s">
        <v>427</v>
      </c>
      <c r="B10" s="1765">
        <f>'Revenues 9-14'!I5</f>
        <v>37167</v>
      </c>
      <c r="C10" s="585"/>
      <c r="D10" s="1768">
        <f t="shared" si="0"/>
        <v>37167</v>
      </c>
      <c r="E10" s="585">
        <v>38622</v>
      </c>
      <c r="F10" s="1768">
        <f t="shared" si="1"/>
        <v>38622</v>
      </c>
    </row>
    <row r="11" spans="1:6" x14ac:dyDescent="0.2">
      <c r="A11" s="716" t="s">
        <v>429</v>
      </c>
      <c r="B11" s="1765">
        <f>'Revenues 9-14'!J5</f>
        <v>210464</v>
      </c>
      <c r="C11" s="585"/>
      <c r="D11" s="1768">
        <f t="shared" si="0"/>
        <v>210464</v>
      </c>
      <c r="E11" s="585">
        <v>210905</v>
      </c>
      <c r="F11" s="1768">
        <f t="shared" si="1"/>
        <v>210905</v>
      </c>
    </row>
    <row r="12" spans="1:6" ht="13.7" customHeight="1" x14ac:dyDescent="0.2">
      <c r="A12" s="716" t="s">
        <v>159</v>
      </c>
      <c r="B12" s="1765">
        <f>'Revenues 9-14'!K5</f>
        <v>0</v>
      </c>
      <c r="C12" s="585"/>
      <c r="D12" s="1768">
        <f t="shared" si="0"/>
        <v>0</v>
      </c>
      <c r="E12" s="585"/>
      <c r="F12" s="1768">
        <f t="shared" si="1"/>
        <v>0</v>
      </c>
    </row>
    <row r="13" spans="1:6" ht="13.7" customHeight="1" x14ac:dyDescent="0.2">
      <c r="A13" s="716" t="s">
        <v>993</v>
      </c>
      <c r="B13" s="1765">
        <f>SUM('Revenues 9-14'!C6:D6)</f>
        <v>37168</v>
      </c>
      <c r="C13" s="585"/>
      <c r="D13" s="1768">
        <f t="shared" si="0"/>
        <v>37168</v>
      </c>
      <c r="E13" s="585">
        <v>38622</v>
      </c>
      <c r="F13" s="1768">
        <f t="shared" si="1"/>
        <v>38622</v>
      </c>
    </row>
    <row r="14" spans="1:6" ht="13.7" customHeight="1" x14ac:dyDescent="0.2">
      <c r="A14" s="716" t="s">
        <v>430</v>
      </c>
      <c r="B14" s="1765">
        <f>SUM('Revenues 9-14'!C7:D7,'Revenues 9-14'!F7:H7)</f>
        <v>29734</v>
      </c>
      <c r="C14" s="585"/>
      <c r="D14" s="1768">
        <f t="shared" si="0"/>
        <v>29734</v>
      </c>
      <c r="E14" s="585">
        <v>30897</v>
      </c>
      <c r="F14" s="1768">
        <f t="shared" si="1"/>
        <v>30897</v>
      </c>
    </row>
    <row r="15" spans="1:6" ht="13.7" customHeight="1" x14ac:dyDescent="0.2">
      <c r="A15" s="716" t="s">
        <v>1220</v>
      </c>
      <c r="B15" s="1765">
        <f>'Revenues 9-14'!E9</f>
        <v>0</v>
      </c>
      <c r="C15" s="585"/>
      <c r="D15" s="1768">
        <f t="shared" si="0"/>
        <v>0</v>
      </c>
      <c r="E15" s="585"/>
      <c r="F15" s="1768">
        <f t="shared" si="1"/>
        <v>0</v>
      </c>
    </row>
    <row r="16" spans="1:6" ht="13.7" customHeight="1" x14ac:dyDescent="0.2">
      <c r="A16" s="716" t="s">
        <v>1221</v>
      </c>
      <c r="B16" s="1765">
        <f>'Revenues 9-14'!G8</f>
        <v>150333</v>
      </c>
      <c r="C16" s="585"/>
      <c r="D16" s="1768">
        <f t="shared" si="0"/>
        <v>150333</v>
      </c>
      <c r="E16" s="585">
        <v>150647</v>
      </c>
      <c r="F16" s="1768">
        <f t="shared" si="1"/>
        <v>150647</v>
      </c>
    </row>
    <row r="17" spans="1:6" ht="13.7" customHeight="1" x14ac:dyDescent="0.2">
      <c r="A17" s="716" t="s">
        <v>1222</v>
      </c>
      <c r="B17" s="1765">
        <f>'Revenues 9-14'!C10</f>
        <v>0</v>
      </c>
      <c r="C17" s="585"/>
      <c r="D17" s="1768">
        <f t="shared" si="0"/>
        <v>0</v>
      </c>
      <c r="E17" s="585"/>
      <c r="F17" s="1768">
        <f t="shared" si="1"/>
        <v>0</v>
      </c>
    </row>
    <row r="18" spans="1:6" ht="13.7" customHeight="1" x14ac:dyDescent="0.2">
      <c r="A18" s="716" t="s">
        <v>786</v>
      </c>
      <c r="B18" s="1765">
        <f>SUM('Revenues 9-14'!C11:K11)</f>
        <v>0</v>
      </c>
      <c r="C18" s="585"/>
      <c r="D18" s="1768">
        <f t="shared" si="0"/>
        <v>0</v>
      </c>
      <c r="E18" s="585"/>
      <c r="F18" s="1768">
        <f t="shared" si="1"/>
        <v>0</v>
      </c>
    </row>
    <row r="19" spans="1:6" ht="13.7" customHeight="1" thickBot="1" x14ac:dyDescent="0.25">
      <c r="A19" s="1769" t="s">
        <v>1223</v>
      </c>
      <c r="B19" s="1766">
        <f>SUM(B4:B18)</f>
        <v>2905254</v>
      </c>
      <c r="C19" s="1766">
        <f>SUM(C4:C18)</f>
        <v>0</v>
      </c>
      <c r="D19" s="1766">
        <f>SUM(D4:D18)</f>
        <v>2905254</v>
      </c>
      <c r="E19" s="1766">
        <f>SUM(E4:E18)</f>
        <v>2884400</v>
      </c>
      <c r="F19" s="1766">
        <f>SUM(F4:F18)</f>
        <v>2884400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A2" sqref="A2:F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650</v>
      </c>
      <c r="B1" s="2199"/>
      <c r="C1" s="722"/>
    </row>
    <row r="2" spans="1:7" ht="33.75" x14ac:dyDescent="0.2">
      <c r="A2" s="2207" t="s">
        <v>1905</v>
      </c>
      <c r="B2" s="2208"/>
      <c r="C2" s="1899" t="s">
        <v>2038</v>
      </c>
      <c r="D2" s="724" t="s">
        <v>2045</v>
      </c>
      <c r="E2" s="724" t="s">
        <v>2046</v>
      </c>
      <c r="F2" s="1899" t="s">
        <v>2039</v>
      </c>
    </row>
    <row r="3" spans="1:7" ht="15.75" customHeight="1" x14ac:dyDescent="0.2">
      <c r="A3" s="2211" t="s">
        <v>1176</v>
      </c>
      <c r="B3" s="2212"/>
      <c r="C3" s="2200"/>
      <c r="D3" s="2201"/>
      <c r="E3" s="2201"/>
      <c r="F3" s="2202"/>
    </row>
    <row r="4" spans="1:7" ht="12.75" customHeight="1" thickBot="1" x14ac:dyDescent="0.25">
      <c r="A4" s="2209" t="s">
        <v>651</v>
      </c>
      <c r="B4" s="2210"/>
      <c r="C4" s="581"/>
      <c r="D4" s="581"/>
      <c r="E4" s="581"/>
      <c r="F4" s="1770">
        <f>SUM(C4+D4)-E4</f>
        <v>0</v>
      </c>
    </row>
    <row r="5" spans="1:7" ht="15.75" customHeight="1" thickTop="1" x14ac:dyDescent="0.2">
      <c r="A5" s="2194" t="s">
        <v>1172</v>
      </c>
      <c r="B5" s="2195"/>
      <c r="C5" s="2203"/>
      <c r="D5" s="2204"/>
      <c r="E5" s="2204"/>
      <c r="F5" s="2205"/>
    </row>
    <row r="6" spans="1:7" ht="12.75" customHeight="1" thickBot="1" x14ac:dyDescent="0.25">
      <c r="A6" s="725" t="s">
        <v>66</v>
      </c>
      <c r="B6" s="726"/>
      <c r="C6" s="727"/>
      <c r="D6" s="585"/>
      <c r="E6" s="727"/>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529</v>
      </c>
      <c r="B8" s="726"/>
      <c r="C8" s="727"/>
      <c r="D8" s="585"/>
      <c r="E8" s="727"/>
      <c r="F8" s="1770">
        <f t="shared" si="0"/>
        <v>0</v>
      </c>
    </row>
    <row r="9" spans="1:7" ht="12.75" customHeight="1" thickTop="1" thickBot="1" x14ac:dyDescent="0.25">
      <c r="A9" s="725" t="s">
        <v>530</v>
      </c>
      <c r="B9" s="726"/>
      <c r="C9" s="727"/>
      <c r="D9" s="585"/>
      <c r="E9" s="727"/>
      <c r="F9" s="1770">
        <f t="shared" si="0"/>
        <v>0</v>
      </c>
    </row>
    <row r="10" spans="1:7" ht="12.75" customHeight="1" thickTop="1" thickBot="1" x14ac:dyDescent="0.25">
      <c r="A10" s="725" t="s">
        <v>531</v>
      </c>
      <c r="B10" s="726"/>
      <c r="C10" s="727"/>
      <c r="D10" s="585"/>
      <c r="E10" s="727"/>
      <c r="F10" s="1770">
        <f t="shared" si="0"/>
        <v>0</v>
      </c>
    </row>
    <row r="11" spans="1:7" ht="12.75" customHeight="1" thickTop="1" thickBot="1" x14ac:dyDescent="0.25">
      <c r="A11" s="725" t="s">
        <v>359</v>
      </c>
      <c r="B11" s="726"/>
      <c r="C11" s="727"/>
      <c r="D11" s="585"/>
      <c r="E11" s="727"/>
      <c r="F11" s="1770">
        <f t="shared" si="0"/>
        <v>0</v>
      </c>
    </row>
    <row r="12" spans="1:7" ht="12.75" customHeight="1" thickTop="1" thickBot="1" x14ac:dyDescent="0.25">
      <c r="A12" s="725" t="s">
        <v>1219</v>
      </c>
      <c r="B12" s="726"/>
      <c r="C12" s="727"/>
      <c r="D12" s="585"/>
      <c r="E12" s="727"/>
      <c r="F12" s="1770">
        <f t="shared" si="0"/>
        <v>0</v>
      </c>
    </row>
    <row r="13" spans="1:7" ht="12.75" customHeight="1" thickTop="1" thickBot="1" x14ac:dyDescent="0.25">
      <c r="A13" s="725" t="s">
        <v>406</v>
      </c>
      <c r="B13" s="726"/>
      <c r="C13" s="727"/>
      <c r="D13" s="585"/>
      <c r="E13" s="727"/>
      <c r="F13" s="1770">
        <f t="shared" si="0"/>
        <v>0</v>
      </c>
    </row>
    <row r="14" spans="1:7" ht="12.75" customHeight="1" thickTop="1" thickBot="1" x14ac:dyDescent="0.25">
      <c r="A14" s="725" t="s">
        <v>468</v>
      </c>
      <c r="B14" s="726"/>
      <c r="C14" s="727"/>
      <c r="D14" s="585"/>
      <c r="E14" s="727"/>
      <c r="F14" s="1770">
        <f t="shared" si="0"/>
        <v>0</v>
      </c>
    </row>
    <row r="15" spans="1:7" ht="14.25" thickTop="1" thickBot="1" x14ac:dyDescent="0.25">
      <c r="A15" s="2196" t="s">
        <v>652</v>
      </c>
      <c r="B15" s="2197"/>
      <c r="C15" s="1770">
        <f>SUM(C6:C14)</f>
        <v>0</v>
      </c>
      <c r="D15" s="1770">
        <f>SUM(D6:D14)</f>
        <v>0</v>
      </c>
      <c r="E15" s="1770">
        <f>SUM(E6:E14)</f>
        <v>0</v>
      </c>
      <c r="F15" s="1770">
        <f>SUM(F6:F14)</f>
        <v>0</v>
      </c>
      <c r="G15" s="552"/>
    </row>
    <row r="16" spans="1:7" s="202" customFormat="1" ht="15.75" customHeight="1" thickTop="1" x14ac:dyDescent="0.2">
      <c r="A16" s="2206" t="s">
        <v>1173</v>
      </c>
      <c r="B16" s="2195"/>
      <c r="C16" s="2203"/>
      <c r="D16" s="2204"/>
      <c r="E16" s="2204"/>
      <c r="F16" s="2205"/>
    </row>
    <row r="17" spans="1:11" ht="12.75" customHeight="1" thickBot="1" x14ac:dyDescent="0.25">
      <c r="A17" s="2219" t="s">
        <v>66</v>
      </c>
      <c r="B17" s="2220"/>
      <c r="C17" s="727"/>
      <c r="D17" s="585"/>
      <c r="E17" s="727"/>
      <c r="F17" s="1770">
        <f>SUM(C17+D17)-E17</f>
        <v>0</v>
      </c>
    </row>
    <row r="18" spans="1:11" ht="12.75" customHeight="1" thickTop="1" thickBot="1" x14ac:dyDescent="0.25">
      <c r="A18" s="2219" t="s">
        <v>6</v>
      </c>
      <c r="B18" s="2220"/>
      <c r="C18" s="727"/>
      <c r="D18" s="585"/>
      <c r="E18" s="727"/>
      <c r="F18" s="1770">
        <f>SUM(C18+D18)-E18</f>
        <v>0</v>
      </c>
    </row>
    <row r="19" spans="1:11" ht="12.75" customHeight="1" thickTop="1" thickBot="1" x14ac:dyDescent="0.25">
      <c r="A19" s="2219" t="s">
        <v>406</v>
      </c>
      <c r="B19" s="2220"/>
      <c r="C19" s="727"/>
      <c r="D19" s="585"/>
      <c r="E19" s="727"/>
      <c r="F19" s="1770">
        <f>SUM(C19+D19)-E19</f>
        <v>0</v>
      </c>
    </row>
    <row r="20" spans="1:11" ht="12.75" customHeight="1" thickTop="1" thickBot="1" x14ac:dyDescent="0.25">
      <c r="A20" s="2219" t="s">
        <v>468</v>
      </c>
      <c r="B20" s="2220"/>
      <c r="C20" s="727"/>
      <c r="D20" s="585"/>
      <c r="E20" s="727"/>
      <c r="F20" s="1770">
        <f>SUM(C20+D20)-E20</f>
        <v>0</v>
      </c>
    </row>
    <row r="21" spans="1:11" ht="14.25" thickTop="1" thickBot="1" x14ac:dyDescent="0.25">
      <c r="A21" s="2196" t="s">
        <v>653</v>
      </c>
      <c r="B21" s="2197"/>
      <c r="C21" s="1770">
        <f>SUM(C17:C20)</f>
        <v>0</v>
      </c>
      <c r="D21" s="1770">
        <f>SUM(D17:D20)</f>
        <v>0</v>
      </c>
      <c r="E21" s="1770">
        <f>SUM(E17:E20)</f>
        <v>0</v>
      </c>
      <c r="F21" s="1770">
        <f>SUM(F17:F20)</f>
        <v>0</v>
      </c>
      <c r="G21" s="552"/>
    </row>
    <row r="22" spans="1:11" ht="15.75" customHeight="1" thickTop="1" x14ac:dyDescent="0.2">
      <c r="A22" s="2221" t="s">
        <v>1174</v>
      </c>
      <c r="B22" s="2195"/>
      <c r="C22" s="2203"/>
      <c r="D22" s="2204"/>
      <c r="E22" s="2204"/>
      <c r="F22" s="2205"/>
    </row>
    <row r="23" spans="1:11" ht="13.5" thickBot="1" x14ac:dyDescent="0.25">
      <c r="A23" s="2209" t="s">
        <v>654</v>
      </c>
      <c r="B23" s="2210"/>
      <c r="C23" s="581"/>
      <c r="D23" s="581"/>
      <c r="E23" s="581"/>
      <c r="F23" s="1770">
        <f>SUM(C23+D23)-E23</f>
        <v>0</v>
      </c>
      <c r="G23" s="552"/>
    </row>
    <row r="24" spans="1:11" ht="15.75" customHeight="1" thickTop="1" x14ac:dyDescent="0.2">
      <c r="A24" s="2221" t="s">
        <v>1175</v>
      </c>
      <c r="B24" s="2195"/>
      <c r="C24" s="2203"/>
      <c r="D24" s="2204"/>
      <c r="E24" s="2204"/>
      <c r="F24" s="2205"/>
    </row>
    <row r="25" spans="1:11" ht="13.5" thickBot="1" x14ac:dyDescent="0.25">
      <c r="A25" s="2209" t="s">
        <v>655</v>
      </c>
      <c r="B25" s="2210"/>
      <c r="C25" s="581"/>
      <c r="D25" s="581"/>
      <c r="E25" s="581"/>
      <c r="F25" s="1770">
        <f>SUM(C25+D25)-E25</f>
        <v>0</v>
      </c>
      <c r="G25" s="552"/>
    </row>
    <row r="26" spans="1:11" ht="15.75" customHeight="1" thickTop="1" x14ac:dyDescent="0.2">
      <c r="A26" s="2194" t="s">
        <v>678</v>
      </c>
      <c r="B26" s="2195"/>
      <c r="C26" s="728"/>
      <c r="D26" s="728"/>
      <c r="E26" s="728"/>
      <c r="F26" s="729"/>
    </row>
    <row r="27" spans="1:11" ht="13.5" thickBot="1" x14ac:dyDescent="0.25">
      <c r="A27" s="2196" t="s">
        <v>1130</v>
      </c>
      <c r="B27" s="2197"/>
      <c r="C27" s="585"/>
      <c r="D27" s="585"/>
      <c r="E27" s="585"/>
      <c r="F27" s="1770">
        <f>SUM(C27+D27)-E27</f>
        <v>0</v>
      </c>
      <c r="G27" s="552"/>
    </row>
    <row r="28" spans="1:11" ht="7.5" customHeight="1" thickTop="1" x14ac:dyDescent="0.2">
      <c r="A28" s="594"/>
    </row>
    <row r="29" spans="1:11" ht="23.25" customHeight="1" x14ac:dyDescent="0.2">
      <c r="A29" s="2222" t="s">
        <v>603</v>
      </c>
      <c r="B29" s="2199"/>
      <c r="C29" s="730"/>
      <c r="D29" s="730"/>
      <c r="E29" s="730"/>
      <c r="F29" s="730"/>
      <c r="G29" s="730"/>
      <c r="H29" s="730"/>
      <c r="I29" s="730"/>
      <c r="J29" s="730"/>
    </row>
    <row r="30" spans="1:11" ht="33.75" x14ac:dyDescent="0.2">
      <c r="A30" s="1551" t="s">
        <v>1131</v>
      </c>
      <c r="B30" s="731" t="s">
        <v>1186</v>
      </c>
      <c r="C30" s="1900" t="s">
        <v>604</v>
      </c>
      <c r="D30" s="1900" t="s">
        <v>1772</v>
      </c>
      <c r="E30" s="1900" t="s">
        <v>2040</v>
      </c>
      <c r="F30" s="1900" t="s">
        <v>2041</v>
      </c>
      <c r="G30" s="1900" t="s">
        <v>2044</v>
      </c>
      <c r="H30" s="1900" t="s">
        <v>2042</v>
      </c>
      <c r="I30" s="1900" t="s">
        <v>2043</v>
      </c>
      <c r="J30" s="1901" t="s">
        <v>2</v>
      </c>
      <c r="K30" s="732"/>
    </row>
    <row r="31" spans="1:11" ht="12" customHeight="1" x14ac:dyDescent="0.2">
      <c r="A31" s="733" t="s">
        <v>2093</v>
      </c>
      <c r="B31" s="734">
        <v>40913</v>
      </c>
      <c r="C31" s="735">
        <v>708907</v>
      </c>
      <c r="D31" s="736">
        <v>7</v>
      </c>
      <c r="E31" s="735">
        <v>708907</v>
      </c>
      <c r="F31" s="735"/>
      <c r="G31" s="735"/>
      <c r="H31" s="735"/>
      <c r="I31" s="1771">
        <f>((E31+F31)-H31)+G31</f>
        <v>708907</v>
      </c>
      <c r="J31" s="735">
        <v>708907</v>
      </c>
      <c r="K31" s="737"/>
    </row>
    <row r="32" spans="1:11" ht="12" customHeight="1" x14ac:dyDescent="0.2">
      <c r="A32" s="733" t="s">
        <v>2094</v>
      </c>
      <c r="B32" s="734">
        <v>42053</v>
      </c>
      <c r="C32" s="735">
        <v>637330</v>
      </c>
      <c r="D32" s="736">
        <v>4</v>
      </c>
      <c r="E32" s="735">
        <v>403294</v>
      </c>
      <c r="F32" s="735"/>
      <c r="G32" s="735"/>
      <c r="H32" s="735">
        <v>119108</v>
      </c>
      <c r="I32" s="1771">
        <f>((E32+F32)-H32)+G32</f>
        <v>284186</v>
      </c>
      <c r="J32" s="735">
        <v>0</v>
      </c>
      <c r="K32" s="737"/>
    </row>
    <row r="33" spans="1:11" ht="12" customHeight="1" x14ac:dyDescent="0.2">
      <c r="A33" s="733" t="s">
        <v>2094</v>
      </c>
      <c r="B33" s="734">
        <v>42053</v>
      </c>
      <c r="C33" s="735">
        <v>887670</v>
      </c>
      <c r="D33" s="736">
        <v>1</v>
      </c>
      <c r="E33" s="735">
        <v>561706</v>
      </c>
      <c r="F33" s="735"/>
      <c r="G33" s="735"/>
      <c r="H33" s="735">
        <v>165892</v>
      </c>
      <c r="I33" s="1771">
        <f t="shared" ref="I33:I48" si="1">((E33+F33)-H33)+G33</f>
        <v>395814</v>
      </c>
      <c r="J33" s="735">
        <v>351324</v>
      </c>
      <c r="K33" s="737"/>
    </row>
    <row r="34" spans="1:11" ht="12" customHeight="1" x14ac:dyDescent="0.2">
      <c r="A34" s="733"/>
      <c r="B34" s="734"/>
      <c r="C34" s="735"/>
      <c r="D34" s="736"/>
      <c r="E34" s="735"/>
      <c r="F34" s="735"/>
      <c r="G34" s="735"/>
      <c r="H34" s="735"/>
      <c r="I34" s="1771">
        <f t="shared" si="1"/>
        <v>0</v>
      </c>
      <c r="J34" s="735"/>
      <c r="K34" s="738"/>
    </row>
    <row r="35" spans="1:11" ht="12" customHeight="1" x14ac:dyDescent="0.2">
      <c r="A35" s="733"/>
      <c r="B35" s="734"/>
      <c r="C35" s="739"/>
      <c r="D35" s="736"/>
      <c r="E35" s="739"/>
      <c r="F35" s="739"/>
      <c r="G35" s="739"/>
      <c r="H35" s="739"/>
      <c r="I35" s="1771">
        <f t="shared" si="1"/>
        <v>0</v>
      </c>
      <c r="J35" s="739"/>
      <c r="K35" s="738"/>
    </row>
    <row r="36" spans="1:11" ht="12" customHeight="1" x14ac:dyDescent="0.2">
      <c r="A36" s="733"/>
      <c r="B36" s="734"/>
      <c r="C36" s="735"/>
      <c r="D36" s="736"/>
      <c r="E36" s="735"/>
      <c r="F36" s="735"/>
      <c r="G36" s="735"/>
      <c r="H36" s="735"/>
      <c r="I36" s="1771">
        <f t="shared" si="1"/>
        <v>0</v>
      </c>
      <c r="J36" s="735"/>
      <c r="K36" s="740"/>
    </row>
    <row r="37" spans="1:11" ht="12" customHeight="1" x14ac:dyDescent="0.2">
      <c r="A37" s="733"/>
      <c r="B37" s="734"/>
      <c r="C37" s="467"/>
      <c r="D37" s="741"/>
      <c r="E37" s="467"/>
      <c r="F37" s="467"/>
      <c r="G37" s="467"/>
      <c r="H37" s="467"/>
      <c r="I37" s="1771">
        <f t="shared" si="1"/>
        <v>0</v>
      </c>
      <c r="J37" s="467"/>
      <c r="K37" s="738"/>
    </row>
    <row r="38" spans="1:11" ht="12" customHeight="1" x14ac:dyDescent="0.2">
      <c r="A38" s="733"/>
      <c r="B38" s="734"/>
      <c r="C38" s="735"/>
      <c r="D38" s="742"/>
      <c r="E38" s="743"/>
      <c r="F38" s="743"/>
      <c r="G38" s="743"/>
      <c r="H38" s="743"/>
      <c r="I38" s="1771">
        <f t="shared" si="1"/>
        <v>0</v>
      </c>
      <c r="J38" s="744" t="s">
        <v>282</v>
      </c>
      <c r="K38" s="745"/>
    </row>
    <row r="39" spans="1:11" ht="12" customHeight="1" x14ac:dyDescent="0.2">
      <c r="A39" s="733"/>
      <c r="B39" s="734"/>
      <c r="C39" s="735"/>
      <c r="D39" s="742"/>
      <c r="E39" s="743"/>
      <c r="F39" s="743"/>
      <c r="G39" s="743"/>
      <c r="H39" s="743"/>
      <c r="I39" s="1771">
        <f t="shared" si="1"/>
        <v>0</v>
      </c>
      <c r="J39" s="744"/>
      <c r="K39" s="745"/>
    </row>
    <row r="40" spans="1:11" ht="12" customHeight="1" x14ac:dyDescent="0.2">
      <c r="A40" s="733"/>
      <c r="B40" s="734"/>
      <c r="C40" s="735"/>
      <c r="D40" s="742"/>
      <c r="E40" s="743"/>
      <c r="F40" s="743"/>
      <c r="G40" s="743"/>
      <c r="H40" s="743"/>
      <c r="I40" s="1771">
        <f t="shared" si="1"/>
        <v>0</v>
      </c>
      <c r="J40" s="744"/>
      <c r="K40" s="745"/>
    </row>
    <row r="41" spans="1:11" ht="12" customHeight="1" x14ac:dyDescent="0.2">
      <c r="A41" s="733"/>
      <c r="B41" s="734"/>
      <c r="C41" s="735"/>
      <c r="D41" s="742"/>
      <c r="E41" s="743"/>
      <c r="F41" s="743"/>
      <c r="G41" s="743"/>
      <c r="H41" s="743"/>
      <c r="I41" s="1771">
        <f t="shared" si="1"/>
        <v>0</v>
      </c>
      <c r="J41" s="744"/>
      <c r="K41" s="745"/>
    </row>
    <row r="42" spans="1:11" ht="12" customHeight="1" x14ac:dyDescent="0.2">
      <c r="A42" s="733"/>
      <c r="B42" s="734"/>
      <c r="C42" s="735"/>
      <c r="D42" s="742"/>
      <c r="E42" s="743"/>
      <c r="F42" s="743"/>
      <c r="G42" s="743"/>
      <c r="H42" s="743"/>
      <c r="I42" s="1771">
        <f t="shared" si="1"/>
        <v>0</v>
      </c>
      <c r="J42" s="744"/>
      <c r="K42" s="745"/>
    </row>
    <row r="43" spans="1:11" ht="12" customHeight="1" x14ac:dyDescent="0.2">
      <c r="A43" s="733"/>
      <c r="B43" s="734"/>
      <c r="C43" s="735"/>
      <c r="D43" s="742"/>
      <c r="E43" s="743"/>
      <c r="F43" s="743"/>
      <c r="G43" s="743"/>
      <c r="H43" s="743"/>
      <c r="I43" s="1771">
        <f t="shared" si="1"/>
        <v>0</v>
      </c>
      <c r="J43" s="744"/>
      <c r="K43" s="745"/>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2233907</v>
      </c>
      <c r="D49" s="746"/>
      <c r="E49" s="1771">
        <f t="shared" ref="E49:J49" si="2">SUM(E31:E48)</f>
        <v>1673907</v>
      </c>
      <c r="F49" s="1771">
        <f t="shared" si="2"/>
        <v>0</v>
      </c>
      <c r="G49" s="1771">
        <f t="shared" si="2"/>
        <v>0</v>
      </c>
      <c r="H49" s="1771">
        <f t="shared" si="2"/>
        <v>285000</v>
      </c>
      <c r="I49" s="1771">
        <f t="shared" si="2"/>
        <v>1388907</v>
      </c>
      <c r="J49" s="1771">
        <f t="shared" si="2"/>
        <v>1060231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3" t="s">
        <v>605</v>
      </c>
      <c r="C52" s="2214"/>
      <c r="D52" s="2214"/>
      <c r="E52" s="750" t="s">
        <v>900</v>
      </c>
      <c r="F52" s="2215" t="s">
        <v>2095</v>
      </c>
      <c r="G52" s="2216"/>
      <c r="H52" s="737"/>
      <c r="I52" s="737"/>
      <c r="J52" s="747"/>
    </row>
    <row r="53" spans="1:11" ht="11.25" customHeight="1" x14ac:dyDescent="0.2">
      <c r="A53" s="751" t="s">
        <v>969</v>
      </c>
      <c r="B53" s="752" t="s">
        <v>1008</v>
      </c>
      <c r="C53" s="747"/>
      <c r="D53" s="738"/>
      <c r="E53" s="750" t="s">
        <v>518</v>
      </c>
      <c r="F53" s="2217"/>
      <c r="G53" s="2218"/>
      <c r="H53" s="737"/>
      <c r="I53" s="737"/>
      <c r="J53" s="747"/>
    </row>
    <row r="54" spans="1:11" ht="11.25" customHeight="1" x14ac:dyDescent="0.2">
      <c r="A54" s="753" t="s">
        <v>970</v>
      </c>
      <c r="B54" s="748" t="s">
        <v>1009</v>
      </c>
      <c r="C54" s="747"/>
      <c r="D54" s="738"/>
      <c r="E54" s="750" t="s">
        <v>519</v>
      </c>
      <c r="F54" s="2217"/>
      <c r="G54" s="221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2" sqref="A2:F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911</v>
      </c>
      <c r="B1" s="2248"/>
      <c r="C1" s="2248"/>
      <c r="D1" s="2248"/>
      <c r="E1" s="2248"/>
      <c r="F1" s="2248"/>
      <c r="G1" s="2249"/>
      <c r="H1" s="1552"/>
      <c r="I1" s="761"/>
      <c r="J1" s="433"/>
    </row>
    <row r="2" spans="1:11" ht="26.25" x14ac:dyDescent="0.2">
      <c r="A2" s="2226" t="s">
        <v>1776</v>
      </c>
      <c r="B2" s="2227"/>
      <c r="C2" s="2227"/>
      <c r="D2" s="2227"/>
      <c r="E2" s="2228"/>
      <c r="F2" s="762" t="s">
        <v>960</v>
      </c>
      <c r="G2" s="763" t="s">
        <v>1773</v>
      </c>
      <c r="H2" s="763" t="s">
        <v>430</v>
      </c>
      <c r="I2" s="763" t="s">
        <v>1220</v>
      </c>
      <c r="J2" s="763" t="s">
        <v>1919</v>
      </c>
      <c r="K2" s="763" t="s">
        <v>140</v>
      </c>
    </row>
    <row r="3" spans="1:11" x14ac:dyDescent="0.2">
      <c r="A3" s="2229" t="s">
        <v>1698</v>
      </c>
      <c r="B3" s="2230"/>
      <c r="C3" s="2230"/>
      <c r="D3" s="2230"/>
      <c r="E3" s="2231"/>
      <c r="F3" s="764"/>
      <c r="G3" s="765"/>
      <c r="H3" s="765"/>
      <c r="I3" s="765"/>
      <c r="J3" s="766"/>
      <c r="K3" s="766"/>
    </row>
    <row r="4" spans="1:11" x14ac:dyDescent="0.2">
      <c r="A4" s="2232" t="s">
        <v>387</v>
      </c>
      <c r="B4" s="2233"/>
      <c r="C4" s="2233"/>
      <c r="D4" s="2233"/>
      <c r="E4" s="2214"/>
      <c r="F4" s="767"/>
      <c r="G4" s="768"/>
      <c r="H4" s="769"/>
      <c r="I4" s="768"/>
      <c r="J4" s="770"/>
      <c r="K4" s="770"/>
    </row>
    <row r="5" spans="1:11" x14ac:dyDescent="0.2">
      <c r="A5" s="2250" t="s">
        <v>1129</v>
      </c>
      <c r="B5" s="2223"/>
      <c r="C5" s="2223"/>
      <c r="D5" s="2223"/>
      <c r="E5" s="2251"/>
      <c r="F5" s="771" t="s">
        <v>903</v>
      </c>
      <c r="G5" s="772"/>
      <c r="H5" s="765">
        <v>29734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4370</v>
      </c>
    </row>
    <row r="8" spans="1:11" x14ac:dyDescent="0.2">
      <c r="A8" s="779" t="s">
        <v>363</v>
      </c>
      <c r="B8" s="780"/>
      <c r="C8" s="780"/>
      <c r="D8" s="780"/>
      <c r="E8" s="781"/>
      <c r="F8" s="771" t="s">
        <v>906</v>
      </c>
      <c r="G8" s="783"/>
      <c r="H8" s="783"/>
      <c r="I8" s="783"/>
      <c r="J8" s="766">
        <v>300756</v>
      </c>
      <c r="K8" s="770"/>
    </row>
    <row r="9" spans="1:11" x14ac:dyDescent="0.2">
      <c r="A9" s="779" t="s">
        <v>140</v>
      </c>
      <c r="B9" s="780"/>
      <c r="C9" s="780"/>
      <c r="D9" s="780"/>
      <c r="E9" s="781"/>
      <c r="F9" s="778" t="s">
        <v>908</v>
      </c>
      <c r="G9" s="783"/>
      <c r="H9" s="772"/>
      <c r="I9" s="772"/>
      <c r="J9" s="782"/>
      <c r="K9" s="766">
        <v>13623</v>
      </c>
    </row>
    <row r="10" spans="1:11" x14ac:dyDescent="0.2">
      <c r="A10" s="2250" t="s">
        <v>1920</v>
      </c>
      <c r="B10" s="2223"/>
      <c r="C10" s="2223"/>
      <c r="D10" s="2223"/>
      <c r="E10" s="2252"/>
      <c r="F10" s="784" t="s">
        <v>917</v>
      </c>
      <c r="G10" s="783"/>
      <c r="H10" s="785"/>
      <c r="I10" s="765"/>
      <c r="J10" s="766"/>
      <c r="K10" s="766"/>
    </row>
    <row r="11" spans="1:11" x14ac:dyDescent="0.2">
      <c r="A11" s="2250" t="s">
        <v>162</v>
      </c>
      <c r="B11" s="2223"/>
      <c r="C11" s="2223"/>
      <c r="D11" s="2223"/>
      <c r="E11" s="2251"/>
      <c r="F11" s="771" t="s">
        <v>907</v>
      </c>
      <c r="G11" s="772"/>
      <c r="H11" s="765"/>
      <c r="I11" s="765"/>
      <c r="J11" s="766"/>
      <c r="K11" s="774"/>
    </row>
    <row r="12" spans="1:11" ht="13.5" thickBot="1" x14ac:dyDescent="0.25">
      <c r="A12" s="2240" t="s">
        <v>961</v>
      </c>
      <c r="B12" s="2241"/>
      <c r="C12" s="2241"/>
      <c r="D12" s="2241"/>
      <c r="E12" s="2242"/>
      <c r="F12" s="1772"/>
      <c r="G12" s="1773">
        <f>SUM(G5:G11)</f>
        <v>0</v>
      </c>
      <c r="H12" s="1773">
        <f>SUM(H5:H11)</f>
        <v>29734</v>
      </c>
      <c r="I12" s="1773">
        <f>SUM(I5:I11)</f>
        <v>0</v>
      </c>
      <c r="J12" s="1773">
        <f>SUM(J5:J11)</f>
        <v>300756</v>
      </c>
      <c r="K12" s="1773">
        <f>SUM(K5:K11)</f>
        <v>17993</v>
      </c>
    </row>
    <row r="13" spans="1:11" ht="13.5" thickTop="1" x14ac:dyDescent="0.2">
      <c r="A13" s="2234" t="s">
        <v>388</v>
      </c>
      <c r="B13" s="2235"/>
      <c r="C13" s="2235"/>
      <c r="D13" s="2235"/>
      <c r="E13" s="2236"/>
      <c r="F13" s="786"/>
      <c r="G13" s="787"/>
      <c r="H13" s="788"/>
      <c r="I13" s="789"/>
      <c r="J13" s="789"/>
      <c r="K13" s="789"/>
    </row>
    <row r="14" spans="1:11" x14ac:dyDescent="0.2">
      <c r="A14" s="2256" t="s">
        <v>476</v>
      </c>
      <c r="B14" s="2256"/>
      <c r="C14" s="2256"/>
      <c r="D14" s="2256"/>
      <c r="E14" s="2257"/>
      <c r="F14" s="790" t="s">
        <v>909</v>
      </c>
      <c r="G14" s="783"/>
      <c r="H14" s="765">
        <v>29734</v>
      </c>
      <c r="I14" s="772"/>
      <c r="J14" s="774"/>
      <c r="K14" s="766">
        <v>17993</v>
      </c>
    </row>
    <row r="15" spans="1:11" x14ac:dyDescent="0.2">
      <c r="A15" s="2223" t="s">
        <v>4</v>
      </c>
      <c r="B15" s="2223"/>
      <c r="C15" s="2223"/>
      <c r="D15" s="2223"/>
      <c r="E15" s="2251"/>
      <c r="F15" s="790" t="s">
        <v>910</v>
      </c>
      <c r="G15" s="772"/>
      <c r="H15" s="765"/>
      <c r="I15" s="765"/>
      <c r="J15" s="766">
        <v>258749</v>
      </c>
      <c r="K15" s="766"/>
    </row>
    <row r="16" spans="1:11" x14ac:dyDescent="0.2">
      <c r="A16" s="2223" t="s">
        <v>316</v>
      </c>
      <c r="B16" s="2223"/>
      <c r="C16" s="2223"/>
      <c r="D16" s="2223"/>
      <c r="E16" s="2251"/>
      <c r="F16" s="790" t="s">
        <v>980</v>
      </c>
      <c r="G16" s="773"/>
      <c r="H16" s="768"/>
      <c r="I16" s="768"/>
      <c r="J16" s="770"/>
      <c r="K16" s="770"/>
    </row>
    <row r="17" spans="1:11" x14ac:dyDescent="0.2">
      <c r="A17" s="2245" t="s">
        <v>992</v>
      </c>
      <c r="B17" s="2245"/>
      <c r="C17" s="2245"/>
      <c r="D17" s="2245"/>
      <c r="E17" s="2246"/>
      <c r="F17" s="791"/>
      <c r="G17" s="792"/>
      <c r="H17" s="793"/>
      <c r="I17" s="793"/>
      <c r="J17" s="794"/>
      <c r="K17" s="795"/>
    </row>
    <row r="18" spans="1:11" x14ac:dyDescent="0.2">
      <c r="A18" s="2237" t="s">
        <v>386</v>
      </c>
      <c r="B18" s="2238"/>
      <c r="C18" s="2238"/>
      <c r="D18" s="2238"/>
      <c r="E18" s="2239"/>
      <c r="F18" s="790" t="s">
        <v>989</v>
      </c>
      <c r="G18" s="783"/>
      <c r="H18" s="783"/>
      <c r="I18" s="783"/>
      <c r="J18" s="766"/>
      <c r="K18" s="796"/>
    </row>
    <row r="19" spans="1:11" ht="21.75" customHeight="1" x14ac:dyDescent="0.2">
      <c r="A19" s="2258" t="s">
        <v>1916</v>
      </c>
      <c r="B19" s="2258"/>
      <c r="C19" s="2258"/>
      <c r="D19" s="2258"/>
      <c r="E19" s="2259"/>
      <c r="F19" s="790" t="s">
        <v>990</v>
      </c>
      <c r="G19" s="783"/>
      <c r="H19" s="783"/>
      <c r="I19" s="783"/>
      <c r="J19" s="766"/>
      <c r="K19" s="796"/>
    </row>
    <row r="20" spans="1:11" x14ac:dyDescent="0.2">
      <c r="A20" s="2237" t="s">
        <v>1921</v>
      </c>
      <c r="B20" s="2238"/>
      <c r="C20" s="2238"/>
      <c r="D20" s="2238"/>
      <c r="E20" s="2239"/>
      <c r="F20" s="790" t="s">
        <v>991</v>
      </c>
      <c r="G20" s="783"/>
      <c r="H20" s="783"/>
      <c r="I20" s="783"/>
      <c r="J20" s="766"/>
      <c r="K20" s="796"/>
    </row>
    <row r="21" spans="1:11" ht="13.5" thickBot="1" x14ac:dyDescent="0.25">
      <c r="A21" s="2243" t="s">
        <v>659</v>
      </c>
      <c r="B21" s="2243"/>
      <c r="C21" s="2243"/>
      <c r="D21" s="2243"/>
      <c r="E21" s="2243"/>
      <c r="F21" s="1774"/>
      <c r="G21" s="793"/>
      <c r="H21" s="797"/>
      <c r="I21" s="797"/>
      <c r="J21" s="1775">
        <f>SUM(J18:J20)</f>
        <v>0</v>
      </c>
      <c r="K21" s="794"/>
    </row>
    <row r="22" spans="1:11" ht="13.5" thickTop="1" x14ac:dyDescent="0.2">
      <c r="A22" s="2223" t="s">
        <v>1922</v>
      </c>
      <c r="B22" s="2223"/>
      <c r="C22" s="2223"/>
      <c r="D22" s="2223"/>
      <c r="E22" s="2251"/>
      <c r="F22" s="790" t="s">
        <v>917</v>
      </c>
      <c r="G22" s="783"/>
      <c r="H22" s="765"/>
      <c r="I22" s="765"/>
      <c r="J22" s="798"/>
      <c r="K22" s="766"/>
    </row>
    <row r="23" spans="1:11" ht="13.5" thickBot="1" x14ac:dyDescent="0.25">
      <c r="A23" s="2244" t="s">
        <v>962</v>
      </c>
      <c r="B23" s="2243"/>
      <c r="C23" s="2243"/>
      <c r="D23" s="2243"/>
      <c r="E23" s="2243"/>
      <c r="F23" s="1776"/>
      <c r="G23" s="1773">
        <f>SUM(G14:G16,G21,G22)</f>
        <v>0</v>
      </c>
      <c r="H23" s="1773">
        <f>SUM(H14:H16,H21,H22)</f>
        <v>29734</v>
      </c>
      <c r="I23" s="1773">
        <f>SUM(I14:I16,I21,I22)</f>
        <v>0</v>
      </c>
      <c r="J23" s="1773">
        <f>SUM(J14:J16,J21,J22)</f>
        <v>258749</v>
      </c>
      <c r="K23" s="1773">
        <f>SUM(K14:K16,K21,K22)</f>
        <v>17993</v>
      </c>
    </row>
    <row r="24" spans="1:11" ht="14.25" thickTop="1" thickBot="1" x14ac:dyDescent="0.25">
      <c r="A24" s="2244" t="s">
        <v>2026</v>
      </c>
      <c r="B24" s="2243"/>
      <c r="C24" s="2243"/>
      <c r="D24" s="2243"/>
      <c r="E24" s="2243"/>
      <c r="F24" s="1777"/>
      <c r="G24" s="1778">
        <f>SUM(G3,G12)-G23</f>
        <v>0</v>
      </c>
      <c r="H24" s="1778">
        <f>SUM(H3,H12)-H23</f>
        <v>0</v>
      </c>
      <c r="I24" s="1778">
        <f>SUM(I3,I12)-I23</f>
        <v>0</v>
      </c>
      <c r="J24" s="1778">
        <f>SUM(J3,J12)-J23</f>
        <v>42007</v>
      </c>
      <c r="K24" s="1778">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3">
        <f>G24-G25</f>
        <v>0</v>
      </c>
      <c r="H26" s="1773">
        <f>H24-H25</f>
        <v>0</v>
      </c>
      <c r="I26" s="1773">
        <f>I24-I25</f>
        <v>0</v>
      </c>
      <c r="J26" s="1773">
        <f>J24-J25</f>
        <v>42007</v>
      </c>
      <c r="K26" s="1773">
        <f>K24-K25</f>
        <v>0</v>
      </c>
    </row>
    <row r="27" spans="1:11" ht="5.25" customHeight="1" thickTop="1" x14ac:dyDescent="0.2">
      <c r="I27" s="202"/>
      <c r="J27" s="202"/>
    </row>
    <row r="28" spans="1:11" ht="29.25" customHeight="1" x14ac:dyDescent="0.2">
      <c r="A28" s="1895" t="s">
        <v>2036</v>
      </c>
      <c r="B28" s="1896"/>
      <c r="C28" s="1896"/>
      <c r="D28" s="1896"/>
      <c r="E28" s="189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53"/>
      <c r="I31" s="2254"/>
      <c r="J31" s="2254"/>
      <c r="K31" s="2254"/>
    </row>
    <row r="32" spans="1:11" x14ac:dyDescent="0.2">
      <c r="A32" s="810"/>
      <c r="B32" s="237"/>
      <c r="C32" s="237"/>
      <c r="D32" s="237"/>
      <c r="E32" s="806"/>
      <c r="F32" s="812" t="s">
        <v>561</v>
      </c>
      <c r="G32" s="765"/>
      <c r="H32" s="2255"/>
      <c r="I32" s="2254"/>
      <c r="J32" s="2254"/>
      <c r="K32" s="2254"/>
    </row>
    <row r="33" spans="1:11" ht="1.5" customHeight="1" x14ac:dyDescent="0.2">
      <c r="A33" s="813" t="s">
        <v>1231</v>
      </c>
      <c r="B33" s="364"/>
      <c r="C33" s="364"/>
      <c r="D33" s="364"/>
      <c r="E33" s="364"/>
      <c r="F33" s="364"/>
      <c r="G33" s="814"/>
      <c r="H33" s="2255"/>
      <c r="I33" s="2254"/>
      <c r="J33" s="2254"/>
      <c r="K33" s="225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23" t="s">
        <v>562</v>
      </c>
      <c r="B41" s="2224"/>
      <c r="C41" s="2224"/>
      <c r="D41" s="2224"/>
      <c r="E41" s="2224"/>
      <c r="F41" s="222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2" sqref="A2:F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2035</v>
      </c>
      <c r="B1" s="2263"/>
      <c r="C1" s="2264"/>
      <c r="D1" s="827"/>
      <c r="E1" s="828"/>
      <c r="F1" s="828"/>
      <c r="G1" s="829"/>
      <c r="H1" s="830"/>
      <c r="I1" s="831"/>
      <c r="J1" s="2260"/>
      <c r="K1" s="2261"/>
      <c r="L1" s="226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75">
        <f>(C3+D3)-E3</f>
        <v>0</v>
      </c>
      <c r="G3" s="837"/>
      <c r="H3" s="836"/>
      <c r="I3" s="836"/>
      <c r="J3" s="836"/>
      <c r="K3" s="1784">
        <f>(H3+I3)-J3</f>
        <v>0</v>
      </c>
      <c r="L3" s="1784">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122582</v>
      </c>
      <c r="D5" s="842"/>
      <c r="E5" s="842"/>
      <c r="F5" s="1775">
        <f>(C5+D5)-E5</f>
        <v>122582</v>
      </c>
      <c r="G5" s="838"/>
      <c r="H5" s="843"/>
      <c r="I5" s="843"/>
      <c r="J5" s="843"/>
      <c r="K5" s="794"/>
      <c r="L5" s="1784">
        <f>F5-K5</f>
        <v>122582</v>
      </c>
    </row>
    <row r="6" spans="1:14" ht="14.25" thickTop="1" thickBot="1" x14ac:dyDescent="0.25">
      <c r="A6" s="779" t="s">
        <v>1179</v>
      </c>
      <c r="B6" s="841">
        <v>222</v>
      </c>
      <c r="C6" s="766"/>
      <c r="D6" s="766"/>
      <c r="E6" s="766"/>
      <c r="F6" s="1775">
        <f>(C6+D6)-E6</f>
        <v>0</v>
      </c>
      <c r="G6" s="838">
        <v>50</v>
      </c>
      <c r="H6" s="766"/>
      <c r="I6" s="766"/>
      <c r="J6" s="766"/>
      <c r="K6" s="1784">
        <f>(H6+I6)-J6</f>
        <v>0</v>
      </c>
      <c r="L6" s="1784">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9495991</v>
      </c>
      <c r="D8" s="845"/>
      <c r="E8" s="845"/>
      <c r="F8" s="1775">
        <f>(C8+D8)-E8</f>
        <v>9495991</v>
      </c>
      <c r="G8" s="844">
        <v>50</v>
      </c>
      <c r="H8" s="766">
        <v>4961255</v>
      </c>
      <c r="I8" s="766">
        <v>189887</v>
      </c>
      <c r="J8" s="766"/>
      <c r="K8" s="1784">
        <f>(H8+I8)-J8</f>
        <v>5151142</v>
      </c>
      <c r="L8" s="1784">
        <f>F8-K8</f>
        <v>4344849</v>
      </c>
    </row>
    <row r="9" spans="1:14" ht="14.25" thickTop="1" thickBot="1" x14ac:dyDescent="0.25">
      <c r="A9" s="779" t="s">
        <v>1181</v>
      </c>
      <c r="B9" s="841">
        <v>232</v>
      </c>
      <c r="C9" s="766"/>
      <c r="D9" s="766"/>
      <c r="E9" s="766"/>
      <c r="F9" s="1775">
        <f>(C9+D9)-E9</f>
        <v>0</v>
      </c>
      <c r="G9" s="844">
        <v>20</v>
      </c>
      <c r="H9" s="766"/>
      <c r="I9" s="766"/>
      <c r="J9" s="766"/>
      <c r="K9" s="1784">
        <f>(H9+I9)-J9</f>
        <v>0</v>
      </c>
      <c r="L9" s="1784">
        <f>F9-K9</f>
        <v>0</v>
      </c>
    </row>
    <row r="10" spans="1:14" ht="24" thickTop="1" thickBot="1" x14ac:dyDescent="0.25">
      <c r="A10" s="846" t="s">
        <v>1182</v>
      </c>
      <c r="B10" s="841">
        <v>240</v>
      </c>
      <c r="C10" s="847">
        <v>656521</v>
      </c>
      <c r="D10" s="847">
        <v>256910</v>
      </c>
      <c r="E10" s="847"/>
      <c r="F10" s="1779">
        <f>(C10+D10)-E10</f>
        <v>913431</v>
      </c>
      <c r="G10" s="844">
        <v>20</v>
      </c>
      <c r="H10" s="848">
        <v>100076</v>
      </c>
      <c r="I10" s="848">
        <v>15333</v>
      </c>
      <c r="J10" s="848"/>
      <c r="K10" s="1784">
        <f>(H10+I10)-J10</f>
        <v>115409</v>
      </c>
      <c r="L10" s="1784">
        <f>F10-K10</f>
        <v>798022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894049</v>
      </c>
      <c r="D12" s="845">
        <v>18834</v>
      </c>
      <c r="E12" s="845">
        <v>213318</v>
      </c>
      <c r="F12" s="1775">
        <f>(C12+D12)-E12</f>
        <v>699565</v>
      </c>
      <c r="G12" s="844">
        <v>10</v>
      </c>
      <c r="H12" s="766">
        <v>606603</v>
      </c>
      <c r="I12" s="766">
        <v>90907</v>
      </c>
      <c r="J12" s="766">
        <v>213320</v>
      </c>
      <c r="K12" s="1784">
        <f>(H12+I12)-J12</f>
        <v>484190</v>
      </c>
      <c r="L12" s="1784">
        <f>F12-K12</f>
        <v>215375</v>
      </c>
    </row>
    <row r="13" spans="1:14" ht="14.25" thickTop="1" thickBot="1" x14ac:dyDescent="0.25">
      <c r="A13" s="849" t="s">
        <v>1184</v>
      </c>
      <c r="B13" s="841">
        <v>252</v>
      </c>
      <c r="C13" s="845">
        <v>1581861</v>
      </c>
      <c r="D13" s="845">
        <v>176346</v>
      </c>
      <c r="E13" s="845"/>
      <c r="F13" s="1775">
        <f>(C13+D13)-E13</f>
        <v>1758207</v>
      </c>
      <c r="G13" s="844">
        <v>5</v>
      </c>
      <c r="H13" s="766">
        <v>1456889</v>
      </c>
      <c r="I13" s="766">
        <v>81050</v>
      </c>
      <c r="J13" s="766"/>
      <c r="K13" s="1784">
        <f>(H13+I13)-J13</f>
        <v>1537939</v>
      </c>
      <c r="L13" s="1784">
        <f>F13-K13</f>
        <v>220268</v>
      </c>
    </row>
    <row r="14" spans="1:14" ht="14.25" thickTop="1" thickBot="1" x14ac:dyDescent="0.25">
      <c r="A14" s="849" t="s">
        <v>1185</v>
      </c>
      <c r="B14" s="841">
        <v>253</v>
      </c>
      <c r="C14" s="766"/>
      <c r="D14" s="766"/>
      <c r="E14" s="766"/>
      <c r="F14" s="1775">
        <f>(C14+D14)-E14</f>
        <v>0</v>
      </c>
      <c r="G14" s="844">
        <v>3</v>
      </c>
      <c r="H14" s="766"/>
      <c r="I14" s="766"/>
      <c r="J14" s="766"/>
      <c r="K14" s="1784">
        <f>(H14+I14)-J14</f>
        <v>0</v>
      </c>
      <c r="L14" s="1784">
        <f>F14-K14</f>
        <v>0</v>
      </c>
    </row>
    <row r="15" spans="1:14" ht="15" customHeight="1" thickTop="1" thickBot="1" x14ac:dyDescent="0.25">
      <c r="A15" s="1653" t="s">
        <v>549</v>
      </c>
      <c r="B15" s="1652">
        <v>260</v>
      </c>
      <c r="C15" s="845"/>
      <c r="D15" s="845"/>
      <c r="E15" s="845"/>
      <c r="F15" s="1775">
        <f>(C15+D15)-E15</f>
        <v>0</v>
      </c>
      <c r="G15" s="850" t="s">
        <v>917</v>
      </c>
      <c r="H15" s="782"/>
      <c r="I15" s="782"/>
      <c r="J15" s="782"/>
      <c r="K15" s="782"/>
      <c r="L15" s="1784">
        <f>F15-K15</f>
        <v>0</v>
      </c>
    </row>
    <row r="16" spans="1:14" ht="15" customHeight="1" thickTop="1" thickBot="1" x14ac:dyDescent="0.25">
      <c r="A16" s="1780" t="s">
        <v>664</v>
      </c>
      <c r="B16" s="1781">
        <v>200</v>
      </c>
      <c r="C16" s="1775">
        <f>SUM(C3,C5:C6,C8:C10,C12:C15)</f>
        <v>12751004</v>
      </c>
      <c r="D16" s="1775">
        <f>SUM(D3,D5:D6,D8:D10,D12:D15)</f>
        <v>452090</v>
      </c>
      <c r="E16" s="1775">
        <f>SUM(E3,E5:E6,E8:E10,E12:E15)</f>
        <v>213318</v>
      </c>
      <c r="F16" s="1775">
        <f>SUM(F3,F5:F6,F8:F10,F12:F15)</f>
        <v>12989776</v>
      </c>
      <c r="G16" s="844"/>
      <c r="H16" s="1775">
        <f>SUM(H3,H6,H8:H10,H12:H14,)</f>
        <v>7124823</v>
      </c>
      <c r="I16" s="1775">
        <f>SUM(I3,I6,I8:I10,I12:I14,)</f>
        <v>377177</v>
      </c>
      <c r="J16" s="1775">
        <f>SUM(J3,J6,J8:J10,J12:J14,)</f>
        <v>213320</v>
      </c>
      <c r="K16" s="1775">
        <f>(H16+I16)-J16</f>
        <v>7288680</v>
      </c>
      <c r="L16" s="1775">
        <f>F16-K16</f>
        <v>5701096</v>
      </c>
    </row>
    <row r="17" spans="1:12" ht="15" customHeight="1" thickTop="1" thickBot="1" x14ac:dyDescent="0.25">
      <c r="A17" s="1655" t="s">
        <v>309</v>
      </c>
      <c r="B17" s="1652">
        <v>700</v>
      </c>
      <c r="C17" s="770"/>
      <c r="D17" s="770"/>
      <c r="E17" s="770"/>
      <c r="F17" s="1775">
        <f>SUM('Expenditures 15-22'!I114,'Expenditures 15-22'!I151,'Expenditures 15-22'!I210,'Expenditures 15-22'!I312,'Expenditures 15-22'!I342,'Expenditures 15-22'!I367)</f>
        <v>0</v>
      </c>
      <c r="G17" s="838">
        <v>10</v>
      </c>
      <c r="H17" s="770"/>
      <c r="I17" s="1784">
        <f>F17/G17</f>
        <v>0</v>
      </c>
      <c r="J17" s="770"/>
      <c r="K17" s="796"/>
      <c r="L17" s="796"/>
    </row>
    <row r="18" spans="1:12" ht="14.25" thickTop="1" thickBot="1" x14ac:dyDescent="0.25">
      <c r="A18" s="1782" t="s">
        <v>706</v>
      </c>
      <c r="B18" s="1783"/>
      <c r="C18" s="772"/>
      <c r="D18" s="772"/>
      <c r="E18" s="772"/>
      <c r="F18" s="851"/>
      <c r="G18" s="852"/>
      <c r="H18" s="774"/>
      <c r="I18" s="1775">
        <f>SUM(I16,I17)</f>
        <v>377177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2" sqref="A2:F2"/>
      <selection pane="bottomLeft" activeCell="F30" sqref="F3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68" t="s">
        <v>1699</v>
      </c>
      <c r="B1" s="2269"/>
      <c r="C1" s="2269"/>
      <c r="D1" s="2269"/>
      <c r="E1" s="2269"/>
      <c r="F1" s="2270"/>
      <c r="G1" s="856"/>
    </row>
    <row r="2" spans="1:7" ht="15" customHeight="1" thickBot="1" x14ac:dyDescent="0.25">
      <c r="A2" s="2271" t="s">
        <v>498</v>
      </c>
      <c r="B2" s="2272"/>
      <c r="C2" s="2272"/>
      <c r="D2" s="2272"/>
      <c r="E2" s="2272"/>
      <c r="F2" s="227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4"/>
      <c r="B5" s="2275"/>
      <c r="C5" s="2275"/>
      <c r="D5" s="2275"/>
      <c r="E5" s="2275"/>
      <c r="F5" s="2275"/>
    </row>
    <row r="6" spans="1:7" ht="13.5" customHeight="1" thickBot="1" x14ac:dyDescent="0.25">
      <c r="A6" s="2265" t="s">
        <v>1166</v>
      </c>
      <c r="B6" s="2266"/>
      <c r="C6" s="2266"/>
      <c r="D6" s="2266"/>
      <c r="E6" s="2266"/>
      <c r="F6" s="226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4">
        <f>'Expenditures 15-22'!K114</f>
        <v>6256569</v>
      </c>
      <c r="G8" s="866"/>
    </row>
    <row r="9" spans="1:7" x14ac:dyDescent="0.2">
      <c r="A9" s="870" t="s">
        <v>480</v>
      </c>
      <c r="B9" s="871" t="s">
        <v>1989</v>
      </c>
      <c r="C9" s="872"/>
      <c r="D9" s="870" t="s">
        <v>522</v>
      </c>
      <c r="E9" s="869"/>
      <c r="F9" s="1925">
        <f>'Expenditures 15-22'!K151</f>
        <v>590308</v>
      </c>
      <c r="G9" s="873"/>
    </row>
    <row r="10" spans="1:7" x14ac:dyDescent="0.2">
      <c r="A10" s="870" t="s">
        <v>520</v>
      </c>
      <c r="B10" s="871" t="s">
        <v>1990</v>
      </c>
      <c r="C10" s="872"/>
      <c r="D10" s="870" t="s">
        <v>522</v>
      </c>
      <c r="E10" s="869"/>
      <c r="F10" s="1925">
        <f>'Expenditures 15-22'!K174</f>
        <v>303062</v>
      </c>
      <c r="G10" s="873"/>
    </row>
    <row r="11" spans="1:7" x14ac:dyDescent="0.2">
      <c r="A11" s="870" t="s">
        <v>481</v>
      </c>
      <c r="B11" s="871" t="s">
        <v>1991</v>
      </c>
      <c r="C11" s="872"/>
      <c r="D11" s="870" t="s">
        <v>522</v>
      </c>
      <c r="E11" s="869"/>
      <c r="F11" s="1925">
        <f>'Expenditures 15-22'!K210</f>
        <v>689799</v>
      </c>
      <c r="G11" s="873"/>
    </row>
    <row r="12" spans="1:7" x14ac:dyDescent="0.2">
      <c r="A12" s="870" t="s">
        <v>482</v>
      </c>
      <c r="B12" s="871" t="s">
        <v>1992</v>
      </c>
      <c r="C12" s="872"/>
      <c r="D12" s="870" t="s">
        <v>522</v>
      </c>
      <c r="E12" s="869"/>
      <c r="F12" s="1925">
        <f>'Expenditures 15-22'!K295</f>
        <v>283872</v>
      </c>
      <c r="G12" s="873"/>
    </row>
    <row r="13" spans="1:7" x14ac:dyDescent="0.2">
      <c r="A13" s="870" t="s">
        <v>108</v>
      </c>
      <c r="B13" s="871" t="s">
        <v>1993</v>
      </c>
      <c r="C13" s="872"/>
      <c r="D13" s="870" t="s">
        <v>522</v>
      </c>
      <c r="E13" s="869"/>
      <c r="F13" s="1925">
        <f>'Expenditures 15-22'!K342</f>
        <v>115972</v>
      </c>
      <c r="G13" s="874"/>
    </row>
    <row r="14" spans="1:7" ht="12" customHeight="1" thickBot="1" x14ac:dyDescent="0.25">
      <c r="A14" s="1785"/>
      <c r="B14" s="1786"/>
      <c r="C14" s="1787"/>
      <c r="D14" s="1788" t="s">
        <v>522</v>
      </c>
      <c r="E14" s="1789" t="s">
        <v>1015</v>
      </c>
      <c r="F14" s="1790">
        <f>SUM(F8:F13)</f>
        <v>8239582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6">
        <f>'Revenues 9-14'!F43</f>
        <v>0</v>
      </c>
      <c r="G18" s="866"/>
    </row>
    <row r="19" spans="1:7" x14ac:dyDescent="0.2">
      <c r="A19" s="870" t="s">
        <v>481</v>
      </c>
      <c r="B19" s="871" t="s">
        <v>1069</v>
      </c>
      <c r="C19" s="878">
        <f>'Revenues 9-14'!B47</f>
        <v>1421</v>
      </c>
      <c r="D19" s="879" t="str">
        <f>'Revenues 9-14'!A47</f>
        <v>Summer Sch - Transp. Fees from Pupils or Parents (In State)</v>
      </c>
      <c r="E19" s="880"/>
      <c r="F19" s="1927">
        <f>'Revenues 9-14'!F47</f>
        <v>0</v>
      </c>
      <c r="G19" s="866"/>
    </row>
    <row r="20" spans="1:7" x14ac:dyDescent="0.2">
      <c r="A20" s="870" t="s">
        <v>481</v>
      </c>
      <c r="B20" s="871" t="s">
        <v>1070</v>
      </c>
      <c r="C20" s="876">
        <f>'Revenues 9-14'!B48</f>
        <v>1422</v>
      </c>
      <c r="D20" s="877" t="str">
        <f>'Revenues 9-14'!A48</f>
        <v>Summer Sch - Transp. Fees from Other Districts (In State)</v>
      </c>
      <c r="E20" s="869"/>
      <c r="F20" s="1928">
        <f>'Revenues 9-14'!F48</f>
        <v>0</v>
      </c>
      <c r="G20" s="866"/>
    </row>
    <row r="21" spans="1:7" x14ac:dyDescent="0.2">
      <c r="A21" s="870" t="s">
        <v>481</v>
      </c>
      <c r="B21" s="871" t="s">
        <v>1071</v>
      </c>
      <c r="C21" s="878">
        <f>'Revenues 9-14'!B49</f>
        <v>1423</v>
      </c>
      <c r="D21" s="877" t="str">
        <f>'Revenues 9-14'!A49</f>
        <v>Summer Sch - Transp. Fees from Other Sources (In State)</v>
      </c>
      <c r="E21" s="869"/>
      <c r="F21" s="1929">
        <f>'Revenues 9-14'!F49</f>
        <v>0</v>
      </c>
      <c r="G21" s="866"/>
    </row>
    <row r="22" spans="1:7" x14ac:dyDescent="0.2">
      <c r="A22" s="870" t="s">
        <v>481</v>
      </c>
      <c r="B22" s="871" t="s">
        <v>1072</v>
      </c>
      <c r="C22" s="878">
        <f>'Revenues 9-14'!B50</f>
        <v>1424</v>
      </c>
      <c r="D22" s="877" t="str">
        <f>'Revenues 9-14'!A50</f>
        <v>Summer Sch - Transp. Fees from Other Sources (Out of State)</v>
      </c>
      <c r="E22" s="869"/>
      <c r="F22" s="1929">
        <f>'Revenues 9-14'!F50</f>
        <v>0</v>
      </c>
      <c r="G22" s="866"/>
    </row>
    <row r="23" spans="1:7" x14ac:dyDescent="0.2">
      <c r="A23" s="870" t="s">
        <v>481</v>
      </c>
      <c r="B23" s="871" t="s">
        <v>1073</v>
      </c>
      <c r="C23" s="876">
        <f>'Revenues 9-14'!B52</f>
        <v>1432</v>
      </c>
      <c r="D23" s="877" t="str">
        <f>'Revenues 9-14'!A52</f>
        <v>CTE - Transp Fees from Other Districts (In State)</v>
      </c>
      <c r="E23" s="869"/>
      <c r="F23" s="1929">
        <f>'Revenues 9-14'!F52</f>
        <v>0</v>
      </c>
      <c r="G23" s="866"/>
    </row>
    <row r="24" spans="1:7" x14ac:dyDescent="0.2">
      <c r="A24" s="870" t="s">
        <v>481</v>
      </c>
      <c r="B24" s="871" t="s">
        <v>1074</v>
      </c>
      <c r="C24" s="876">
        <f>'Revenues 9-14'!B56</f>
        <v>1442</v>
      </c>
      <c r="D24" s="877" t="str">
        <f>'Revenues 9-14'!A56</f>
        <v>Special Ed - Transp Fees from Other Districts (In State)</v>
      </c>
      <c r="E24" s="869"/>
      <c r="F24" s="1929">
        <f>'Revenues 9-14'!F56</f>
        <v>0</v>
      </c>
      <c r="G24" s="866"/>
    </row>
    <row r="25" spans="1:7" x14ac:dyDescent="0.2">
      <c r="A25" s="870" t="s">
        <v>481</v>
      </c>
      <c r="B25" s="871" t="s">
        <v>1075</v>
      </c>
      <c r="C25" s="876">
        <f>'Revenues 9-14'!B59</f>
        <v>1451</v>
      </c>
      <c r="D25" s="877" t="str">
        <f>'Revenues 9-14'!A59</f>
        <v>Adult - Transp Fees from Pupils or Parents (In State)</v>
      </c>
      <c r="E25" s="869"/>
      <c r="F25" s="1929">
        <f>'Revenues 9-14'!F59</f>
        <v>0</v>
      </c>
      <c r="G25" s="866"/>
    </row>
    <row r="26" spans="1:7" x14ac:dyDescent="0.2">
      <c r="A26" s="870" t="s">
        <v>481</v>
      </c>
      <c r="B26" s="871" t="s">
        <v>1076</v>
      </c>
      <c r="C26" s="876">
        <f>'Revenues 9-14'!B60</f>
        <v>1452</v>
      </c>
      <c r="D26" s="877" t="str">
        <f>'Revenues 9-14'!A60</f>
        <v>Adult - Transp Fees from Other Districts (In State)</v>
      </c>
      <c r="E26" s="869"/>
      <c r="F26" s="1929">
        <f>'Revenues 9-14'!F60</f>
        <v>0</v>
      </c>
      <c r="G26" s="866"/>
    </row>
    <row r="27" spans="1:7" x14ac:dyDescent="0.2">
      <c r="A27" s="870" t="s">
        <v>481</v>
      </c>
      <c r="B27" s="871" t="s">
        <v>1077</v>
      </c>
      <c r="C27" s="876">
        <f>'Revenues 9-14'!B61</f>
        <v>1453</v>
      </c>
      <c r="D27" s="877" t="str">
        <f>'Revenues 9-14'!A61</f>
        <v>Adult - Transp Fees from Other Sources (In State)</v>
      </c>
      <c r="E27" s="869"/>
      <c r="F27" s="1929">
        <f>'Revenues 9-14'!F61</f>
        <v>0</v>
      </c>
      <c r="G27" s="866"/>
    </row>
    <row r="28" spans="1:7" x14ac:dyDescent="0.2">
      <c r="A28" s="870" t="s">
        <v>481</v>
      </c>
      <c r="B28" s="871" t="s">
        <v>1078</v>
      </c>
      <c r="C28" s="876">
        <f>'Revenues 9-14'!B62</f>
        <v>1454</v>
      </c>
      <c r="D28" s="877" t="str">
        <f>'Revenues 9-14'!A62</f>
        <v>Adult - Transp Fees from Other Sources (Out of State)</v>
      </c>
      <c r="E28" s="869"/>
      <c r="F28" s="1929">
        <f>'Revenues 9-14'!F62</f>
        <v>0</v>
      </c>
      <c r="G28" s="866"/>
    </row>
    <row r="29" spans="1:7" x14ac:dyDescent="0.2">
      <c r="A29" s="870" t="s">
        <v>1159</v>
      </c>
      <c r="B29" s="871" t="s">
        <v>1683</v>
      </c>
      <c r="C29" s="881">
        <f>'Revenues 9-14'!B148</f>
        <v>3410</v>
      </c>
      <c r="D29" s="882" t="str">
        <f>'Revenues 9-14'!A148</f>
        <v>Adult Ed (from ICCB)</v>
      </c>
      <c r="E29" s="869"/>
      <c r="F29" s="1929">
        <f>SUM('Revenues 9-14'!D148,F148)</f>
        <v>0</v>
      </c>
      <c r="G29" s="866"/>
    </row>
    <row r="30" spans="1:7" x14ac:dyDescent="0.2">
      <c r="A30" s="870" t="s">
        <v>1159</v>
      </c>
      <c r="B30" s="871" t="s">
        <v>861</v>
      </c>
      <c r="C30" s="881">
        <f>'Revenues 9-14'!B149</f>
        <v>3499</v>
      </c>
      <c r="D30" s="882" t="str">
        <f>'Revenues 9-14'!A149</f>
        <v>Adult Ed - Other (Describe &amp; Itemize)</v>
      </c>
      <c r="E30" s="869"/>
      <c r="F30" s="193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9">
        <f>SUM('Revenues 9-14'!D219,'Revenues 9-14'!F219)</f>
        <v>0</v>
      </c>
      <c r="G32" s="866"/>
    </row>
    <row r="33" spans="1:7" x14ac:dyDescent="0.2">
      <c r="A33" s="870" t="s">
        <v>480</v>
      </c>
      <c r="B33" s="871" t="s">
        <v>801</v>
      </c>
      <c r="C33" s="876">
        <f>'Revenues 9-14'!B229</f>
        <v>4810</v>
      </c>
      <c r="D33" s="884" t="str">
        <f>'Revenues 9-14'!A229</f>
        <v>Federal - Adult Education</v>
      </c>
      <c r="E33" s="869"/>
      <c r="F33" s="1929">
        <f>'Revenues 9-14'!D229</f>
        <v>0</v>
      </c>
      <c r="G33" s="866"/>
    </row>
    <row r="34" spans="1:7" x14ac:dyDescent="0.2">
      <c r="A34" s="870" t="s">
        <v>479</v>
      </c>
      <c r="B34" s="870" t="s">
        <v>1545</v>
      </c>
      <c r="C34" s="887" t="str">
        <f>'Expenditures 15-22'!B7</f>
        <v>1125</v>
      </c>
      <c r="D34" s="888" t="str">
        <f>'Expenditures 15-22'!A7</f>
        <v>Pre-K Programs</v>
      </c>
      <c r="E34" s="869"/>
      <c r="F34" s="1929">
        <f>'Expenditures 15-22'!K7-SUM('Expenditures 15-22'!G7,'Expenditures 15-22'!I7)</f>
        <v>88183</v>
      </c>
      <c r="G34" s="866"/>
    </row>
    <row r="35" spans="1:7" x14ac:dyDescent="0.2">
      <c r="A35" s="870" t="s">
        <v>479</v>
      </c>
      <c r="B35" s="870" t="s">
        <v>1546</v>
      </c>
      <c r="C35" s="887" t="str">
        <f>'Expenditures 15-22'!B9</f>
        <v>1225</v>
      </c>
      <c r="D35" s="888" t="str">
        <f>'Expenditures 15-22'!A9</f>
        <v>Special Education Programs Pre-K</v>
      </c>
      <c r="E35" s="869"/>
      <c r="F35" s="192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9">
        <f>'Expenditures 15-22'!K11-SUM('Expenditures 15-22'!G11,'Expenditures 15-22'!I11)</f>
        <v>71601</v>
      </c>
      <c r="G36" s="866"/>
    </row>
    <row r="37" spans="1:7" x14ac:dyDescent="0.2">
      <c r="A37" s="870" t="s">
        <v>479</v>
      </c>
      <c r="B37" s="870" t="s">
        <v>1547</v>
      </c>
      <c r="C37" s="887">
        <f>'Expenditures 15-22'!B12</f>
        <v>1300</v>
      </c>
      <c r="D37" s="889" t="str">
        <f>'Expenditures 15-22'!A12</f>
        <v>Adult/Continuing Education Programs</v>
      </c>
      <c r="E37" s="869"/>
      <c r="F37" s="192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9">
        <f>'Expenditures 15-22'!K20</f>
        <v>0</v>
      </c>
      <c r="G39" s="866"/>
    </row>
    <row r="40" spans="1:7" x14ac:dyDescent="0.2">
      <c r="A40" s="870" t="s">
        <v>479</v>
      </c>
      <c r="B40" s="870" t="s">
        <v>120</v>
      </c>
      <c r="C40" s="887" t="str">
        <f>'Expenditures 15-22'!B21</f>
        <v>1911</v>
      </c>
      <c r="D40" s="889" t="str">
        <f>'Expenditures 15-22'!A21</f>
        <v>Regular K-12 Programs - Private Tuition</v>
      </c>
      <c r="E40" s="869"/>
      <c r="F40" s="192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9">
        <f>'Expenditures 15-22'!K26</f>
        <v>0</v>
      </c>
      <c r="G45" s="866"/>
    </row>
    <row r="46" spans="1:7" x14ac:dyDescent="0.2">
      <c r="A46" s="870" t="s">
        <v>479</v>
      </c>
      <c r="B46" s="870" t="s">
        <v>126</v>
      </c>
      <c r="C46" s="887" t="str">
        <f>'Expenditures 15-22'!B27</f>
        <v>1917</v>
      </c>
      <c r="D46" s="889" t="str">
        <f>'Expenditures 15-22'!A27</f>
        <v>CTE Programs - Private Tuition</v>
      </c>
      <c r="E46" s="869"/>
      <c r="F46" s="192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9">
        <f>'Expenditures 15-22'!K29</f>
        <v>0</v>
      </c>
      <c r="G48" s="866"/>
    </row>
    <row r="49" spans="1:7" x14ac:dyDescent="0.2">
      <c r="A49" s="870" t="s">
        <v>479</v>
      </c>
      <c r="B49" s="870" t="s">
        <v>129</v>
      </c>
      <c r="C49" s="887" t="str">
        <f>'Expenditures 15-22'!B30</f>
        <v>1920</v>
      </c>
      <c r="D49" s="889" t="str">
        <f>'Expenditures 15-22'!A30</f>
        <v>Gifted Programs - Private Tuition</v>
      </c>
      <c r="E49" s="869"/>
      <c r="F49" s="1929">
        <f>'Expenditures 15-22'!K30</f>
        <v>0</v>
      </c>
      <c r="G49" s="866"/>
    </row>
    <row r="50" spans="1:7" x14ac:dyDescent="0.2">
      <c r="A50" s="870" t="s">
        <v>479</v>
      </c>
      <c r="B50" s="870" t="s">
        <v>130</v>
      </c>
      <c r="C50" s="887" t="str">
        <f>'Expenditures 15-22'!B31</f>
        <v>1921</v>
      </c>
      <c r="D50" s="889" t="str">
        <f>'Expenditures 15-22'!A31</f>
        <v>Bilingual Programs - Private Tuition</v>
      </c>
      <c r="E50" s="869"/>
      <c r="F50" s="192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9">
        <f>'Expenditures 15-22'!K32</f>
        <v>0</v>
      </c>
      <c r="G51" s="866"/>
    </row>
    <row r="52" spans="1:7" x14ac:dyDescent="0.2">
      <c r="A52" s="870" t="s">
        <v>479</v>
      </c>
      <c r="B52" s="870" t="s">
        <v>1550</v>
      </c>
      <c r="C52" s="890" t="str">
        <f>'Expenditures 15-22'!B75</f>
        <v>3000</v>
      </c>
      <c r="D52" s="889" t="s">
        <v>469</v>
      </c>
      <c r="E52" s="869"/>
      <c r="F52" s="192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29">
        <f>'Expenditures 15-22'!K102</f>
        <v>199043</v>
      </c>
      <c r="G53" s="866"/>
    </row>
    <row r="54" spans="1:7" x14ac:dyDescent="0.2">
      <c r="A54" s="870" t="s">
        <v>479</v>
      </c>
      <c r="B54" s="870" t="s">
        <v>1552</v>
      </c>
      <c r="C54" s="890" t="s">
        <v>1039</v>
      </c>
      <c r="D54" s="886" t="s">
        <v>1157</v>
      </c>
      <c r="E54" s="869"/>
      <c r="F54" s="1929">
        <f>'Expenditures 15-22'!G114</f>
        <v>21034</v>
      </c>
      <c r="G54" s="866"/>
    </row>
    <row r="55" spans="1:7" x14ac:dyDescent="0.2">
      <c r="A55" s="870" t="s">
        <v>479</v>
      </c>
      <c r="B55" s="870" t="s">
        <v>1553</v>
      </c>
      <c r="C55" s="890" t="s">
        <v>1039</v>
      </c>
      <c r="D55" s="886" t="s">
        <v>309</v>
      </c>
      <c r="E55" s="869"/>
      <c r="F55" s="1929">
        <f>'Expenditures 15-22'!I114</f>
        <v>0</v>
      </c>
      <c r="G55" s="866"/>
    </row>
    <row r="56" spans="1:7" x14ac:dyDescent="0.2">
      <c r="A56" s="870" t="s">
        <v>480</v>
      </c>
      <c r="B56" s="870" t="s">
        <v>1554</v>
      </c>
      <c r="C56" s="887" t="str">
        <f>'Expenditures 15-22'!B130</f>
        <v>3000</v>
      </c>
      <c r="D56" s="893" t="s">
        <v>469</v>
      </c>
      <c r="E56" s="869"/>
      <c r="F56" s="192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29">
        <f>'Expenditures 15-22'!K139</f>
        <v>0</v>
      </c>
      <c r="G57" s="866"/>
    </row>
    <row r="58" spans="1:7" x14ac:dyDescent="0.2">
      <c r="A58" s="870" t="s">
        <v>480</v>
      </c>
      <c r="B58" s="870" t="s">
        <v>1995</v>
      </c>
      <c r="C58" s="887" t="s">
        <v>1039</v>
      </c>
      <c r="D58" s="886" t="s">
        <v>1157</v>
      </c>
      <c r="E58" s="869"/>
      <c r="F58" s="1931">
        <f>'Expenditures 15-22'!G151</f>
        <v>0</v>
      </c>
      <c r="G58" s="866"/>
    </row>
    <row r="59" spans="1:7" x14ac:dyDescent="0.2">
      <c r="A59" s="894" t="s">
        <v>480</v>
      </c>
      <c r="B59" s="857" t="s">
        <v>1996</v>
      </c>
      <c r="C59" s="895" t="s">
        <v>1039</v>
      </c>
      <c r="D59" s="857" t="s">
        <v>309</v>
      </c>
      <c r="F59" s="1932">
        <f>'Expenditures 15-22'!I151</f>
        <v>0</v>
      </c>
      <c r="G59" s="866"/>
    </row>
    <row r="60" spans="1:7" x14ac:dyDescent="0.2">
      <c r="A60" s="894" t="s">
        <v>520</v>
      </c>
      <c r="B60" s="857" t="s">
        <v>1997</v>
      </c>
      <c r="C60" s="895">
        <v>4000</v>
      </c>
      <c r="D60" s="857" t="s">
        <v>330</v>
      </c>
      <c r="F60" s="1930">
        <f>'Expenditures 15-22'!K160</f>
        <v>0</v>
      </c>
      <c r="G60" s="866"/>
    </row>
    <row r="61" spans="1:7" x14ac:dyDescent="0.2">
      <c r="A61" s="896" t="s">
        <v>520</v>
      </c>
      <c r="B61" s="896" t="s">
        <v>1998</v>
      </c>
      <c r="C61" s="897" t="str">
        <f>'Expenditures 15-22'!B170</f>
        <v>5300</v>
      </c>
      <c r="D61" s="898" t="s">
        <v>329</v>
      </c>
      <c r="E61" s="880"/>
      <c r="F61" s="1929">
        <f>'Expenditures 15-22'!K170</f>
        <v>285000</v>
      </c>
      <c r="G61" s="866"/>
    </row>
    <row r="62" spans="1:7" x14ac:dyDescent="0.2">
      <c r="A62" s="870" t="s">
        <v>481</v>
      </c>
      <c r="B62" s="870" t="s">
        <v>1999</v>
      </c>
      <c r="C62" s="887">
        <f>'Expenditures 15-22'!B185</f>
        <v>3000</v>
      </c>
      <c r="D62" s="877" t="s">
        <v>469</v>
      </c>
      <c r="E62" s="869"/>
      <c r="F62" s="192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29">
        <f>'Expenditures 15-22'!K196</f>
        <v>0</v>
      </c>
      <c r="G63" s="866"/>
    </row>
    <row r="64" spans="1:7" x14ac:dyDescent="0.2">
      <c r="A64" s="896" t="s">
        <v>481</v>
      </c>
      <c r="B64" s="896" t="s">
        <v>2001</v>
      </c>
      <c r="C64" s="897" t="str">
        <f>'Expenditures 15-22'!B206</f>
        <v>5300</v>
      </c>
      <c r="D64" s="893" t="s">
        <v>329</v>
      </c>
      <c r="E64" s="869"/>
      <c r="F64" s="1929">
        <f>'Expenditures 15-22'!K206</f>
        <v>0</v>
      </c>
      <c r="G64" s="866"/>
    </row>
    <row r="65" spans="1:8" x14ac:dyDescent="0.2">
      <c r="A65" s="870" t="s">
        <v>481</v>
      </c>
      <c r="B65" s="870" t="s">
        <v>2002</v>
      </c>
      <c r="C65" s="887" t="s">
        <v>1039</v>
      </c>
      <c r="D65" s="886" t="s">
        <v>1157</v>
      </c>
      <c r="E65" s="869"/>
      <c r="F65" s="1929">
        <f>'Expenditures 15-22'!G210</f>
        <v>176346</v>
      </c>
      <c r="G65" s="866"/>
    </row>
    <row r="66" spans="1:8" x14ac:dyDescent="0.2">
      <c r="A66" s="870" t="s">
        <v>481</v>
      </c>
      <c r="B66" s="870" t="s">
        <v>2003</v>
      </c>
      <c r="C66" s="887" t="s">
        <v>1039</v>
      </c>
      <c r="D66" s="886" t="s">
        <v>309</v>
      </c>
      <c r="E66" s="869"/>
      <c r="F66" s="1929">
        <f>'Expenditures 15-22'!I210</f>
        <v>0</v>
      </c>
      <c r="G66" s="866"/>
    </row>
    <row r="67" spans="1:8" x14ac:dyDescent="0.2">
      <c r="A67" s="870" t="s">
        <v>482</v>
      </c>
      <c r="B67" s="870" t="s">
        <v>2004</v>
      </c>
      <c r="C67" s="887" t="str">
        <f>'Expenditures 15-22'!B216</f>
        <v>1125</v>
      </c>
      <c r="D67" s="893" t="str">
        <f>'Expenditures 15-22'!A216</f>
        <v>Pre-K Programs</v>
      </c>
      <c r="E67" s="869"/>
      <c r="F67" s="1929">
        <f>'Expenditures 15-22'!K216</f>
        <v>3753</v>
      </c>
      <c r="G67" s="866"/>
    </row>
    <row r="68" spans="1:8" x14ac:dyDescent="0.2">
      <c r="A68" s="870" t="s">
        <v>482</v>
      </c>
      <c r="B68" s="870" t="s">
        <v>1555</v>
      </c>
      <c r="C68" s="887" t="str">
        <f>'Expenditures 15-22'!B218</f>
        <v>1225</v>
      </c>
      <c r="D68" s="893" t="str">
        <f>'Expenditures 15-22'!A218</f>
        <v>Special Education Programs - Pre-K</v>
      </c>
      <c r="E68" s="869"/>
      <c r="F68" s="192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29">
        <f>'Expenditures 15-22'!K220</f>
        <v>2631</v>
      </c>
      <c r="G69" s="866"/>
    </row>
    <row r="70" spans="1:8" x14ac:dyDescent="0.2">
      <c r="A70" s="870" t="s">
        <v>482</v>
      </c>
      <c r="B70" s="870" t="s">
        <v>2006</v>
      </c>
      <c r="C70" s="887">
        <f>'Expenditures 15-22'!B221</f>
        <v>1300</v>
      </c>
      <c r="D70" s="888" t="str">
        <f>'Expenditures 15-22'!A221</f>
        <v>Adult/Continuing Education Programs</v>
      </c>
      <c r="E70" s="869"/>
      <c r="F70" s="1929">
        <f>'Expenditures 15-22'!K221</f>
        <v>0</v>
      </c>
      <c r="G70" s="866"/>
    </row>
    <row r="71" spans="1:8" x14ac:dyDescent="0.2">
      <c r="A71" s="870" t="s">
        <v>482</v>
      </c>
      <c r="B71" s="870" t="s">
        <v>2007</v>
      </c>
      <c r="C71" s="887">
        <f>'Expenditures 15-22'!B224</f>
        <v>1600</v>
      </c>
      <c r="D71" s="888" t="str">
        <f>'Expenditures 15-22'!A224</f>
        <v>Summer School Programs</v>
      </c>
      <c r="E71" s="869"/>
      <c r="F71" s="1929">
        <f>'Expenditures 15-22'!K224</f>
        <v>0</v>
      </c>
      <c r="G71" s="866"/>
    </row>
    <row r="72" spans="1:8" x14ac:dyDescent="0.2">
      <c r="A72" s="870" t="s">
        <v>482</v>
      </c>
      <c r="B72" s="870" t="s">
        <v>2008</v>
      </c>
      <c r="C72" s="887">
        <f>'Expenditures 15-22'!B280</f>
        <v>3000</v>
      </c>
      <c r="D72" s="877" t="s">
        <v>469</v>
      </c>
      <c r="E72" s="869"/>
      <c r="F72" s="192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29">
        <f>'Expenditures 15-22'!K285</f>
        <v>0</v>
      </c>
      <c r="G73" s="866"/>
    </row>
    <row r="74" spans="1:8" x14ac:dyDescent="0.2">
      <c r="A74" s="870" t="s">
        <v>456</v>
      </c>
      <c r="B74" s="870" t="s">
        <v>2010</v>
      </c>
      <c r="C74" s="887" t="s">
        <v>915</v>
      </c>
      <c r="D74" s="888" t="s">
        <v>1567</v>
      </c>
      <c r="E74" s="869"/>
      <c r="F74" s="1933">
        <f>'Expenditures 15-22'!K334</f>
        <v>0</v>
      </c>
      <c r="G74" s="866"/>
    </row>
    <row r="75" spans="1:8" ht="5.25" customHeight="1" x14ac:dyDescent="0.2">
      <c r="A75" s="866"/>
      <c r="B75" s="876"/>
      <c r="C75" s="876"/>
      <c r="D75" s="866"/>
      <c r="E75" s="869"/>
      <c r="F75" s="883"/>
      <c r="G75" s="868"/>
    </row>
    <row r="76" spans="1:8" ht="12" thickBot="1" x14ac:dyDescent="0.25">
      <c r="A76" s="1785"/>
      <c r="B76" s="1791"/>
      <c r="C76" s="1787"/>
      <c r="D76" s="1792" t="s">
        <v>2011</v>
      </c>
      <c r="E76" s="1789" t="s">
        <v>1015</v>
      </c>
      <c r="F76" s="1793">
        <f>SUM(F18:F74)</f>
        <v>847591</v>
      </c>
      <c r="G76" s="866"/>
    </row>
    <row r="77" spans="1:8" s="894" customFormat="1" ht="12" customHeight="1" thickTop="1" thickBot="1" x14ac:dyDescent="0.25">
      <c r="A77" s="1794"/>
      <c r="B77" s="1791"/>
      <c r="C77" s="1787"/>
      <c r="D77" s="1792" t="s">
        <v>2012</v>
      </c>
      <c r="E77" s="1789"/>
      <c r="F77" s="1795">
        <f>(F14-F76)</f>
        <v>7391991</v>
      </c>
      <c r="G77" s="870"/>
    </row>
    <row r="78" spans="1:8" s="894" customFormat="1" ht="12" customHeight="1" thickTop="1" x14ac:dyDescent="0.2">
      <c r="A78" s="1796"/>
      <c r="B78" s="1791"/>
      <c r="C78" s="1787"/>
      <c r="D78" s="1792" t="s">
        <v>2059</v>
      </c>
      <c r="E78" s="1789"/>
      <c r="F78" s="899">
        <v>876.86</v>
      </c>
      <c r="G78" s="900"/>
      <c r="H78" s="870"/>
    </row>
    <row r="79" spans="1:8" s="894" customFormat="1" ht="12" customHeight="1" thickBot="1" x14ac:dyDescent="0.25">
      <c r="A79" s="1797"/>
      <c r="B79" s="1791"/>
      <c r="C79" s="1787"/>
      <c r="D79" s="1792" t="s">
        <v>2013</v>
      </c>
      <c r="E79" s="1789" t="s">
        <v>1015</v>
      </c>
      <c r="F79" s="1798">
        <f>IF(F78&gt;0,F77/F78," Complete Line 78")</f>
        <v>8430.0697944939893</v>
      </c>
      <c r="G79" s="870"/>
    </row>
    <row r="80" spans="1:8" s="894" customFormat="1" ht="8.25" customHeight="1" thickTop="1" x14ac:dyDescent="0.2">
      <c r="A80" s="901"/>
      <c r="B80" s="870"/>
      <c r="C80" s="872"/>
      <c r="D80" s="902"/>
      <c r="E80" s="869"/>
      <c r="F80" s="903"/>
      <c r="G80" s="870"/>
    </row>
    <row r="81" spans="1:7" s="894" customFormat="1" ht="12" thickBot="1" x14ac:dyDescent="0.25">
      <c r="A81" s="2265" t="s">
        <v>1167</v>
      </c>
      <c r="B81" s="2266"/>
      <c r="C81" s="2266"/>
      <c r="D81" s="2266"/>
      <c r="E81" s="2266"/>
      <c r="F81" s="226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3">
        <f>'Revenues 9-14'!F42</f>
        <v>0</v>
      </c>
      <c r="G84" s="913"/>
    </row>
    <row r="85" spans="1:7" x14ac:dyDescent="0.2">
      <c r="A85" s="909" t="s">
        <v>481</v>
      </c>
      <c r="B85" s="909" t="s">
        <v>192</v>
      </c>
      <c r="C85" s="914">
        <f>'Revenues 9-14'!B44</f>
        <v>1413</v>
      </c>
      <c r="D85" s="912" t="str">
        <f>'Revenues 9-14'!A44</f>
        <v>Regular - Transp Fees from Other Sources (In State)</v>
      </c>
      <c r="E85" s="907"/>
      <c r="F85" s="1804">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4">
        <f>'Revenues 9-14'!F45</f>
        <v>10852</v>
      </c>
      <c r="G86" s="915"/>
    </row>
    <row r="87" spans="1:7" x14ac:dyDescent="0.2">
      <c r="A87" s="909" t="s">
        <v>481</v>
      </c>
      <c r="B87" s="909" t="s">
        <v>169</v>
      </c>
      <c r="C87" s="911">
        <v>1416</v>
      </c>
      <c r="D87" s="912" t="str">
        <f>'Revenues 9-14'!A46</f>
        <v>Regular Transp Fees from Other Sources (Out of State)</v>
      </c>
      <c r="E87" s="907"/>
      <c r="F87" s="1804">
        <f>'Revenues 9-14'!F46</f>
        <v>0</v>
      </c>
      <c r="G87" s="915"/>
    </row>
    <row r="88" spans="1:7" x14ac:dyDescent="0.2">
      <c r="A88" s="909" t="s">
        <v>481</v>
      </c>
      <c r="B88" s="909" t="s">
        <v>170</v>
      </c>
      <c r="C88" s="911">
        <f>'Revenues 9-14'!B51</f>
        <v>1431</v>
      </c>
      <c r="D88" s="912" t="str">
        <f>'Revenues 9-14'!A51</f>
        <v>CTE - Transp Fees from Pupils or Parents (In State)</v>
      </c>
      <c r="E88" s="907"/>
      <c r="F88" s="1804">
        <f>'Revenues 9-14'!F51</f>
        <v>0</v>
      </c>
      <c r="G88" s="915"/>
    </row>
    <row r="89" spans="1:7" x14ac:dyDescent="0.2">
      <c r="A89" s="909" t="s">
        <v>481</v>
      </c>
      <c r="B89" s="909" t="s">
        <v>171</v>
      </c>
      <c r="C89" s="911">
        <f>'Revenues 9-14'!B53</f>
        <v>1433</v>
      </c>
      <c r="D89" s="912" t="str">
        <f>'Revenues 9-14'!A53</f>
        <v>CTE - Transp Fees from Other Sources (In State)</v>
      </c>
      <c r="E89" s="907"/>
      <c r="F89" s="1804">
        <f>'Revenues 9-14'!F53</f>
        <v>0</v>
      </c>
      <c r="G89" s="915"/>
    </row>
    <row r="90" spans="1:7" x14ac:dyDescent="0.2">
      <c r="A90" s="909" t="s">
        <v>481</v>
      </c>
      <c r="B90" s="909" t="s">
        <v>172</v>
      </c>
      <c r="C90" s="911">
        <f>'Revenues 9-14'!B54</f>
        <v>1434</v>
      </c>
      <c r="D90" s="912" t="str">
        <f>'Revenues 9-14'!A54</f>
        <v>CTE - Transp Fees from Other Sources (Out of State)</v>
      </c>
      <c r="E90" s="907"/>
      <c r="F90" s="1804">
        <f>'Revenues 9-14'!F54</f>
        <v>0</v>
      </c>
      <c r="G90" s="915"/>
    </row>
    <row r="91" spans="1:7" x14ac:dyDescent="0.2">
      <c r="A91" s="909" t="s">
        <v>481</v>
      </c>
      <c r="B91" s="909" t="s">
        <v>173</v>
      </c>
      <c r="C91" s="916">
        <f>'Revenues 9-14'!B55</f>
        <v>1441</v>
      </c>
      <c r="D91" s="912" t="str">
        <f>'Revenues 9-14'!A55</f>
        <v>Special Ed - Transp Fees from Pupils or Parents (In State)</v>
      </c>
      <c r="E91" s="907"/>
      <c r="F91" s="1804">
        <f>'Revenues 9-14'!F55</f>
        <v>0</v>
      </c>
      <c r="G91" s="915"/>
    </row>
    <row r="92" spans="1:7" x14ac:dyDescent="0.2">
      <c r="A92" s="909" t="s">
        <v>481</v>
      </c>
      <c r="B92" s="909" t="s">
        <v>174</v>
      </c>
      <c r="C92" s="911">
        <f>'Revenues 9-14'!B57</f>
        <v>1443</v>
      </c>
      <c r="D92" s="912" t="str">
        <f>'Revenues 9-14'!A57</f>
        <v>Special Ed - Transp Fees from Other Sources (In State)</v>
      </c>
      <c r="E92" s="907"/>
      <c r="F92" s="1804">
        <f>'Revenues 9-14'!F57</f>
        <v>0</v>
      </c>
      <c r="G92" s="917"/>
    </row>
    <row r="93" spans="1:7" x14ac:dyDescent="0.2">
      <c r="A93" s="909" t="s">
        <v>481</v>
      </c>
      <c r="B93" s="909" t="s">
        <v>175</v>
      </c>
      <c r="C93" s="911">
        <f>'Revenues 9-14'!B58</f>
        <v>1444</v>
      </c>
      <c r="D93" s="912" t="str">
        <f>'Revenues 9-14'!A58</f>
        <v>Special Ed - Transp Fees from Other Sources (Out of State)</v>
      </c>
      <c r="E93" s="907"/>
      <c r="F93" s="1804">
        <f>'Revenues 9-14'!F58</f>
        <v>0</v>
      </c>
      <c r="G93" s="917"/>
    </row>
    <row r="94" spans="1:7" x14ac:dyDescent="0.2">
      <c r="A94" s="909" t="s">
        <v>479</v>
      </c>
      <c r="B94" s="909" t="s">
        <v>176</v>
      </c>
      <c r="C94" s="911">
        <v>1600</v>
      </c>
      <c r="D94" s="918" t="str">
        <f>'Revenues 9-14'!A75</f>
        <v>Total Food Service</v>
      </c>
      <c r="E94" s="907"/>
      <c r="F94" s="1804">
        <f>'Revenues 9-14'!C75</f>
        <v>181511</v>
      </c>
      <c r="G94" s="913"/>
    </row>
    <row r="95" spans="1:7" x14ac:dyDescent="0.2">
      <c r="A95" s="909" t="s">
        <v>142</v>
      </c>
      <c r="B95" s="909" t="s">
        <v>177</v>
      </c>
      <c r="C95" s="911">
        <v>1700</v>
      </c>
      <c r="D95" s="919" t="str">
        <f>'Revenues 9-14'!A82</f>
        <v>Total District/School Activity Income</v>
      </c>
      <c r="E95" s="907"/>
      <c r="F95" s="1804">
        <f>SUM('Revenues 9-14'!C82,'Revenues 9-14'!D82)</f>
        <v>57625</v>
      </c>
      <c r="G95" s="913"/>
    </row>
    <row r="96" spans="1:7" x14ac:dyDescent="0.2">
      <c r="A96" s="909" t="s">
        <v>479</v>
      </c>
      <c r="B96" s="909" t="s">
        <v>178</v>
      </c>
      <c r="C96" s="911">
        <f>'Revenues 9-14'!B84</f>
        <v>1811</v>
      </c>
      <c r="D96" s="912" t="str">
        <f>'Revenues 9-14'!A84</f>
        <v>Rentals - Regular Textbooks</v>
      </c>
      <c r="E96" s="907"/>
      <c r="F96" s="1804">
        <f>'Revenues 9-14'!C84</f>
        <v>37736</v>
      </c>
      <c r="G96" s="913"/>
    </row>
    <row r="97" spans="1:7" x14ac:dyDescent="0.2">
      <c r="A97" s="909" t="s">
        <v>479</v>
      </c>
      <c r="B97" s="909" t="s">
        <v>179</v>
      </c>
      <c r="C97" s="911">
        <f>'Revenues 9-14'!B87</f>
        <v>1819</v>
      </c>
      <c r="D97" s="912" t="str">
        <f>'Revenues 9-14'!A87</f>
        <v>Rentals - Other (Describe &amp; Itemize)</v>
      </c>
      <c r="E97" s="907"/>
      <c r="F97" s="1804">
        <f>'Revenues 9-14'!C87</f>
        <v>0</v>
      </c>
      <c r="G97" s="913"/>
    </row>
    <row r="98" spans="1:7" x14ac:dyDescent="0.2">
      <c r="A98" s="909" t="s">
        <v>479</v>
      </c>
      <c r="B98" s="909" t="s">
        <v>180</v>
      </c>
      <c r="C98" s="911">
        <f>'Revenues 9-14'!B88</f>
        <v>1821</v>
      </c>
      <c r="D98" s="912" t="str">
        <f>'Revenues 9-14'!A88</f>
        <v>Sales - Regular Textbooks</v>
      </c>
      <c r="E98" s="907"/>
      <c r="F98" s="1804">
        <f>'Revenues 9-14'!C88</f>
        <v>0</v>
      </c>
      <c r="G98" s="913"/>
    </row>
    <row r="99" spans="1:7" x14ac:dyDescent="0.2">
      <c r="A99" s="909" t="s">
        <v>479</v>
      </c>
      <c r="B99" s="909" t="s">
        <v>181</v>
      </c>
      <c r="C99" s="911">
        <f>'Revenues 9-14'!B91</f>
        <v>1829</v>
      </c>
      <c r="D99" s="912" t="str">
        <f>'Revenues 9-14'!A91</f>
        <v>Sales - Other (Describe &amp; Itemize)</v>
      </c>
      <c r="E99" s="907"/>
      <c r="F99" s="1804">
        <f>'Revenues 9-14'!C91</f>
        <v>0</v>
      </c>
      <c r="G99" s="913"/>
    </row>
    <row r="100" spans="1:7" x14ac:dyDescent="0.2">
      <c r="A100" s="909" t="s">
        <v>479</v>
      </c>
      <c r="B100" s="909" t="s">
        <v>182</v>
      </c>
      <c r="C100" s="911">
        <f>'Revenues 9-14'!B92</f>
        <v>1890</v>
      </c>
      <c r="D100" s="912" t="str">
        <f>'Revenues 9-14'!A92</f>
        <v>Other (Describe &amp; Itemize)</v>
      </c>
      <c r="E100" s="907"/>
      <c r="F100" s="1804">
        <f>'Revenues 9-14'!C92</f>
        <v>0</v>
      </c>
      <c r="G100" s="913"/>
    </row>
    <row r="101" spans="1:7" x14ac:dyDescent="0.2">
      <c r="A101" s="909" t="s">
        <v>142</v>
      </c>
      <c r="B101" s="909" t="s">
        <v>183</v>
      </c>
      <c r="C101" s="911">
        <f>'Revenues 9-14'!B95</f>
        <v>1910</v>
      </c>
      <c r="D101" s="912" t="str">
        <f>'Revenues 9-14'!A95</f>
        <v>Rentals</v>
      </c>
      <c r="E101" s="907"/>
      <c r="F101" s="1804">
        <f>SUM('Revenues 9-14'!C95:D95)</f>
        <v>5765</v>
      </c>
      <c r="G101" s="913"/>
    </row>
    <row r="102" spans="1:7" x14ac:dyDescent="0.2">
      <c r="A102" s="909" t="s">
        <v>524</v>
      </c>
      <c r="B102" s="909" t="s">
        <v>184</v>
      </c>
      <c r="C102" s="911">
        <f>'Revenues 9-14'!B98</f>
        <v>1940</v>
      </c>
      <c r="D102" s="912" t="str">
        <f>'Revenues 9-14'!A98</f>
        <v>Services Provided Other Districts</v>
      </c>
      <c r="E102" s="907"/>
      <c r="F102" s="1804">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4">
        <f>SUM('Revenues 9-14'!C104,'Revenues 9-14'!D104,'Revenues 9-14'!E104,'Revenues 9-14'!F104,'Revenues 9-14'!G104)</f>
        <v>150</v>
      </c>
      <c r="G103" s="913"/>
    </row>
    <row r="104" spans="1:7" x14ac:dyDescent="0.2">
      <c r="A104" s="909" t="s">
        <v>479</v>
      </c>
      <c r="B104" s="909" t="s">
        <v>841</v>
      </c>
      <c r="C104" s="911">
        <f>'Revenues 9-14'!B106</f>
        <v>1993</v>
      </c>
      <c r="D104" s="912" t="str">
        <f>'Revenues 9-14'!A106</f>
        <v>Other Local Fees (Describe &amp; Itemize)</v>
      </c>
      <c r="E104" s="907"/>
      <c r="F104" s="1804">
        <f>('Revenues 9-14'!C106)</f>
        <v>0</v>
      </c>
      <c r="G104" s="913"/>
    </row>
    <row r="105" spans="1:7" x14ac:dyDescent="0.2">
      <c r="A105" s="909" t="s">
        <v>524</v>
      </c>
      <c r="B105" s="909" t="s">
        <v>842</v>
      </c>
      <c r="C105" s="914">
        <v>3100</v>
      </c>
      <c r="D105" s="920" t="str">
        <f>'Revenues 9-14'!A131</f>
        <v>Total Special Education</v>
      </c>
      <c r="E105" s="907"/>
      <c r="F105" s="1804">
        <f>SUM('Revenues 9-14'!C131:D131,'Revenues 9-14'!F131)</f>
        <v>155134</v>
      </c>
      <c r="G105" s="913"/>
    </row>
    <row r="106" spans="1:7" x14ac:dyDescent="0.2">
      <c r="A106" s="909" t="s">
        <v>694</v>
      </c>
      <c r="B106" s="909" t="s">
        <v>1483</v>
      </c>
      <c r="C106" s="921">
        <v>3200</v>
      </c>
      <c r="D106" s="912" t="str">
        <f>'Revenues 9-14'!A140</f>
        <v>Total Career and Technical Education</v>
      </c>
      <c r="E106" s="907"/>
      <c r="F106" s="1804">
        <f>SUM('Revenues 9-14'!C140,'Revenues 9-14'!D140,'Revenues 9-14'!G140)</f>
        <v>14590</v>
      </c>
      <c r="G106" s="913"/>
    </row>
    <row r="107" spans="1:7" x14ac:dyDescent="0.2">
      <c r="A107" s="922" t="s">
        <v>685</v>
      </c>
      <c r="B107" s="909" t="s">
        <v>843</v>
      </c>
      <c r="C107" s="921">
        <v>3300</v>
      </c>
      <c r="D107" s="912" t="str">
        <f>'Revenues 9-14'!A144</f>
        <v>Total Bilingual Ed</v>
      </c>
      <c r="E107" s="907"/>
      <c r="F107" s="1804">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4">
        <f>'Revenues 9-14'!C145</f>
        <v>2696</v>
      </c>
      <c r="G108" s="913"/>
    </row>
    <row r="109" spans="1:7" x14ac:dyDescent="0.2">
      <c r="A109" s="909" t="s">
        <v>694</v>
      </c>
      <c r="B109" s="909" t="s">
        <v>845</v>
      </c>
      <c r="C109" s="921">
        <f>'Revenues 9-14'!B146</f>
        <v>3365</v>
      </c>
      <c r="D109" s="912" t="str">
        <f>'Revenues 9-14'!A146</f>
        <v>School Breakfast Initiative</v>
      </c>
      <c r="E109" s="907"/>
      <c r="F109" s="1804">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4">
        <f>SUM('Revenues 9-14'!C147,'Revenues 9-14'!D147)</f>
        <v>13623</v>
      </c>
      <c r="G110" s="913"/>
    </row>
    <row r="111" spans="1:7" x14ac:dyDescent="0.2">
      <c r="A111" s="909" t="s">
        <v>689</v>
      </c>
      <c r="B111" s="909" t="s">
        <v>802</v>
      </c>
      <c r="C111" s="923">
        <v>3500</v>
      </c>
      <c r="D111" s="912" t="str">
        <f>'Revenues 9-14'!A154</f>
        <v>Total Transportation</v>
      </c>
      <c r="E111" s="907"/>
      <c r="F111" s="1804">
        <f>SUM('Revenues 9-14'!C154,'Revenues 9-14'!D154,'Revenues 9-14'!F154,'Revenues 9-14'!G154)</f>
        <v>445971</v>
      </c>
      <c r="G111" s="913"/>
    </row>
    <row r="112" spans="1:7" x14ac:dyDescent="0.2">
      <c r="A112" s="909" t="s">
        <v>479</v>
      </c>
      <c r="B112" s="909" t="s">
        <v>847</v>
      </c>
      <c r="C112" s="921">
        <f>'Revenues 9-14'!B155</f>
        <v>3610</v>
      </c>
      <c r="D112" s="912" t="str">
        <f>'Revenues 9-14'!A155</f>
        <v>Learning Improvement - Change Grants</v>
      </c>
      <c r="E112" s="907"/>
      <c r="F112" s="1804">
        <f>'Revenues 9-14'!C155</f>
        <v>0</v>
      </c>
      <c r="G112" s="913"/>
    </row>
    <row r="113" spans="1:7" x14ac:dyDescent="0.2">
      <c r="A113" s="909" t="s">
        <v>689</v>
      </c>
      <c r="B113" s="909" t="s">
        <v>848</v>
      </c>
      <c r="C113" s="921">
        <f>'Revenues 9-14'!B156</f>
        <v>3660</v>
      </c>
      <c r="D113" s="912" t="str">
        <f>'Revenues 9-14'!A156</f>
        <v>Scientific Literacy</v>
      </c>
      <c r="E113" s="907"/>
      <c r="F113" s="1804">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4">
        <f>SUM('Revenues 9-14'!C157,'Revenues 9-14'!F157,'Revenues 9-14'!G157)</f>
        <v>79239</v>
      </c>
      <c r="G114" s="913"/>
    </row>
    <row r="115" spans="1:7" x14ac:dyDescent="0.2">
      <c r="A115" s="909" t="s">
        <v>5</v>
      </c>
      <c r="B115" s="909" t="s">
        <v>185</v>
      </c>
      <c r="C115" s="921">
        <f>'Revenues 9-14'!B159</f>
        <v>3715</v>
      </c>
      <c r="D115" s="912" t="str">
        <f>'Revenues 9-14'!A159</f>
        <v>Reading Improvement Block Grant</v>
      </c>
      <c r="E115" s="907"/>
      <c r="F115" s="180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4">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4">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4">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3">
        <f>SUM('Revenues 9-14'!C166:G166)</f>
        <v>0</v>
      </c>
      <c r="G122" s="913"/>
    </row>
    <row r="123" spans="1:7" x14ac:dyDescent="0.2">
      <c r="A123" s="924" t="s">
        <v>525</v>
      </c>
      <c r="B123" s="924" t="s">
        <v>853</v>
      </c>
      <c r="C123" s="925">
        <f>'Revenues 9-14'!B167</f>
        <v>3815</v>
      </c>
      <c r="D123" s="926" t="str">
        <f>'Revenues 9-14'!A167</f>
        <v>State Charter Schools</v>
      </c>
      <c r="E123" s="907"/>
      <c r="F123" s="192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4">
        <f>'Revenues 9-14'!D170</f>
        <v>0</v>
      </c>
      <c r="G124" s="931"/>
    </row>
    <row r="125" spans="1:7" x14ac:dyDescent="0.2">
      <c r="A125" s="928" t="s">
        <v>521</v>
      </c>
      <c r="B125" s="928" t="s">
        <v>855</v>
      </c>
      <c r="C125" s="929">
        <f>'Revenues 9-14'!B171</f>
        <v>3999</v>
      </c>
      <c r="D125" s="930" t="s">
        <v>564</v>
      </c>
      <c r="E125" s="932"/>
      <c r="F125" s="1804">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4">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4">
        <f>SUM('Revenues 9-14'!C184,'Revenues 9-14'!D184,'Revenues 9-14'!F184,'Revenues 9-14'!G184)</f>
        <v>0</v>
      </c>
      <c r="G127" s="931"/>
    </row>
    <row r="128" spans="1:7" x14ac:dyDescent="0.2">
      <c r="A128" s="928" t="s">
        <v>689</v>
      </c>
      <c r="B128" s="928" t="s">
        <v>858</v>
      </c>
      <c r="C128" s="933">
        <v>4100</v>
      </c>
      <c r="D128" s="934" t="str">
        <f>'Revenues 9-14'!A191</f>
        <v>Total Title V</v>
      </c>
      <c r="E128" s="907"/>
      <c r="F128" s="1804">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4">
        <f>SUM('Revenues 9-14'!C201,'Revenues 9-14'!G201)</f>
        <v>198875</v>
      </c>
      <c r="G129" s="931"/>
    </row>
    <row r="130" spans="1:7" x14ac:dyDescent="0.2">
      <c r="A130" s="928" t="s">
        <v>689</v>
      </c>
      <c r="B130" s="928" t="s">
        <v>804</v>
      </c>
      <c r="C130" s="933">
        <v>4300</v>
      </c>
      <c r="D130" s="934" t="str">
        <f>'Revenues 9-14'!A211</f>
        <v>Total Title I</v>
      </c>
      <c r="E130" s="907"/>
      <c r="F130" s="1804">
        <f>SUM('Revenues 9-14'!C211,'Revenues 9-14'!D211,'Revenues 9-14'!F211,'Revenues 9-14'!G211)</f>
        <v>182735</v>
      </c>
      <c r="G130" s="931"/>
    </row>
    <row r="131" spans="1:7" x14ac:dyDescent="0.2">
      <c r="A131" s="928" t="s">
        <v>689</v>
      </c>
      <c r="B131" s="928" t="s">
        <v>805</v>
      </c>
      <c r="C131" s="933">
        <v>4400</v>
      </c>
      <c r="D131" s="934" t="str">
        <f>'Revenues 9-14'!A216</f>
        <v>Total Title IV</v>
      </c>
      <c r="E131" s="907"/>
      <c r="F131" s="1804">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4">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4">
        <f>SUM('Revenues 9-14'!C221,'Revenues 9-14'!D221,'Revenues 9-14'!F221,'Revenues 9-14'!G221)</f>
        <v>1282</v>
      </c>
      <c r="G133" s="931"/>
    </row>
    <row r="134" spans="1:7" x14ac:dyDescent="0.2">
      <c r="A134" s="928" t="s">
        <v>689</v>
      </c>
      <c r="B134" s="928" t="s">
        <v>859</v>
      </c>
      <c r="C134" s="933">
        <f>'Revenues 9-14'!B222</f>
        <v>4630</v>
      </c>
      <c r="D134" s="934" t="str">
        <f>'Revenues 9-14'!A222</f>
        <v>Fed - Spec Education - IDEA - Discretionary</v>
      </c>
      <c r="E134" s="907"/>
      <c r="F134" s="1804">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4">
        <f>SUM('Revenues 9-14'!C223:D223,'Revenues 9-14'!F223:G223)</f>
        <v>0</v>
      </c>
      <c r="G135" s="931"/>
    </row>
    <row r="136" spans="1:7" x14ac:dyDescent="0.2">
      <c r="A136" s="928" t="s">
        <v>694</v>
      </c>
      <c r="B136" s="928" t="s">
        <v>807</v>
      </c>
      <c r="C136" s="933">
        <v>4700</v>
      </c>
      <c r="D136" s="930" t="str">
        <f>'Revenues 9-14'!A228</f>
        <v>Total CTE - Perkins</v>
      </c>
      <c r="E136" s="907"/>
      <c r="F136" s="1804">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4">
        <v>0</v>
      </c>
      <c r="G142" s="906"/>
    </row>
    <row r="143" spans="1:7" s="868" customFormat="1" hidden="1" x14ac:dyDescent="0.2">
      <c r="A143" s="935" t="s">
        <v>215</v>
      </c>
      <c r="B143" s="935" t="s">
        <v>228</v>
      </c>
      <c r="C143" s="936" t="s">
        <v>225</v>
      </c>
      <c r="D143" s="937" t="str">
        <f>'Revenues 9-14'!A237</f>
        <v>ARRA - IDEA - Part B - Flow-Through</v>
      </c>
      <c r="E143" s="938"/>
      <c r="F143" s="1804">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4">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4">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4">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4">
        <v>0</v>
      </c>
      <c r="G155" s="906"/>
    </row>
    <row r="156" spans="1:7" s="868" customFormat="1" hidden="1" x14ac:dyDescent="0.2">
      <c r="A156" s="935" t="s">
        <v>215</v>
      </c>
      <c r="B156" s="935" t="s">
        <v>250</v>
      </c>
      <c r="C156" s="936" t="s">
        <v>247</v>
      </c>
      <c r="D156" s="937" t="str">
        <f>'Revenues 9-14'!A254</f>
        <v>Other ARRA Funds VII</v>
      </c>
      <c r="E156" s="938"/>
      <c r="F156" s="180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4">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4">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4">
        <f>SUM('Revenues 9-14'!C258:G258,'Revenues 9-14'!J258)</f>
        <v>0</v>
      </c>
      <c r="G160" s="906"/>
    </row>
    <row r="161" spans="1:7" s="868" customFormat="1" x14ac:dyDescent="0.2">
      <c r="A161" s="939" t="s">
        <v>521</v>
      </c>
      <c r="B161" s="940" t="s">
        <v>1564</v>
      </c>
      <c r="C161" s="941" t="s">
        <v>896</v>
      </c>
      <c r="D161" s="942" t="s">
        <v>808</v>
      </c>
      <c r="E161" s="943"/>
      <c r="F161" s="1804">
        <f>SUM(F137:F160)</f>
        <v>0</v>
      </c>
      <c r="G161" s="906"/>
    </row>
    <row r="162" spans="1:7" s="868" customFormat="1" x14ac:dyDescent="0.2">
      <c r="A162" s="939" t="s">
        <v>479</v>
      </c>
      <c r="B162" s="940" t="s">
        <v>1501</v>
      </c>
      <c r="C162" s="941" t="s">
        <v>1499</v>
      </c>
      <c r="D162" s="942" t="s">
        <v>1500</v>
      </c>
      <c r="E162" s="943"/>
      <c r="F162" s="1804">
        <f>SUM('Revenues 9-14'!C260)</f>
        <v>0</v>
      </c>
      <c r="G162" s="906"/>
    </row>
    <row r="163" spans="1:7" s="868" customFormat="1" x14ac:dyDescent="0.2">
      <c r="A163" s="939" t="s">
        <v>521</v>
      </c>
      <c r="B163" s="940" t="s">
        <v>1541</v>
      </c>
      <c r="C163" s="941" t="s">
        <v>1542</v>
      </c>
      <c r="D163" s="942" t="s">
        <v>1543</v>
      </c>
      <c r="E163" s="943"/>
      <c r="F163" s="1804">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4">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4">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4">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4">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4">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3">
        <f>SUM('Revenues 9-14'!C268,'Revenues 9-14'!D268,'Revenues 9-14'!F268,'Revenues 9-14'!G268)</f>
        <v>34417</v>
      </c>
      <c r="G170" s="931"/>
    </row>
    <row r="171" spans="1:7" x14ac:dyDescent="0.2">
      <c r="A171" s="928" t="s">
        <v>689</v>
      </c>
      <c r="B171" s="928" t="s">
        <v>864</v>
      </c>
      <c r="C171" s="933">
        <f>'Revenues 9-14'!B269</f>
        <v>4960</v>
      </c>
      <c r="D171" s="930" t="str">
        <f>'Revenues 9-14'!A269</f>
        <v>Federal Charter Schools</v>
      </c>
      <c r="E171" s="907"/>
      <c r="F171" s="1804">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4">
        <f>SUM('Revenues 9-14'!C270:D270,'Revenues 9-14'!F270:G270)</f>
        <v>14344</v>
      </c>
      <c r="G172" s="948">
        <v>6320</v>
      </c>
    </row>
    <row r="173" spans="1:7" x14ac:dyDescent="0.2">
      <c r="A173" s="928" t="s">
        <v>689</v>
      </c>
      <c r="B173" s="928" t="s">
        <v>1503</v>
      </c>
      <c r="C173" s="933">
        <f>'Revenues 9-14'!B271</f>
        <v>4992</v>
      </c>
      <c r="D173" s="934" t="str">
        <f>'Revenues 9-14'!A271</f>
        <v>Medicaid Matching Funds - Fee-for-Service Program</v>
      </c>
      <c r="E173" s="907"/>
      <c r="F173" s="1804">
        <f>SUM('Revenues 9-14'!C271:D271,'Revenues 9-14'!F271:G271)</f>
        <v>84862</v>
      </c>
      <c r="G173" s="948"/>
    </row>
    <row r="174" spans="1:7" x14ac:dyDescent="0.2">
      <c r="A174" s="949" t="s">
        <v>689</v>
      </c>
      <c r="B174" s="945" t="s">
        <v>1558</v>
      </c>
      <c r="C174" s="946">
        <f>'Revenues 9-14'!B272</f>
        <v>4999</v>
      </c>
      <c r="D174" s="947" t="str">
        <f>'Revenues 9-14'!A272</f>
        <v>Other Restricted Revenue from Federal Sources (Describe &amp; Itemize)</v>
      </c>
      <c r="E174" s="907"/>
      <c r="F174" s="1804">
        <f>SUM('Revenues 9-14'!C272:D272,'Revenues 9-14'!F272:G272)</f>
        <v>4500</v>
      </c>
      <c r="G174" s="928"/>
    </row>
    <row r="175" spans="1:7" x14ac:dyDescent="0.2">
      <c r="A175" s="1934" t="s">
        <v>5</v>
      </c>
      <c r="B175" s="1935" t="s">
        <v>2058</v>
      </c>
      <c r="C175" s="1936">
        <v>3100</v>
      </c>
      <c r="D175" s="1937" t="s">
        <v>2061</v>
      </c>
      <c r="E175" s="907"/>
      <c r="F175" s="1921"/>
      <c r="G175" s="928"/>
    </row>
    <row r="176" spans="1:7" x14ac:dyDescent="0.2">
      <c r="A176" s="1934" t="s">
        <v>685</v>
      </c>
      <c r="B176" s="1935" t="s">
        <v>2058</v>
      </c>
      <c r="C176" s="1936">
        <v>3300</v>
      </c>
      <c r="D176" s="1937" t="s">
        <v>2062</v>
      </c>
      <c r="E176" s="907"/>
      <c r="F176" s="1921"/>
      <c r="G176" s="928"/>
    </row>
    <row r="177" spans="1:7" ht="6" customHeight="1" x14ac:dyDescent="0.2">
      <c r="A177" s="928"/>
      <c r="B177" s="928"/>
      <c r="C177" s="950"/>
      <c r="D177" s="928"/>
      <c r="E177" s="907"/>
      <c r="F177" s="951"/>
      <c r="G177" s="948"/>
    </row>
    <row r="178" spans="1:7" x14ac:dyDescent="0.2">
      <c r="A178" s="1785"/>
      <c r="B178" s="1799"/>
      <c r="C178" s="1800"/>
      <c r="D178" s="1801" t="s">
        <v>2014</v>
      </c>
      <c r="E178" s="1802" t="s">
        <v>1015</v>
      </c>
      <c r="F178" s="1803">
        <f>SUM(F84:F136,F161:F176)</f>
        <v>1527407</v>
      </c>
    </row>
    <row r="179" spans="1:7" ht="12" customHeight="1" x14ac:dyDescent="0.2">
      <c r="A179" s="1785"/>
      <c r="B179" s="1799"/>
      <c r="C179" s="1800"/>
      <c r="D179" s="1801" t="s">
        <v>2015</v>
      </c>
      <c r="E179" s="1802"/>
      <c r="F179" s="1804">
        <f>'PCTC-OEPP 27-28'!F77-F178</f>
        <v>5864584</v>
      </c>
    </row>
    <row r="180" spans="1:7" ht="12" customHeight="1" x14ac:dyDescent="0.2">
      <c r="A180" s="1785"/>
      <c r="B180" s="1799"/>
      <c r="C180" s="1800"/>
      <c r="D180" s="1801" t="s">
        <v>1924</v>
      </c>
      <c r="E180" s="1802"/>
      <c r="F180" s="1804">
        <f>'Cap Outlay Deprec 26'!I18</f>
        <v>377177</v>
      </c>
    </row>
    <row r="181" spans="1:7" ht="12" customHeight="1" x14ac:dyDescent="0.2">
      <c r="A181" s="1785"/>
      <c r="B181" s="1799"/>
      <c r="C181" s="1800"/>
      <c r="D181" s="1801" t="s">
        <v>2016</v>
      </c>
      <c r="E181" s="1802"/>
      <c r="F181" s="1804">
        <f>F179+F180</f>
        <v>6241761</v>
      </c>
    </row>
    <row r="182" spans="1:7" ht="12" customHeight="1" x14ac:dyDescent="0.2">
      <c r="A182" s="1785"/>
      <c r="B182" s="1805"/>
      <c r="C182" s="1800"/>
      <c r="D182" s="1801" t="str">
        <f>D78</f>
        <v>9 Month ADA from District Average Daily Attendance/Prior General State Aid Inquiry 2017-2018</v>
      </c>
      <c r="E182" s="1802"/>
      <c r="F182" s="1806">
        <f>'PCTC-OEPP 27-28'!F78</f>
        <v>876.86</v>
      </c>
      <c r="G182" s="931"/>
    </row>
    <row r="183" spans="1:7" ht="12" customHeight="1" thickBot="1" x14ac:dyDescent="0.25">
      <c r="A183" s="1785"/>
      <c r="B183" s="1805"/>
      <c r="C183" s="1800"/>
      <c r="D183" s="1801" t="s">
        <v>2017</v>
      </c>
      <c r="E183" s="1802" t="s">
        <v>1626</v>
      </c>
      <c r="F183" s="1807">
        <f>F181/F182</f>
        <v>7118.3096503432698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38" customFormat="1" ht="12.2" customHeight="1" x14ac:dyDescent="0.2">
      <c r="A186" s="1938" t="s">
        <v>2065</v>
      </c>
      <c r="B186" s="1939"/>
      <c r="C186" s="1940"/>
      <c r="D186" s="1939"/>
      <c r="E186" s="1940"/>
      <c r="F186" s="1939"/>
      <c r="G186" s="1939"/>
    </row>
    <row r="187" spans="1:7" s="1938" customFormat="1" ht="12.2" customHeight="1" x14ac:dyDescent="0.2">
      <c r="A187" s="1941" t="s">
        <v>2066</v>
      </c>
      <c r="C187" s="1940"/>
      <c r="D187" s="1939"/>
      <c r="E187" s="1940"/>
      <c r="F187" s="1939"/>
      <c r="G187" s="1939"/>
    </row>
    <row r="188" spans="1:7" ht="12" customHeight="1" x14ac:dyDescent="0.2">
      <c r="C188" s="950"/>
      <c r="D188" s="931"/>
      <c r="E188" s="950"/>
      <c r="F188" s="931"/>
      <c r="G188" s="931"/>
    </row>
    <row r="189" spans="1:7" x14ac:dyDescent="0.2">
      <c r="A189" s="1942" t="s">
        <v>2064</v>
      </c>
      <c r="B189" s="194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Y2ry7C4uQUG3OmdeBTtrTvIiwGqzMi8qHOJm4AOfUNAwNwhN0dwPZL5YCn7mAYdl1+0E1RKTvSwENV/2SQmzcA==" saltValue="BHkhWHzqkSdv5t5JkgPVm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showGridLines="0" zoomScaleNormal="100" workbookViewId="0">
      <pane ySplit="16" topLeftCell="A17" activePane="bottomLeft" state="frozen"/>
      <selection activeCell="A2" sqref="A2:F2"/>
      <selection pane="bottomLeft" activeCell="A2" sqref="A2:F2"/>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6" t="s">
        <v>1940</v>
      </c>
      <c r="B1" s="1677"/>
      <c r="C1" s="1677"/>
      <c r="D1" s="1677"/>
      <c r="E1" s="1677"/>
      <c r="F1" s="1677"/>
      <c r="G1" s="1677"/>
    </row>
    <row r="2" spans="1:7" x14ac:dyDescent="0.25">
      <c r="A2" s="1674"/>
      <c r="B2" s="1674"/>
      <c r="C2" s="1675" t="s">
        <v>1036</v>
      </c>
      <c r="D2" s="1674"/>
      <c r="E2" s="1674"/>
      <c r="F2" s="1674"/>
      <c r="G2" s="1674"/>
    </row>
    <row r="3" spans="1:7" ht="5.25" customHeight="1" x14ac:dyDescent="0.25">
      <c r="A3" s="1567"/>
      <c r="B3" s="1567"/>
      <c r="C3" s="1567"/>
      <c r="D3" s="1567"/>
      <c r="E3" s="1567"/>
      <c r="F3" s="1567"/>
      <c r="G3" s="1567"/>
    </row>
    <row r="4" spans="1:7" ht="18.75" customHeight="1" x14ac:dyDescent="0.25">
      <c r="A4" s="2279" t="s">
        <v>1925</v>
      </c>
      <c r="B4" s="2280"/>
      <c r="C4" s="2280"/>
      <c r="D4" s="2280"/>
      <c r="E4" s="2280"/>
      <c r="F4" s="2280"/>
      <c r="G4" s="2281"/>
    </row>
    <row r="5" spans="1:7" x14ac:dyDescent="0.25">
      <c r="A5" s="2282"/>
      <c r="B5" s="2283"/>
      <c r="C5" s="2283"/>
      <c r="D5" s="2283"/>
      <c r="E5" s="2283"/>
      <c r="F5" s="2283"/>
      <c r="G5" s="2284"/>
    </row>
    <row r="6" spans="1:7" ht="18.75" x14ac:dyDescent="0.25">
      <c r="A6" s="1556" t="s">
        <v>1926</v>
      </c>
      <c r="B6" s="1557"/>
      <c r="C6" s="1557"/>
      <c r="D6" s="1557"/>
      <c r="E6" s="1557"/>
      <c r="F6" s="1557"/>
      <c r="G6" s="1558"/>
    </row>
    <row r="7" spans="1:7" ht="30.75" customHeight="1" x14ac:dyDescent="0.25">
      <c r="A7" s="2285" t="s">
        <v>2075</v>
      </c>
      <c r="B7" s="2286"/>
      <c r="C7" s="2286"/>
      <c r="D7" s="2286"/>
      <c r="E7" s="2286"/>
      <c r="F7" s="2286"/>
      <c r="G7" s="2287"/>
    </row>
    <row r="8" spans="1:7" ht="15.75" customHeight="1" x14ac:dyDescent="0.25">
      <c r="A8" s="2288" t="s">
        <v>2024</v>
      </c>
      <c r="B8" s="2289"/>
      <c r="C8" s="2289"/>
      <c r="D8" s="2289"/>
      <c r="E8" s="2289"/>
      <c r="F8" s="2289"/>
      <c r="G8" s="2290"/>
    </row>
    <row r="9" spans="1:7" ht="35.25" customHeight="1" x14ac:dyDescent="0.25">
      <c r="A9" s="2285" t="s">
        <v>2023</v>
      </c>
      <c r="B9" s="2286"/>
      <c r="C9" s="2286"/>
      <c r="D9" s="2286"/>
      <c r="E9" s="2286"/>
      <c r="F9" s="2286"/>
      <c r="G9" s="2287"/>
    </row>
    <row r="10" spans="1:7" ht="15" customHeight="1" x14ac:dyDescent="0.25">
      <c r="A10" s="1559" t="s">
        <v>1927</v>
      </c>
      <c r="B10" s="1560"/>
      <c r="C10" s="1560"/>
      <c r="D10" s="1560"/>
      <c r="E10" s="1560"/>
      <c r="F10" s="1560"/>
      <c r="G10" s="1561"/>
    </row>
    <row r="11" spans="1:7" ht="17.25" customHeight="1" x14ac:dyDescent="0.25">
      <c r="A11" s="2285" t="s">
        <v>1941</v>
      </c>
      <c r="B11" s="2286"/>
      <c r="C11" s="2286"/>
      <c r="D11" s="2286"/>
      <c r="E11" s="2286"/>
      <c r="F11" s="2286"/>
      <c r="G11" s="2287"/>
    </row>
    <row r="12" spans="1:7" ht="15" customHeight="1" x14ac:dyDescent="0.25">
      <c r="A12" s="1559" t="s">
        <v>1932</v>
      </c>
      <c r="B12" s="1560"/>
      <c r="C12" s="1560"/>
      <c r="D12" s="1560"/>
      <c r="E12" s="1560"/>
      <c r="F12" s="1560"/>
      <c r="G12" s="1561"/>
    </row>
    <row r="13" spans="1:7" ht="32.25" customHeight="1" x14ac:dyDescent="0.25">
      <c r="A13" s="2276" t="s">
        <v>1933</v>
      </c>
      <c r="B13" s="2277"/>
      <c r="C13" s="2277"/>
      <c r="D13" s="2277"/>
      <c r="E13" s="2277"/>
      <c r="F13" s="2277"/>
      <c r="G13" s="2278"/>
    </row>
    <row r="14" spans="1:7" x14ac:dyDescent="0.25">
      <c r="A14" s="1678" t="s">
        <v>1942</v>
      </c>
      <c r="B14" s="1679"/>
      <c r="C14" s="1679"/>
      <c r="D14" s="1679"/>
      <c r="E14" s="1679"/>
      <c r="F14" s="1679"/>
      <c r="G14" s="1680"/>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69" t="s">
        <v>1943</v>
      </c>
      <c r="B16" s="1670" t="s">
        <v>1931</v>
      </c>
      <c r="C16" s="1671" t="s">
        <v>1929</v>
      </c>
      <c r="D16" s="1672">
        <v>500000</v>
      </c>
      <c r="E16" s="1672">
        <f>IF(D16&lt;=25000,D16,IF(D16&gt;25000,25000,0))</f>
        <v>25000</v>
      </c>
      <c r="F16" s="167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7" x14ac:dyDescent="0.25">
      <c r="A17" s="1947" t="s">
        <v>2126</v>
      </c>
      <c r="B17" s="1948" t="s">
        <v>2139</v>
      </c>
      <c r="C17" s="1949" t="s">
        <v>2127</v>
      </c>
      <c r="D17" s="1859">
        <v>9620</v>
      </c>
      <c r="E17" s="1562">
        <f t="shared" ref="E17:E23" si="1">IF(D17&lt;=25000,D17,IF(D17&gt;25000,25000,0))</f>
        <v>9620</v>
      </c>
      <c r="F17" s="1808">
        <f t="shared" ref="F17:F23"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9620</v>
      </c>
      <c r="G17" s="1809">
        <f t="shared" ref="G17:G23" si="3">IF(F17=0,0,D17-F17)</f>
        <v>0</v>
      </c>
    </row>
    <row r="18" spans="1:7" ht="30" x14ac:dyDescent="0.25">
      <c r="A18" s="1947" t="s">
        <v>2125</v>
      </c>
      <c r="B18" s="1948" t="s">
        <v>2138</v>
      </c>
      <c r="C18" s="1949" t="s">
        <v>2128</v>
      </c>
      <c r="D18" s="1859">
        <v>15000</v>
      </c>
      <c r="E18" s="1562">
        <f t="shared" si="1"/>
        <v>15000</v>
      </c>
      <c r="F18" s="1808">
        <f t="shared" si="2"/>
        <v>15000</v>
      </c>
      <c r="G18" s="1809">
        <f t="shared" si="3"/>
        <v>0</v>
      </c>
    </row>
    <row r="19" spans="1:7" x14ac:dyDescent="0.25">
      <c r="A19" s="1947" t="s">
        <v>2129</v>
      </c>
      <c r="B19" s="1948" t="s">
        <v>2141</v>
      </c>
      <c r="C19" s="1949" t="s">
        <v>2130</v>
      </c>
      <c r="D19" s="1859">
        <v>71629</v>
      </c>
      <c r="E19" s="1562">
        <f t="shared" si="1"/>
        <v>25000</v>
      </c>
      <c r="F19" s="1808">
        <f t="shared" si="2"/>
        <v>25000</v>
      </c>
      <c r="G19" s="1809">
        <f t="shared" si="3"/>
        <v>46629</v>
      </c>
    </row>
    <row r="20" spans="1:7" x14ac:dyDescent="0.25">
      <c r="A20" s="1947" t="s">
        <v>2131</v>
      </c>
      <c r="B20" s="1948" t="s">
        <v>2140</v>
      </c>
      <c r="C20" s="1949" t="s">
        <v>2132</v>
      </c>
      <c r="D20" s="1859">
        <v>102126</v>
      </c>
      <c r="E20" s="1562">
        <f t="shared" si="1"/>
        <v>25000</v>
      </c>
      <c r="F20" s="1808">
        <f t="shared" si="2"/>
        <v>25000</v>
      </c>
      <c r="G20" s="1809">
        <f t="shared" si="3"/>
        <v>77126</v>
      </c>
    </row>
    <row r="21" spans="1:7" ht="30" x14ac:dyDescent="0.25">
      <c r="A21" s="1947" t="s">
        <v>2133</v>
      </c>
      <c r="B21" s="1948" t="s">
        <v>2142</v>
      </c>
      <c r="C21" s="1949" t="s">
        <v>2134</v>
      </c>
      <c r="D21" s="1859">
        <v>5319</v>
      </c>
      <c r="E21" s="1562">
        <f t="shared" si="1"/>
        <v>5319</v>
      </c>
      <c r="F21" s="1808">
        <f t="shared" si="2"/>
        <v>0</v>
      </c>
      <c r="G21" s="1809">
        <f t="shared" si="3"/>
        <v>0</v>
      </c>
    </row>
    <row r="22" spans="1:7" ht="30" x14ac:dyDescent="0.25">
      <c r="A22" s="1947" t="s">
        <v>2124</v>
      </c>
      <c r="B22" s="1948" t="s">
        <v>2138</v>
      </c>
      <c r="C22" s="1949" t="s">
        <v>2135</v>
      </c>
      <c r="D22" s="1859">
        <v>6754</v>
      </c>
      <c r="E22" s="1562">
        <f t="shared" si="1"/>
        <v>6754</v>
      </c>
      <c r="F22" s="1808">
        <f t="shared" si="2"/>
        <v>6754</v>
      </c>
      <c r="G22" s="1809">
        <f t="shared" si="3"/>
        <v>0</v>
      </c>
    </row>
    <row r="23" spans="1:7" x14ac:dyDescent="0.25">
      <c r="A23" s="1947" t="s">
        <v>2136</v>
      </c>
      <c r="B23" s="1948" t="s">
        <v>2143</v>
      </c>
      <c r="C23" s="1949" t="s">
        <v>2137</v>
      </c>
      <c r="D23" s="1859">
        <v>2990</v>
      </c>
      <c r="E23" s="1562">
        <f t="shared" si="1"/>
        <v>2990</v>
      </c>
      <c r="F23" s="1808">
        <f t="shared" si="2"/>
        <v>2990</v>
      </c>
      <c r="G23" s="1809">
        <f t="shared" si="3"/>
        <v>0</v>
      </c>
    </row>
    <row r="24" spans="1:7" x14ac:dyDescent="0.25">
      <c r="A24" s="1812" t="s">
        <v>158</v>
      </c>
      <c r="B24" s="1813"/>
      <c r="C24" s="1814"/>
      <c r="D24" s="1810">
        <f>SUM(D17:D23)</f>
        <v>213438</v>
      </c>
      <c r="E24" s="1563">
        <f t="shared" ref="E24" si="4">IF(D24&lt;=25000,D24,IF(D24&gt;25000,25000,0))</f>
        <v>25000</v>
      </c>
      <c r="F24" s="1810">
        <f>SUM(F17:F23)</f>
        <v>84364</v>
      </c>
      <c r="G24" s="1811">
        <f>SUM(G17:G23)</f>
        <v>123755</v>
      </c>
    </row>
  </sheetData>
  <sheetProtection selectLockedCells="1"/>
  <mergeCells count="6">
    <mergeCell ref="A13:G13"/>
    <mergeCell ref="A4:G5"/>
    <mergeCell ref="A11:G11"/>
    <mergeCell ref="A7:G7"/>
    <mergeCell ref="A8:G8"/>
    <mergeCell ref="A9:G9"/>
  </mergeCells>
  <pageMargins left="0.2" right="0.2" top="0.5" bottom="0.25" header="0.3" footer="0.3"/>
  <pageSetup scale="72" firstPageNumber="3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2" colorId="8" zoomScale="110" zoomScaleNormal="110" workbookViewId="0">
      <selection activeCell="A2" sqref="A2:F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1" t="s">
        <v>1778</v>
      </c>
      <c r="B5" s="2292"/>
      <c r="C5" s="2292"/>
      <c r="D5" s="2292"/>
      <c r="E5" s="2292"/>
      <c r="F5" s="2292"/>
      <c r="G5" s="229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160850</v>
      </c>
      <c r="F10" s="975"/>
      <c r="G10" s="976"/>
      <c r="H10" s="162"/>
      <c r="I10" s="162"/>
    </row>
    <row r="11" spans="1:9" s="669" customFormat="1" ht="22.5" customHeight="1" x14ac:dyDescent="0.2">
      <c r="A11" s="2296" t="s">
        <v>1945</v>
      </c>
      <c r="B11" s="2297"/>
      <c r="C11" s="2297"/>
      <c r="D11" s="2298"/>
      <c r="E11" s="978">
        <v>40334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5"/>
      <c r="E19" s="1816">
        <f>'Expenditures 15-22'!K33-SUM('Expenditures 15-22'!G33,'Expenditures 15-22'!I33)+'Expenditures 15-22'!D229</f>
        <v>4789745</v>
      </c>
      <c r="F19" s="1815"/>
      <c r="G19" s="1817">
        <f>'Expenditures 15-22'!K33-SUM('Expenditures 15-22'!G33,'Expenditures 15-22'!I33)+'Expenditures 15-22'!D229</f>
        <v>4789745</v>
      </c>
      <c r="H19" s="988"/>
      <c r="I19" s="162"/>
    </row>
    <row r="20" spans="1:9" s="669" customFormat="1" ht="12" customHeight="1" x14ac:dyDescent="0.2">
      <c r="A20" s="991" t="s">
        <v>56</v>
      </c>
      <c r="B20" s="992"/>
      <c r="C20" s="994"/>
      <c r="D20" s="1818"/>
      <c r="E20" s="1818"/>
      <c r="F20" s="1818"/>
      <c r="G20" s="1819"/>
      <c r="H20" s="988"/>
      <c r="I20" s="162"/>
    </row>
    <row r="21" spans="1:9" s="669" customFormat="1" ht="12" customHeight="1" x14ac:dyDescent="0.2">
      <c r="A21" s="995" t="s">
        <v>421</v>
      </c>
      <c r="B21" s="996"/>
      <c r="C21" s="994">
        <v>2100</v>
      </c>
      <c r="D21" s="1818"/>
      <c r="E21" s="1820">
        <f>'Expenditures 15-22'!K42-SUM('Expenditures 15-22'!G42,'Expenditures 15-22'!I42)+'Expenditures 15-22'!K120-SUM('Expenditures 15-22'!G120,'Expenditures 15-22'!I120)+'Expenditures 15-22'!K180-SUM('Expenditures 15-22'!G180,'Expenditures 15-22'!I180)+'Expenditures 15-22'!D238</f>
        <v>302910</v>
      </c>
      <c r="F21" s="1818"/>
      <c r="G21" s="1821">
        <f>'Expenditures 15-22'!K42-SUM('Expenditures 15-22'!G42,'Expenditures 15-22'!I42)+'Expenditures 15-22'!K120-SUM('Expenditures 15-22'!G120,'Expenditures 15-22'!I120)+'Expenditures 15-22'!K180-SUM('Expenditures 15-22'!G180,'Expenditures 15-22'!I180)+'Expenditures 15-22'!D238</f>
        <v>302910</v>
      </c>
      <c r="H21" s="988"/>
      <c r="I21" s="162"/>
    </row>
    <row r="22" spans="1:9" s="669" customFormat="1" ht="12" customHeight="1" x14ac:dyDescent="0.2">
      <c r="A22" s="995" t="s">
        <v>585</v>
      </c>
      <c r="B22" s="996"/>
      <c r="C22" s="994">
        <v>2200</v>
      </c>
      <c r="D22" s="1818"/>
      <c r="E22" s="1820">
        <f>'Expenditures 15-22'!K47-SUM('Expenditures 15-22'!G47,'Expenditures 15-22'!I47)+'Expenditures 15-22'!D243</f>
        <v>99485</v>
      </c>
      <c r="F22" s="1818"/>
      <c r="G22" s="1821">
        <f>'Expenditures 15-22'!K47-SUM('Expenditures 15-22'!G47,'Expenditures 15-22'!I47)+'Expenditures 15-22'!D243</f>
        <v>99485</v>
      </c>
      <c r="H22" s="988"/>
      <c r="I22" s="162"/>
    </row>
    <row r="23" spans="1:9" s="669" customFormat="1" ht="12" customHeight="1" x14ac:dyDescent="0.2">
      <c r="A23" s="995" t="s">
        <v>586</v>
      </c>
      <c r="B23" s="996"/>
      <c r="C23" s="994">
        <v>2300</v>
      </c>
      <c r="D23" s="1818"/>
      <c r="E23" s="1820">
        <f>'Expenditures 15-22'!K53-SUM('Expenditures 15-22'!G53,'Expenditures 15-22'!I53)+'Expenditures 15-22'!D257+'Expenditures 15-22'!K330-SUM('Expenditures 15-22'!G330,'Expenditures 15-22'!I330)</f>
        <v>319243</v>
      </c>
      <c r="F23" s="1818"/>
      <c r="G23" s="1820">
        <f>'Expenditures 15-22'!K53-SUM('Expenditures 15-22'!G53,'Expenditures 15-22'!I53)+'Expenditures 15-22'!D257+'Expenditures 15-22'!K330-SUM('Expenditures 15-22'!G330,'Expenditures 15-22'!I330)</f>
        <v>319243</v>
      </c>
      <c r="H23" s="988"/>
      <c r="I23" s="162"/>
    </row>
    <row r="24" spans="1:9" s="669" customFormat="1" ht="12" customHeight="1" x14ac:dyDescent="0.2">
      <c r="A24" s="995" t="s">
        <v>587</v>
      </c>
      <c r="B24" s="996"/>
      <c r="C24" s="994">
        <v>2400</v>
      </c>
      <c r="D24" s="1818"/>
      <c r="E24" s="1820">
        <f>'Expenditures 15-22'!K57-SUM('Expenditures 15-22'!G57,'Expenditures 15-22'!I57)+'Expenditures 15-22'!D261</f>
        <v>397350</v>
      </c>
      <c r="F24" s="1818"/>
      <c r="G24" s="1821">
        <f>'Expenditures 15-22'!K57-SUM('Expenditures 15-22'!G57,'Expenditures 15-22'!I57)+'Expenditures 15-22'!D261</f>
        <v>397350</v>
      </c>
      <c r="H24" s="988"/>
      <c r="I24" s="162"/>
    </row>
    <row r="25" spans="1:9" s="669" customFormat="1" ht="12" customHeight="1" x14ac:dyDescent="0.2">
      <c r="A25" s="991" t="s">
        <v>588</v>
      </c>
      <c r="B25" s="997"/>
      <c r="C25" s="994"/>
      <c r="D25" s="1818"/>
      <c r="E25" s="1820"/>
      <c r="F25" s="1818"/>
      <c r="G25" s="1821"/>
      <c r="H25" s="988"/>
      <c r="I25" s="162"/>
    </row>
    <row r="26" spans="1:9" s="669" customFormat="1" ht="12" customHeight="1" x14ac:dyDescent="0.2">
      <c r="A26" s="995" t="s">
        <v>536</v>
      </c>
      <c r="B26" s="998"/>
      <c r="C26" s="994">
        <v>2510</v>
      </c>
      <c r="D26" s="1820">
        <f>'Expenditures 15-22'!K59-SUM('Expenditures 15-22'!G59,'Expenditures 15-22'!I59)+'Expenditures 15-22'!D263-E7</f>
        <v>0</v>
      </c>
      <c r="E26" s="1820">
        <f>'Expenditures 15-22'!K122-SUM('Expenditures 15-22'!G122,'Expenditures 15-22'!I122)+E7</f>
        <v>0</v>
      </c>
      <c r="F26" s="1820">
        <f>'Expenditures 15-22'!K59-SUM('Expenditures 15-22'!G59,'Expenditures 15-22'!I59)+'Expenditures 15-22'!D263-E7</f>
        <v>0</v>
      </c>
      <c r="G26" s="1821">
        <f>'Expenditures 15-22'!K122-SUM('Expenditures 15-22'!G122,'Expenditures 15-22'!I122)+E7</f>
        <v>0</v>
      </c>
      <c r="H26" s="988"/>
      <c r="I26" s="162"/>
    </row>
    <row r="27" spans="1:9" s="669" customFormat="1" ht="12" customHeight="1" x14ac:dyDescent="0.2">
      <c r="A27" s="995" t="s">
        <v>483</v>
      </c>
      <c r="B27" s="998"/>
      <c r="C27" s="994">
        <v>2520</v>
      </c>
      <c r="D27" s="1820">
        <f>'Expenditures 15-22'!K60-SUM('Expenditures 15-22'!G60,'Expenditures 15-22'!I60)+'Expenditures 15-22'!D264-E8</f>
        <v>51909</v>
      </c>
      <c r="E27" s="1820">
        <f>E8</f>
        <v>0</v>
      </c>
      <c r="F27" s="1820">
        <f>'Expenditures 15-22'!K60-SUM('Expenditures 15-22'!G60,'Expenditures 15-22'!I60)+'Expenditures 15-22'!D264-E8</f>
        <v>51909</v>
      </c>
      <c r="G27" s="1821">
        <f>E8</f>
        <v>0</v>
      </c>
      <c r="H27" s="988"/>
      <c r="I27" s="162"/>
    </row>
    <row r="28" spans="1:9" s="669" customFormat="1" ht="12" customHeight="1" x14ac:dyDescent="0.2">
      <c r="A28" s="995" t="s">
        <v>537</v>
      </c>
      <c r="B28" s="998"/>
      <c r="C28" s="994">
        <v>2540</v>
      </c>
      <c r="D28" s="1822"/>
      <c r="E28" s="1820">
        <f>'Expenditures 15-22'!K61-SUM('Expenditures 15-22'!G61,'Expenditures 15-22'!I61)+'Expenditures 15-22'!K124-SUM('Expenditures 15-22'!G124,'Expenditures 15-22'!I124)+'Expenditures 15-22'!D266</f>
        <v>640236</v>
      </c>
      <c r="F28" s="1822">
        <f>'Expenditures 15-22'!K61-SUM('Expenditures 15-22'!G61,'Expenditures 15-22'!I61)+'Expenditures 15-22'!K124-SUM('Expenditures 15-22'!G124,'Expenditures 15-22'!I124)+'Expenditures 15-22'!D266-E9</f>
        <v>640236</v>
      </c>
      <c r="G28" s="1821">
        <f>E9</f>
        <v>0</v>
      </c>
      <c r="H28" s="988"/>
      <c r="I28" s="162"/>
    </row>
    <row r="29" spans="1:9" ht="12" customHeight="1" x14ac:dyDescent="0.2">
      <c r="A29" s="995" t="s">
        <v>538</v>
      </c>
      <c r="B29" s="998"/>
      <c r="C29" s="994">
        <v>2550</v>
      </c>
      <c r="D29" s="1818"/>
      <c r="E29" s="1820">
        <f>'Expenditures 15-22'!K62-SUM('Expenditures 15-22'!G62,'Expenditures 15-22'!I62)+'Expenditures 15-22'!K125-SUM('Expenditures 15-22'!G125,'Expenditures 15-22'!I125)+'Expenditures 15-22'!K182-SUM('Expenditures 15-22'!G182,'Expenditures 15-22'!I182)+'Expenditures 15-22'!D267</f>
        <v>558840</v>
      </c>
      <c r="F29" s="1818"/>
      <c r="G29" s="1821">
        <f>'Expenditures 15-22'!K62-SUM('Expenditures 15-22'!G62,'Expenditures 15-22'!I62)+'Expenditures 15-22'!K125-SUM('Expenditures 15-22'!G125,'Expenditures 15-22'!I125)+'Expenditures 15-22'!K182-SUM('Expenditures 15-22'!G182,'Expenditures 15-22'!I182)+'Expenditures 15-22'!D267</f>
        <v>558840</v>
      </c>
      <c r="H29" s="986"/>
    </row>
    <row r="30" spans="1:9" ht="12" customHeight="1" x14ac:dyDescent="0.2">
      <c r="A30" s="995" t="s">
        <v>102</v>
      </c>
      <c r="B30" s="998"/>
      <c r="C30" s="994">
        <v>2560</v>
      </c>
      <c r="D30" s="1818"/>
      <c r="E30" s="1820">
        <f>'Expenditures 15-22'!K63-SUM('Expenditures 15-22'!G63,'Expenditures 15-22'!I63)+'Expenditures 15-22'!D268-E10</f>
        <v>219529</v>
      </c>
      <c r="F30" s="1818"/>
      <c r="G30" s="1820">
        <f>'Expenditures 15-22'!K63-SUM('Expenditures 15-22'!G63,'Expenditures 15-22'!I63)+'Expenditures 15-22'!D268-E10</f>
        <v>219529</v>
      </c>
    </row>
    <row r="31" spans="1:9" ht="12" customHeight="1" x14ac:dyDescent="0.2">
      <c r="A31" s="995" t="s">
        <v>103</v>
      </c>
      <c r="B31" s="998"/>
      <c r="C31" s="994">
        <v>2570</v>
      </c>
      <c r="D31" s="1820">
        <f>'Expenditures 15-22'!K64-SUM('Expenditures 15-22'!G64,'Expenditures 15-22'!I64)+'Expenditures 15-22'!D269-E12</f>
        <v>0</v>
      </c>
      <c r="E31" s="1820">
        <f>E12</f>
        <v>0</v>
      </c>
      <c r="F31" s="1820">
        <f>'Expenditures 15-22'!K64-SUM('Expenditures 15-22'!G64,'Expenditures 15-22'!I64)+'Expenditures 15-22'!D269-E12</f>
        <v>0</v>
      </c>
      <c r="G31" s="1820">
        <f>E12</f>
        <v>0</v>
      </c>
    </row>
    <row r="32" spans="1:9" ht="12" customHeight="1" x14ac:dyDescent="0.2">
      <c r="A32" s="991" t="s">
        <v>539</v>
      </c>
      <c r="B32" s="997"/>
      <c r="C32" s="994"/>
      <c r="D32" s="1818"/>
      <c r="E32" s="1818"/>
      <c r="F32" s="1818"/>
      <c r="G32" s="1818"/>
    </row>
    <row r="33" spans="1:7" ht="12" customHeight="1" x14ac:dyDescent="0.2">
      <c r="A33" s="995" t="s">
        <v>540</v>
      </c>
      <c r="B33" s="998"/>
      <c r="C33" s="994">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95" t="s">
        <v>541</v>
      </c>
      <c r="B34" s="998"/>
      <c r="C34" s="994">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5" t="s">
        <v>1121</v>
      </c>
      <c r="B35" s="998"/>
      <c r="C35" s="994">
        <v>2630</v>
      </c>
      <c r="D35" s="1818"/>
      <c r="E35" s="1820">
        <f>'Expenditures 15-22'!K69-SUM('Expenditures 15-22'!G69,'Expenditures 15-22'!I69)+'Expenditures 15-22'!D274</f>
        <v>0</v>
      </c>
      <c r="F35" s="1818"/>
      <c r="G35" s="1820">
        <f>'Expenditures 15-22'!K69-SUM('Expenditures 15-22'!G69,'Expenditures 15-22'!I69)+'Expenditures 15-22'!D274</f>
        <v>0</v>
      </c>
    </row>
    <row r="36" spans="1:7" ht="12" customHeight="1" x14ac:dyDescent="0.2">
      <c r="A36" s="995" t="s">
        <v>423</v>
      </c>
      <c r="B36" s="998"/>
      <c r="C36" s="994">
        <v>2640</v>
      </c>
      <c r="D36" s="1820">
        <f>'Expenditures 15-22'!K70-SUM('Expenditures 15-22'!G70,'Expenditures 15-22'!I70)+'Expenditures 15-22'!D275-E13</f>
        <v>0</v>
      </c>
      <c r="E36" s="1820">
        <f>E13</f>
        <v>0</v>
      </c>
      <c r="F36" s="1820">
        <f>'Expenditures 15-22'!K70-SUM('Expenditures 15-22'!G70,'Expenditures 15-22'!I70)+'Expenditures 15-22'!D275-E13</f>
        <v>0</v>
      </c>
      <c r="G36" s="1820">
        <f>E13</f>
        <v>0</v>
      </c>
    </row>
    <row r="37" spans="1:7" ht="12" customHeight="1" x14ac:dyDescent="0.2">
      <c r="A37" s="995" t="s">
        <v>424</v>
      </c>
      <c r="B37" s="998"/>
      <c r="C37" s="994">
        <v>2660</v>
      </c>
      <c r="D37" s="1820">
        <f>'Expenditures 15-22'!K71-SUM('Expenditures 15-22'!G71,'Expenditures 15-22'!I71)+'Expenditures 15-22'!D276-E14</f>
        <v>0</v>
      </c>
      <c r="E37" s="1820">
        <f>E14</f>
        <v>0</v>
      </c>
      <c r="F37" s="1820">
        <f>'Expenditures 15-22'!K71-SUM('Expenditures 15-22'!G71,'Expenditures 15-22'!I71)+'Expenditures 15-22'!D276-E14</f>
        <v>0</v>
      </c>
      <c r="G37" s="1820">
        <f>E14</f>
        <v>0</v>
      </c>
    </row>
    <row r="38" spans="1:7" ht="12" customHeight="1" x14ac:dyDescent="0.2">
      <c r="A38" s="991" t="s">
        <v>542</v>
      </c>
      <c r="B38" s="992"/>
      <c r="C38" s="994">
        <v>2900</v>
      </c>
      <c r="D38" s="1818"/>
      <c r="E38" s="1820">
        <f>'Expenditures 15-22'!K73-SUM('Expenditures 15-22'!G73,'Expenditures 15-22'!I73)+'Expenditures 15-22'!K128-SUM('Expenditures 15-22'!G128,'Expenditures 15-22'!I128)+'Expenditures 15-22'!K183-SUM('Expenditures 15-22'!G183,'Expenditures 15-22'!I183)+'Expenditures 15-22'!D278</f>
        <v>0</v>
      </c>
      <c r="F38" s="1818"/>
      <c r="G38" s="182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8"/>
      <c r="E39" s="1820">
        <f>'Expenditures 15-22'!K75-SUM('Expenditures 15-22'!G75,'Expenditures 15-22'!I75)+'Expenditures 15-22'!K130-SUM('Expenditures 15-22'!G130,'Expenditures 15-22'!I130)+'Expenditures 15-22'!K185-SUM('Expenditures 15-22'!G185,'Expenditures 15-22'!I185)+'Expenditures 15-22'!D280</f>
        <v>0</v>
      </c>
      <c r="F39" s="1818"/>
      <c r="G39" s="182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18"/>
      <c r="E40" s="1822">
        <f>-'Contracts Paid in CY 29'!G24</f>
        <v>-123755</v>
      </c>
      <c r="F40" s="1818"/>
      <c r="G40" s="1822">
        <f>-'Contracts Paid in CY 29'!G24</f>
        <v>-123755</v>
      </c>
    </row>
    <row r="41" spans="1:7" ht="12" customHeight="1" x14ac:dyDescent="0.2">
      <c r="A41" s="999" t="s">
        <v>158</v>
      </c>
      <c r="B41" s="1000"/>
      <c r="C41" s="1001"/>
      <c r="D41" s="1822">
        <f>SUM(D19:D39)</f>
        <v>51909</v>
      </c>
      <c r="E41" s="1822">
        <f>SUM(E19:E40)</f>
        <v>7203583</v>
      </c>
      <c r="F41" s="1822">
        <f>SUM(F19:F39)</f>
        <v>692145</v>
      </c>
      <c r="G41" s="1822">
        <f>SUM(G19:G40)</f>
        <v>6563347</v>
      </c>
    </row>
    <row r="42" spans="1:7" x14ac:dyDescent="0.2">
      <c r="A42" s="988"/>
      <c r="B42" s="162"/>
      <c r="C42" s="1002"/>
      <c r="D42" s="2294" t="s">
        <v>543</v>
      </c>
      <c r="E42" s="2295"/>
      <c r="F42" s="1003" t="s">
        <v>544</v>
      </c>
      <c r="G42" s="1004"/>
    </row>
    <row r="43" spans="1:7" ht="12" customHeight="1" x14ac:dyDescent="0.2">
      <c r="A43" s="988"/>
      <c r="B43" s="162"/>
      <c r="C43" s="1002"/>
      <c r="D43" s="1823" t="s">
        <v>493</v>
      </c>
      <c r="E43" s="1824">
        <f>D41</f>
        <v>51909</v>
      </c>
      <c r="F43" s="1823" t="s">
        <v>495</v>
      </c>
      <c r="G43" s="1824">
        <f>F41</f>
        <v>692145</v>
      </c>
    </row>
    <row r="44" spans="1:7" ht="12" customHeight="1" x14ac:dyDescent="0.2">
      <c r="A44" s="988"/>
      <c r="B44" s="162"/>
      <c r="C44" s="1002"/>
      <c r="D44" s="1823" t="s">
        <v>494</v>
      </c>
      <c r="E44" s="1824">
        <f>E41</f>
        <v>7203583</v>
      </c>
      <c r="F44" s="1823" t="s">
        <v>494</v>
      </c>
      <c r="G44" s="1824">
        <f>G41</f>
        <v>6563347</v>
      </c>
    </row>
    <row r="45" spans="1:7" ht="12" customHeight="1" x14ac:dyDescent="0.2">
      <c r="A45" s="988"/>
      <c r="B45" s="162"/>
      <c r="C45" s="162"/>
      <c r="D45" s="1825" t="s">
        <v>1063</v>
      </c>
      <c r="E45" s="1826">
        <f>(E43/E44)</f>
        <v>7.2059973488193306E-3</v>
      </c>
      <c r="F45" s="1825" t="s">
        <v>1063</v>
      </c>
      <c r="G45" s="1826">
        <f>(G43/G44)</f>
        <v>0.10545610341796648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2" sqref="A2:F2"/>
      <selection pane="bottomLeft" activeCell="A2" sqref="A2:F2"/>
    </sheetView>
  </sheetViews>
  <sheetFormatPr defaultColWidth="9.140625" defaultRowHeight="12.75" x14ac:dyDescent="0.2"/>
  <cols>
    <col min="1" max="1" width="54.5703125" style="1891" customWidth="1"/>
    <col min="2" max="2" width="4.140625" style="1891" customWidth="1"/>
    <col min="3" max="4" width="9.85546875" style="1862" customWidth="1"/>
    <col min="5" max="5" width="12.5703125" style="1892" customWidth="1"/>
    <col min="6" max="6" width="67.5703125" style="1862" customWidth="1"/>
    <col min="7" max="7" width="9.140625" style="1862" customWidth="1"/>
    <col min="8" max="8" width="5.7109375" style="1893" bestFit="1" customWidth="1"/>
    <col min="9" max="9" width="4" style="1893" bestFit="1" customWidth="1"/>
    <col min="10" max="10" width="2.7109375" style="1893" bestFit="1" customWidth="1"/>
    <col min="11" max="11" width="9" style="1893" customWidth="1"/>
    <col min="12" max="16384" width="9.140625" style="1862"/>
  </cols>
  <sheetData>
    <row r="1" spans="1:10" x14ac:dyDescent="0.2">
      <c r="A1" s="2302" t="s">
        <v>1446</v>
      </c>
      <c r="B1" s="2302"/>
      <c r="C1" s="2302"/>
      <c r="D1" s="2302"/>
      <c r="E1" s="2302"/>
      <c r="F1" s="2302"/>
    </row>
    <row r="2" spans="1:10" x14ac:dyDescent="0.2">
      <c r="A2" s="1902" t="s">
        <v>2048</v>
      </c>
      <c r="B2" s="1863"/>
      <c r="C2" s="1902"/>
      <c r="D2" s="1863"/>
      <c r="E2" s="1863"/>
      <c r="F2" s="1864"/>
    </row>
    <row r="3" spans="1:10" x14ac:dyDescent="0.2">
      <c r="A3" s="1902" t="s">
        <v>1700</v>
      </c>
      <c r="B3" s="1863"/>
      <c r="C3" s="1902"/>
      <c r="D3" s="1863"/>
      <c r="E3" s="1863"/>
      <c r="F3" s="1864"/>
    </row>
    <row r="4" spans="1:10" ht="3.75" customHeight="1" x14ac:dyDescent="0.2">
      <c r="A4" s="1863"/>
      <c r="B4" s="1863"/>
      <c r="C4" s="1863"/>
      <c r="D4" s="1863"/>
      <c r="E4" s="1863"/>
      <c r="F4" s="1864"/>
    </row>
    <row r="5" spans="1:10" ht="15" x14ac:dyDescent="0.25">
      <c r="A5" s="2303" t="s">
        <v>1627</v>
      </c>
      <c r="B5" s="2304"/>
      <c r="C5" s="2305"/>
      <c r="D5" s="2305"/>
      <c r="E5" s="2305"/>
      <c r="F5" s="2305"/>
    </row>
    <row r="6" spans="1:10" ht="12" customHeight="1" x14ac:dyDescent="0.25">
      <c r="A6" s="1865"/>
      <c r="B6" s="1866"/>
      <c r="C6" s="2306" t="str">
        <f>COVER!A17</f>
        <v>Edwards County CUSD 1</v>
      </c>
      <c r="D6" s="2306"/>
      <c r="E6" s="2306"/>
      <c r="F6" s="1867"/>
    </row>
    <row r="7" spans="1:10" ht="11.25" customHeight="1" thickBot="1" x14ac:dyDescent="0.3">
      <c r="A7" s="1865"/>
      <c r="B7" s="1866"/>
      <c r="C7" s="2307">
        <f>COVER!A13</f>
        <v>20024001026</v>
      </c>
      <c r="D7" s="2307"/>
      <c r="E7" s="2307"/>
      <c r="F7" s="1867"/>
    </row>
    <row r="8" spans="1:10" ht="25.5" customHeight="1" thickBot="1" x14ac:dyDescent="0.25">
      <c r="A8" s="1908" t="s">
        <v>2025</v>
      </c>
      <c r="B8" s="1868"/>
      <c r="C8" s="1904" t="s">
        <v>1780</v>
      </c>
      <c r="D8" s="1903" t="s">
        <v>1781</v>
      </c>
      <c r="E8" s="1905" t="s">
        <v>1447</v>
      </c>
      <c r="F8" s="1903" t="s">
        <v>1782</v>
      </c>
      <c r="H8" s="1869" t="b">
        <v>0</v>
      </c>
    </row>
    <row r="9" spans="1:10" ht="15.75" customHeight="1" x14ac:dyDescent="0.2">
      <c r="A9" s="1870" t="s">
        <v>1623</v>
      </c>
      <c r="B9" s="1871"/>
      <c r="C9" s="1872"/>
      <c r="D9" s="1872"/>
      <c r="E9" s="1873"/>
      <c r="F9" s="1874"/>
    </row>
    <row r="10" spans="1:10" ht="27.75" customHeight="1" x14ac:dyDescent="0.2">
      <c r="A10" s="1875" t="s">
        <v>1779</v>
      </c>
      <c r="B10" s="1876"/>
      <c r="C10" s="1877"/>
      <c r="D10" s="1877"/>
      <c r="E10" s="1906" t="s">
        <v>1448</v>
      </c>
      <c r="F10" s="1907" t="s">
        <v>1449</v>
      </c>
    </row>
    <row r="11" spans="1:10" ht="12" customHeight="1" x14ac:dyDescent="0.2">
      <c r="A11" s="1878" t="s">
        <v>1450</v>
      </c>
      <c r="B11" s="1879"/>
      <c r="C11" s="1880"/>
      <c r="D11" s="1880"/>
      <c r="E11" s="1881"/>
      <c r="F11" s="1882"/>
      <c r="H11" s="1893">
        <f>IF(C11="X",5,0)</f>
        <v>0</v>
      </c>
      <c r="I11" s="1893">
        <f>IF(D11="X",5,0)</f>
        <v>0</v>
      </c>
      <c r="J11" s="1893">
        <f>IF(E11="X",5,0)</f>
        <v>0</v>
      </c>
    </row>
    <row r="12" spans="1:10" ht="12" customHeight="1" x14ac:dyDescent="0.2">
      <c r="A12" s="1878" t="s">
        <v>1451</v>
      </c>
      <c r="B12" s="1879"/>
      <c r="C12" s="1880"/>
      <c r="D12" s="1880"/>
      <c r="E12" s="1883"/>
      <c r="F12" s="1882"/>
      <c r="H12" s="1893">
        <f t="shared" ref="H12:H33" si="0">IF(C12="X",5,0)</f>
        <v>0</v>
      </c>
      <c r="I12" s="1893">
        <f t="shared" ref="I12:I33" si="1">IF(D12="X",5,0)</f>
        <v>0</v>
      </c>
      <c r="J12" s="1893">
        <f t="shared" ref="J12:J33" si="2">IF(E12="X",5,0)</f>
        <v>0</v>
      </c>
    </row>
    <row r="13" spans="1:10" ht="12" customHeight="1" x14ac:dyDescent="0.2">
      <c r="A13" s="1878" t="s">
        <v>1452</v>
      </c>
      <c r="B13" s="1879"/>
      <c r="C13" s="1880"/>
      <c r="D13" s="1880"/>
      <c r="E13" s="1883"/>
      <c r="F13" s="1882"/>
      <c r="H13" s="1893">
        <f t="shared" si="0"/>
        <v>0</v>
      </c>
      <c r="I13" s="1893">
        <f t="shared" si="1"/>
        <v>0</v>
      </c>
      <c r="J13" s="1893">
        <f t="shared" si="2"/>
        <v>0</v>
      </c>
    </row>
    <row r="14" spans="1:10" ht="12" customHeight="1" x14ac:dyDescent="0.2">
      <c r="A14" s="1878" t="s">
        <v>1453</v>
      </c>
      <c r="B14" s="1879"/>
      <c r="C14" s="1880"/>
      <c r="D14" s="1880"/>
      <c r="E14" s="1883"/>
      <c r="F14" s="1882"/>
      <c r="H14" s="1893">
        <f t="shared" si="0"/>
        <v>0</v>
      </c>
      <c r="I14" s="1893">
        <f t="shared" si="1"/>
        <v>0</v>
      </c>
      <c r="J14" s="1893">
        <f t="shared" si="2"/>
        <v>0</v>
      </c>
    </row>
    <row r="15" spans="1:10" ht="12" customHeight="1" x14ac:dyDescent="0.2">
      <c r="A15" s="1878" t="s">
        <v>1454</v>
      </c>
      <c r="B15" s="1879"/>
      <c r="C15" s="1880"/>
      <c r="D15" s="1880"/>
      <c r="E15" s="1883"/>
      <c r="F15" s="1882"/>
      <c r="H15" s="1893">
        <f t="shared" si="0"/>
        <v>0</v>
      </c>
      <c r="I15" s="1893">
        <f t="shared" si="1"/>
        <v>0</v>
      </c>
      <c r="J15" s="1893">
        <f t="shared" si="2"/>
        <v>0</v>
      </c>
    </row>
    <row r="16" spans="1:10" ht="12" customHeight="1" x14ac:dyDescent="0.2">
      <c r="A16" s="1878" t="s">
        <v>1455</v>
      </c>
      <c r="B16" s="1879"/>
      <c r="C16" s="1880"/>
      <c r="D16" s="1880"/>
      <c r="E16" s="1883"/>
      <c r="F16" s="1882"/>
      <c r="H16" s="1893">
        <f t="shared" si="0"/>
        <v>0</v>
      </c>
      <c r="I16" s="1893">
        <f t="shared" si="1"/>
        <v>0</v>
      </c>
      <c r="J16" s="1893">
        <f t="shared" si="2"/>
        <v>0</v>
      </c>
    </row>
    <row r="17" spans="1:12" ht="12" customHeight="1" x14ac:dyDescent="0.2">
      <c r="A17" s="1878" t="s">
        <v>1456</v>
      </c>
      <c r="B17" s="1879"/>
      <c r="C17" s="1880"/>
      <c r="D17" s="1880"/>
      <c r="E17" s="1883"/>
      <c r="F17" s="1882"/>
      <c r="H17" s="1893">
        <f t="shared" si="0"/>
        <v>0</v>
      </c>
      <c r="I17" s="1893">
        <f t="shared" si="1"/>
        <v>0</v>
      </c>
      <c r="J17" s="1893">
        <f t="shared" si="2"/>
        <v>0</v>
      </c>
    </row>
    <row r="18" spans="1:12" ht="12" customHeight="1" x14ac:dyDescent="0.2">
      <c r="A18" s="1878" t="s">
        <v>1457</v>
      </c>
      <c r="B18" s="1879"/>
      <c r="C18" s="1880"/>
      <c r="D18" s="1880"/>
      <c r="E18" s="1883"/>
      <c r="F18" s="1882"/>
      <c r="H18" s="1893">
        <f t="shared" si="0"/>
        <v>0</v>
      </c>
      <c r="I18" s="1893">
        <f t="shared" si="1"/>
        <v>0</v>
      </c>
      <c r="J18" s="1893">
        <f t="shared" si="2"/>
        <v>0</v>
      </c>
    </row>
    <row r="19" spans="1:12" ht="12" customHeight="1" x14ac:dyDescent="0.2">
      <c r="A19" s="1878" t="s">
        <v>1608</v>
      </c>
      <c r="B19" s="1879"/>
      <c r="C19" s="1880" t="s">
        <v>2077</v>
      </c>
      <c r="D19" s="1880" t="s">
        <v>2077</v>
      </c>
      <c r="E19" s="1883"/>
      <c r="F19" s="1882" t="s">
        <v>2096</v>
      </c>
      <c r="H19" s="1893">
        <f t="shared" si="0"/>
        <v>5</v>
      </c>
      <c r="I19" s="1893">
        <f t="shared" si="1"/>
        <v>5</v>
      </c>
      <c r="J19" s="1893">
        <f t="shared" si="2"/>
        <v>0</v>
      </c>
    </row>
    <row r="20" spans="1:12" ht="12" customHeight="1" x14ac:dyDescent="0.2">
      <c r="A20" s="1878" t="s">
        <v>1609</v>
      </c>
      <c r="B20" s="1879"/>
      <c r="C20" s="1880"/>
      <c r="D20" s="1880"/>
      <c r="E20" s="1883"/>
      <c r="F20" s="1882"/>
      <c r="H20" s="1893">
        <f t="shared" si="0"/>
        <v>0</v>
      </c>
      <c r="I20" s="1893">
        <f t="shared" si="1"/>
        <v>0</v>
      </c>
      <c r="J20" s="1893">
        <f t="shared" si="2"/>
        <v>0</v>
      </c>
    </row>
    <row r="21" spans="1:12" ht="12" customHeight="1" x14ac:dyDescent="0.2">
      <c r="A21" s="1878" t="s">
        <v>1610</v>
      </c>
      <c r="B21" s="1879"/>
      <c r="C21" s="1880"/>
      <c r="D21" s="1880"/>
      <c r="E21" s="1883"/>
      <c r="F21" s="1882"/>
      <c r="H21" s="1893">
        <f t="shared" si="0"/>
        <v>0</v>
      </c>
      <c r="I21" s="1893">
        <f t="shared" si="1"/>
        <v>0</v>
      </c>
      <c r="J21" s="1893">
        <f t="shared" si="2"/>
        <v>0</v>
      </c>
    </row>
    <row r="22" spans="1:12" ht="12" customHeight="1" x14ac:dyDescent="0.2">
      <c r="A22" s="1878" t="s">
        <v>1611</v>
      </c>
      <c r="B22" s="1879"/>
      <c r="C22" s="1880"/>
      <c r="D22" s="1880"/>
      <c r="E22" s="1883"/>
      <c r="F22" s="1882"/>
      <c r="H22" s="1893">
        <f t="shared" si="0"/>
        <v>0</v>
      </c>
      <c r="I22" s="1893">
        <f t="shared" si="1"/>
        <v>0</v>
      </c>
      <c r="J22" s="1893">
        <f t="shared" si="2"/>
        <v>0</v>
      </c>
    </row>
    <row r="23" spans="1:12" ht="12" customHeight="1" x14ac:dyDescent="0.2">
      <c r="A23" s="1878" t="s">
        <v>1612</v>
      </c>
      <c r="B23" s="1879"/>
      <c r="C23" s="1880" t="s">
        <v>2077</v>
      </c>
      <c r="D23" s="1880" t="s">
        <v>2077</v>
      </c>
      <c r="E23" s="1883"/>
      <c r="F23" s="1882" t="s">
        <v>2097</v>
      </c>
      <c r="H23" s="1893">
        <f t="shared" si="0"/>
        <v>5</v>
      </c>
      <c r="I23" s="1893">
        <f t="shared" si="1"/>
        <v>5</v>
      </c>
      <c r="J23" s="1893">
        <f t="shared" si="2"/>
        <v>0</v>
      </c>
    </row>
    <row r="24" spans="1:12" ht="12" customHeight="1" x14ac:dyDescent="0.2">
      <c r="A24" s="1878" t="s">
        <v>1613</v>
      </c>
      <c r="B24" s="1879"/>
      <c r="C24" s="1880"/>
      <c r="D24" s="1880"/>
      <c r="E24" s="1883"/>
      <c r="F24" s="1882"/>
      <c r="H24" s="1893">
        <f t="shared" si="0"/>
        <v>0</v>
      </c>
      <c r="I24" s="1893">
        <f t="shared" si="1"/>
        <v>0</v>
      </c>
      <c r="J24" s="1893">
        <f t="shared" si="2"/>
        <v>0</v>
      </c>
    </row>
    <row r="25" spans="1:12" ht="12" customHeight="1" x14ac:dyDescent="0.2">
      <c r="A25" s="1878" t="s">
        <v>1614</v>
      </c>
      <c r="B25" s="1879"/>
      <c r="C25" s="1880"/>
      <c r="D25" s="1880"/>
      <c r="E25" s="1883"/>
      <c r="F25" s="1882"/>
      <c r="H25" s="1893">
        <f t="shared" si="0"/>
        <v>0</v>
      </c>
      <c r="I25" s="1893">
        <f t="shared" si="1"/>
        <v>0</v>
      </c>
      <c r="J25" s="1893">
        <f t="shared" si="2"/>
        <v>0</v>
      </c>
    </row>
    <row r="26" spans="1:12" ht="12" customHeight="1" x14ac:dyDescent="0.2">
      <c r="A26" s="1878" t="s">
        <v>1615</v>
      </c>
      <c r="B26" s="1879"/>
      <c r="C26" s="1880" t="s">
        <v>2077</v>
      </c>
      <c r="D26" s="1880" t="s">
        <v>2077</v>
      </c>
      <c r="E26" s="1883"/>
      <c r="F26" s="1882" t="s">
        <v>2098</v>
      </c>
      <c r="H26" s="1893">
        <f t="shared" si="0"/>
        <v>5</v>
      </c>
      <c r="I26" s="1893">
        <f t="shared" si="1"/>
        <v>5</v>
      </c>
      <c r="J26" s="1893">
        <f t="shared" si="2"/>
        <v>0</v>
      </c>
    </row>
    <row r="27" spans="1:12" ht="18.75" x14ac:dyDescent="0.2">
      <c r="A27" s="1878" t="s">
        <v>1616</v>
      </c>
      <c r="B27" s="1879"/>
      <c r="C27" s="1880"/>
      <c r="D27" s="1880"/>
      <c r="E27" s="1883"/>
      <c r="F27" s="1882"/>
      <c r="H27" s="1893">
        <f t="shared" si="0"/>
        <v>0</v>
      </c>
      <c r="I27" s="1893">
        <f t="shared" si="1"/>
        <v>0</v>
      </c>
      <c r="J27" s="1893">
        <f t="shared" si="2"/>
        <v>0</v>
      </c>
    </row>
    <row r="28" spans="1:12" ht="12" customHeight="1" x14ac:dyDescent="0.2">
      <c r="A28" s="1878" t="s">
        <v>1617</v>
      </c>
      <c r="B28" s="1879"/>
      <c r="C28" s="1880"/>
      <c r="D28" s="1880"/>
      <c r="E28" s="1883"/>
      <c r="F28" s="1882"/>
      <c r="H28" s="1893">
        <f t="shared" si="0"/>
        <v>0</v>
      </c>
      <c r="I28" s="1893">
        <f t="shared" si="1"/>
        <v>0</v>
      </c>
      <c r="J28" s="1893">
        <f t="shared" si="2"/>
        <v>0</v>
      </c>
    </row>
    <row r="29" spans="1:12" ht="12" customHeight="1" x14ac:dyDescent="0.2">
      <c r="A29" s="1878" t="s">
        <v>1618</v>
      </c>
      <c r="B29" s="1879"/>
      <c r="C29" s="1880"/>
      <c r="D29" s="1880"/>
      <c r="E29" s="1883"/>
      <c r="F29" s="1882"/>
      <c r="H29" s="1893">
        <f t="shared" si="0"/>
        <v>0</v>
      </c>
      <c r="I29" s="1893">
        <f t="shared" si="1"/>
        <v>0</v>
      </c>
      <c r="J29" s="1893">
        <f t="shared" si="2"/>
        <v>0</v>
      </c>
    </row>
    <row r="30" spans="1:12" ht="12" customHeight="1" x14ac:dyDescent="0.2">
      <c r="A30" s="1878" t="s">
        <v>1619</v>
      </c>
      <c r="B30" s="1879"/>
      <c r="C30" s="1880"/>
      <c r="D30" s="1880"/>
      <c r="E30" s="1883"/>
      <c r="F30" s="1882"/>
      <c r="H30" s="1893">
        <f t="shared" si="0"/>
        <v>0</v>
      </c>
      <c r="I30" s="1893">
        <f t="shared" si="1"/>
        <v>0</v>
      </c>
      <c r="J30" s="1893">
        <f t="shared" si="2"/>
        <v>0</v>
      </c>
    </row>
    <row r="31" spans="1:12" ht="12" customHeight="1" x14ac:dyDescent="0.2">
      <c r="A31" s="1878" t="s">
        <v>1620</v>
      </c>
      <c r="B31" s="1879"/>
      <c r="C31" s="1880" t="s">
        <v>2077</v>
      </c>
      <c r="D31" s="1880" t="s">
        <v>2077</v>
      </c>
      <c r="E31" s="1883"/>
      <c r="F31" s="1882" t="s">
        <v>2099</v>
      </c>
      <c r="H31" s="1893">
        <f t="shared" si="0"/>
        <v>5</v>
      </c>
      <c r="I31" s="1893">
        <f t="shared" si="1"/>
        <v>5</v>
      </c>
      <c r="J31" s="1893">
        <f t="shared" si="2"/>
        <v>0</v>
      </c>
      <c r="L31" s="1884"/>
    </row>
    <row r="32" spans="1:12" ht="12" customHeight="1" x14ac:dyDescent="0.2">
      <c r="A32" s="1878" t="s">
        <v>1621</v>
      </c>
      <c r="B32" s="1879"/>
      <c r="C32" s="1880"/>
      <c r="D32" s="1880"/>
      <c r="E32" s="1883"/>
      <c r="F32" s="1882"/>
      <c r="H32" s="1893">
        <f t="shared" si="0"/>
        <v>0</v>
      </c>
      <c r="I32" s="1893">
        <f t="shared" si="1"/>
        <v>0</v>
      </c>
      <c r="J32" s="1893">
        <f t="shared" si="2"/>
        <v>0</v>
      </c>
    </row>
    <row r="33" spans="1:11" ht="12" customHeight="1" x14ac:dyDescent="0.2">
      <c r="A33" s="1878" t="s">
        <v>1622</v>
      </c>
      <c r="B33" s="1879"/>
      <c r="C33" s="1880"/>
      <c r="D33" s="1880"/>
      <c r="E33" s="1883"/>
      <c r="F33" s="1882"/>
      <c r="H33" s="1893">
        <f t="shared" si="0"/>
        <v>0</v>
      </c>
      <c r="I33" s="1893">
        <f t="shared" si="1"/>
        <v>0</v>
      </c>
      <c r="J33" s="1893">
        <f t="shared" si="2"/>
        <v>0</v>
      </c>
    </row>
    <row r="34" spans="1:11" ht="12" customHeight="1" x14ac:dyDescent="0.25">
      <c r="A34" s="1885"/>
      <c r="B34" s="1885"/>
      <c r="C34" s="1885"/>
      <c r="D34" s="1885"/>
      <c r="E34" s="1885"/>
      <c r="F34" s="1885"/>
      <c r="H34" s="1893">
        <f>SUM(H11:H32)</f>
        <v>20</v>
      </c>
      <c r="I34" s="1893">
        <f>SUM(I11:I32)</f>
        <v>20</v>
      </c>
      <c r="J34" s="1893">
        <f>SUM(J11:J32)</f>
        <v>0</v>
      </c>
      <c r="K34" s="1893">
        <f>SUM(H34:J34)</f>
        <v>40</v>
      </c>
    </row>
    <row r="35" spans="1:11" ht="12" customHeight="1" x14ac:dyDescent="0.2">
      <c r="A35" s="1886" t="s">
        <v>1459</v>
      </c>
      <c r="B35" s="1887"/>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88"/>
      <c r="B39" s="1888"/>
      <c r="C39" s="1888"/>
      <c r="D39" s="1888"/>
      <c r="E39" s="1888"/>
      <c r="F39" s="1888"/>
    </row>
    <row r="40" spans="1:11" s="1885" customFormat="1" ht="12" customHeight="1" x14ac:dyDescent="0.25">
      <c r="A40" s="1889" t="s">
        <v>1458</v>
      </c>
      <c r="B40" s="1890"/>
      <c r="C40" s="2316"/>
      <c r="D40" s="2316"/>
      <c r="E40" s="2316"/>
      <c r="F40" s="2317"/>
      <c r="H40" s="1894"/>
      <c r="I40" s="1894"/>
      <c r="J40" s="1894"/>
      <c r="K40" s="1894"/>
    </row>
    <row r="41" spans="1:11" s="1885" customFormat="1" ht="12" customHeight="1" x14ac:dyDescent="0.25">
      <c r="A41" s="2318" t="s">
        <v>2100</v>
      </c>
      <c r="B41" s="2319"/>
      <c r="C41" s="2319"/>
      <c r="D41" s="2319"/>
      <c r="E41" s="2319"/>
      <c r="F41" s="2320"/>
      <c r="H41" s="1894"/>
      <c r="I41" s="1894"/>
      <c r="J41" s="1894"/>
      <c r="K41" s="1894"/>
    </row>
    <row r="42" spans="1:11" s="1885" customFormat="1" ht="12" customHeight="1" x14ac:dyDescent="0.25">
      <c r="A42" s="2318" t="s">
        <v>2101</v>
      </c>
      <c r="B42" s="2319"/>
      <c r="C42" s="2319"/>
      <c r="D42" s="2319"/>
      <c r="E42" s="2319"/>
      <c r="F42" s="2320"/>
      <c r="H42" s="1894"/>
      <c r="I42" s="1894"/>
      <c r="J42" s="1894"/>
      <c r="K42" s="1894"/>
    </row>
    <row r="43" spans="1:11" s="1885" customFormat="1" ht="15" x14ac:dyDescent="0.25">
      <c r="A43" s="2310"/>
      <c r="B43" s="2311"/>
      <c r="C43" s="2311"/>
      <c r="D43" s="2311"/>
      <c r="E43" s="2311"/>
      <c r="F43" s="2312"/>
      <c r="H43" s="1894"/>
      <c r="I43" s="1894"/>
      <c r="J43" s="1894"/>
      <c r="K43" s="1894"/>
    </row>
    <row r="44" spans="1:11" s="1885" customFormat="1" ht="12" hidden="1" customHeight="1" x14ac:dyDescent="0.25">
      <c r="A44" s="2310"/>
      <c r="B44" s="2311"/>
      <c r="C44" s="2311"/>
      <c r="D44" s="2311"/>
      <c r="E44" s="2311"/>
      <c r="F44" s="2312"/>
      <c r="H44" s="1894"/>
      <c r="I44" s="1894"/>
      <c r="J44" s="1894"/>
      <c r="K44" s="1894"/>
    </row>
    <row r="45" spans="1:11" s="1885" customFormat="1" ht="12" customHeight="1" x14ac:dyDescent="0.25">
      <c r="H45" s="1894"/>
      <c r="I45" s="1894"/>
      <c r="J45" s="1894"/>
      <c r="K45" s="1894"/>
    </row>
    <row r="46" spans="1:11" s="1885" customFormat="1" ht="9.75" customHeight="1" x14ac:dyDescent="0.25">
      <c r="H46" s="1894"/>
      <c r="I46" s="1894"/>
      <c r="J46" s="1894"/>
      <c r="K46" s="1894"/>
    </row>
    <row r="47" spans="1:11" s="1885" customFormat="1" ht="13.5" customHeight="1" x14ac:dyDescent="0.25">
      <c r="H47" s="1894"/>
      <c r="I47" s="1894"/>
      <c r="J47" s="1894"/>
      <c r="K47" s="1894"/>
    </row>
    <row r="48" spans="1:11" s="1885" customFormat="1" ht="15" x14ac:dyDescent="0.25">
      <c r="H48" s="1894"/>
      <c r="I48" s="1894"/>
      <c r="J48" s="1894"/>
      <c r="K48" s="1894"/>
    </row>
    <row r="49" spans="1:11" s="1885" customFormat="1" ht="15" hidden="1" x14ac:dyDescent="0.25">
      <c r="A49" s="1885" t="b">
        <v>0</v>
      </c>
      <c r="H49" s="1894"/>
      <c r="I49" s="1894"/>
      <c r="J49" s="1894"/>
      <c r="K49" s="1894"/>
    </row>
    <row r="50" spans="1:11" s="1885" customFormat="1" ht="15" x14ac:dyDescent="0.25">
      <c r="H50" s="1894"/>
      <c r="I50" s="1894"/>
      <c r="J50" s="1894"/>
      <c r="K50" s="1894"/>
    </row>
    <row r="51" spans="1:11" s="1885" customFormat="1" ht="15" x14ac:dyDescent="0.25">
      <c r="H51" s="1894"/>
      <c r="I51" s="1894"/>
      <c r="J51" s="1894"/>
      <c r="K51" s="1894"/>
    </row>
    <row r="52" spans="1:11" s="1885" customFormat="1" ht="15" x14ac:dyDescent="0.25">
      <c r="H52" s="1894"/>
      <c r="I52" s="1894"/>
      <c r="J52" s="1894"/>
      <c r="K52" s="1894"/>
    </row>
    <row r="53" spans="1:11" s="1885" customFormat="1" ht="15" x14ac:dyDescent="0.25">
      <c r="H53" s="1894"/>
      <c r="I53" s="1894"/>
      <c r="J53" s="1894"/>
      <c r="K53" s="1894"/>
    </row>
    <row r="54" spans="1:11" s="1885" customFormat="1" ht="15" x14ac:dyDescent="0.25">
      <c r="H54" s="1894"/>
      <c r="I54" s="1894"/>
      <c r="J54" s="1894"/>
      <c r="K54" s="1894"/>
    </row>
    <row r="55" spans="1:11" s="1885" customFormat="1" ht="15" x14ac:dyDescent="0.25">
      <c r="H55" s="1894"/>
      <c r="I55" s="1894"/>
      <c r="J55" s="1894"/>
      <c r="K55" s="1894"/>
    </row>
    <row r="56" spans="1:11" s="1885" customFormat="1" ht="15" x14ac:dyDescent="0.25">
      <c r="H56" s="1894"/>
      <c r="I56" s="1894"/>
      <c r="J56" s="1894"/>
      <c r="K56" s="1894"/>
    </row>
    <row r="57" spans="1:11" s="1885" customFormat="1" ht="15" x14ac:dyDescent="0.25">
      <c r="H57" s="1894"/>
      <c r="I57" s="1894"/>
      <c r="J57" s="1894"/>
      <c r="K57" s="1894"/>
    </row>
    <row r="58" spans="1:11" s="1885" customFormat="1" ht="15" x14ac:dyDescent="0.25">
      <c r="H58" s="1894"/>
      <c r="I58" s="1894"/>
      <c r="J58" s="1894"/>
      <c r="K58" s="1894"/>
    </row>
    <row r="59" spans="1:11" s="1885" customFormat="1" ht="15" x14ac:dyDescent="0.25">
      <c r="H59" s="1894"/>
      <c r="I59" s="1894"/>
      <c r="J59" s="1894"/>
      <c r="K59" s="1894"/>
    </row>
    <row r="60" spans="1:11" s="1885" customFormat="1" ht="15" x14ac:dyDescent="0.25">
      <c r="H60" s="1894"/>
      <c r="I60" s="1894"/>
      <c r="J60" s="1894"/>
      <c r="K60" s="1894"/>
    </row>
    <row r="61" spans="1:11" s="1885" customFormat="1" ht="15" x14ac:dyDescent="0.25">
      <c r="H61" s="1894"/>
      <c r="I61" s="1894"/>
      <c r="J61" s="1894"/>
      <c r="K61" s="1894"/>
    </row>
    <row r="62" spans="1:11" s="1885" customFormat="1" ht="15" x14ac:dyDescent="0.25">
      <c r="H62" s="1894"/>
      <c r="I62" s="1894"/>
      <c r="J62" s="1894"/>
      <c r="K62" s="1894"/>
    </row>
    <row r="63" spans="1:11" s="1885" customFormat="1" ht="15" x14ac:dyDescent="0.25">
      <c r="H63" s="1894"/>
      <c r="I63" s="1894"/>
      <c r="J63" s="1894"/>
      <c r="K63" s="1894"/>
    </row>
    <row r="64" spans="1:11" s="1885" customFormat="1" ht="15" x14ac:dyDescent="0.25">
      <c r="H64" s="1894"/>
      <c r="I64" s="1894"/>
      <c r="J64" s="1894"/>
      <c r="K64" s="1894"/>
    </row>
    <row r="65" spans="8:11" s="1885" customFormat="1" ht="15" x14ac:dyDescent="0.25">
      <c r="H65" s="1894"/>
      <c r="I65" s="1894"/>
      <c r="J65" s="1894"/>
      <c r="K65" s="1894"/>
    </row>
    <row r="66" spans="8:11" s="1885" customFormat="1" ht="15" x14ac:dyDescent="0.25">
      <c r="H66" s="1894"/>
      <c r="I66" s="1894"/>
      <c r="J66" s="1894"/>
      <c r="K66" s="1894"/>
    </row>
    <row r="67" spans="8:11" s="1885" customFormat="1" ht="15" x14ac:dyDescent="0.25">
      <c r="H67" s="1894"/>
      <c r="I67" s="1894"/>
      <c r="J67" s="1894"/>
      <c r="K67" s="1894"/>
    </row>
    <row r="68" spans="8:11" s="1885" customFormat="1" ht="15" x14ac:dyDescent="0.25">
      <c r="H68" s="1894"/>
      <c r="I68" s="1894"/>
      <c r="J68" s="1894"/>
      <c r="K68" s="1894"/>
    </row>
    <row r="69" spans="8:11" s="1885" customFormat="1" ht="15" x14ac:dyDescent="0.25">
      <c r="H69" s="1894"/>
      <c r="I69" s="1894"/>
      <c r="J69" s="1894"/>
      <c r="K69" s="1894"/>
    </row>
    <row r="70" spans="8:11" s="1885" customFormat="1" ht="15" x14ac:dyDescent="0.25">
      <c r="H70" s="1894"/>
      <c r="I70" s="1894"/>
      <c r="J70" s="1894"/>
      <c r="K70" s="1894"/>
    </row>
    <row r="71" spans="8:11" s="1885" customFormat="1" ht="15" x14ac:dyDescent="0.25">
      <c r="H71" s="1894"/>
      <c r="I71" s="1894"/>
      <c r="J71" s="1894"/>
      <c r="K71" s="1894"/>
    </row>
    <row r="72" spans="8:11" s="1885" customFormat="1" ht="15" x14ac:dyDescent="0.25">
      <c r="H72" s="1894"/>
      <c r="I72" s="1894"/>
      <c r="J72" s="1894"/>
      <c r="K72" s="1894"/>
    </row>
    <row r="73" spans="8:11" s="1885" customFormat="1" ht="15" x14ac:dyDescent="0.25">
      <c r="H73" s="1894"/>
      <c r="I73" s="1894"/>
      <c r="J73" s="1894"/>
      <c r="K73" s="1894"/>
    </row>
    <row r="74" spans="8:11" s="1885" customFormat="1" ht="15" x14ac:dyDescent="0.25">
      <c r="H74" s="1894"/>
      <c r="I74" s="1894"/>
      <c r="J74" s="1894"/>
      <c r="K74" s="1894"/>
    </row>
    <row r="75" spans="8:11" s="1885" customFormat="1" ht="15" x14ac:dyDescent="0.25">
      <c r="H75" s="1894"/>
      <c r="I75" s="1894"/>
      <c r="J75" s="1894"/>
      <c r="K75" s="1894"/>
    </row>
    <row r="76" spans="8:11" s="1885" customFormat="1" ht="15" x14ac:dyDescent="0.25">
      <c r="H76" s="1894"/>
      <c r="I76" s="1894"/>
      <c r="J76" s="1894"/>
      <c r="K76" s="1894"/>
    </row>
    <row r="77" spans="8:11" s="1885" customFormat="1" ht="15" x14ac:dyDescent="0.25">
      <c r="H77" s="1894"/>
      <c r="I77" s="1894"/>
      <c r="J77" s="1894"/>
      <c r="K77" s="1894"/>
    </row>
    <row r="78" spans="8:11" s="1885" customFormat="1" ht="15" x14ac:dyDescent="0.25">
      <c r="H78" s="1894"/>
      <c r="I78" s="1894"/>
      <c r="J78" s="1894"/>
      <c r="K78" s="1894"/>
    </row>
    <row r="79" spans="8:11" s="1885" customFormat="1" ht="15" x14ac:dyDescent="0.25">
      <c r="H79" s="1894"/>
      <c r="I79" s="1894"/>
      <c r="J79" s="1894"/>
      <c r="K79" s="1894"/>
    </row>
    <row r="80" spans="8:11" s="1885" customFormat="1" ht="15" x14ac:dyDescent="0.25">
      <c r="H80" s="1894"/>
      <c r="I80" s="1894"/>
      <c r="J80" s="1894"/>
      <c r="K80" s="1894"/>
    </row>
    <row r="81" spans="8:11" s="1885" customFormat="1" ht="15" x14ac:dyDescent="0.25">
      <c r="H81" s="1894"/>
      <c r="I81" s="1894"/>
      <c r="J81" s="1894"/>
      <c r="K81" s="1894"/>
    </row>
    <row r="82" spans="8:11" s="1885" customFormat="1" ht="15" x14ac:dyDescent="0.25">
      <c r="H82" s="1894"/>
      <c r="I82" s="1894"/>
      <c r="J82" s="1894"/>
      <c r="K82" s="1894"/>
    </row>
    <row r="83" spans="8:11" s="1885" customFormat="1" ht="15" x14ac:dyDescent="0.25">
      <c r="H83" s="1894"/>
      <c r="I83" s="1894"/>
      <c r="J83" s="1894"/>
      <c r="K83" s="1894"/>
    </row>
    <row r="84" spans="8:11" s="1885" customFormat="1" ht="15" x14ac:dyDescent="0.25">
      <c r="H84" s="1894"/>
      <c r="I84" s="1894"/>
      <c r="J84" s="1894"/>
      <c r="K84" s="1894"/>
    </row>
    <row r="85" spans="8:11" s="1885" customFormat="1" ht="15" x14ac:dyDescent="0.25">
      <c r="H85" s="1894"/>
      <c r="I85" s="1894"/>
      <c r="J85" s="1894"/>
      <c r="K85" s="1894"/>
    </row>
    <row r="86" spans="8:11" s="1885" customFormat="1" ht="15" x14ac:dyDescent="0.25">
      <c r="H86" s="1894"/>
      <c r="I86" s="1894"/>
      <c r="J86" s="1894"/>
      <c r="K86" s="1894"/>
    </row>
    <row r="87" spans="8:11" s="1885" customFormat="1" ht="15" x14ac:dyDescent="0.25">
      <c r="H87" s="1894"/>
      <c r="I87" s="1894"/>
      <c r="J87" s="1894"/>
      <c r="K87" s="1894"/>
    </row>
    <row r="88" spans="8:11" s="1885" customFormat="1" ht="15" x14ac:dyDescent="0.25">
      <c r="H88" s="1894"/>
      <c r="I88" s="1894"/>
      <c r="J88" s="1894"/>
      <c r="K88" s="1894"/>
    </row>
    <row r="89" spans="8:11" s="1885" customFormat="1" ht="15" x14ac:dyDescent="0.25">
      <c r="H89" s="1894"/>
      <c r="I89" s="1894"/>
      <c r="J89" s="1894"/>
      <c r="K89" s="1894"/>
    </row>
    <row r="90" spans="8:11" s="1885" customFormat="1" ht="15" x14ac:dyDescent="0.25">
      <c r="H90" s="1894"/>
      <c r="I90" s="1894"/>
      <c r="J90" s="1894"/>
      <c r="K90" s="1894"/>
    </row>
    <row r="91" spans="8:11" s="1885" customFormat="1" ht="15" x14ac:dyDescent="0.25">
      <c r="H91" s="1894"/>
      <c r="I91" s="1894"/>
      <c r="J91" s="1894"/>
      <c r="K91" s="1894"/>
    </row>
    <row r="92" spans="8:11" s="1885" customFormat="1" ht="15" x14ac:dyDescent="0.25">
      <c r="H92" s="1894"/>
      <c r="I92" s="1894"/>
      <c r="J92" s="1894"/>
      <c r="K92" s="1894"/>
    </row>
    <row r="93" spans="8:11" s="1885" customFormat="1" ht="15" x14ac:dyDescent="0.25">
      <c r="H93" s="1894"/>
      <c r="I93" s="1894"/>
      <c r="J93" s="1894"/>
      <c r="K93" s="1894"/>
    </row>
    <row r="94" spans="8:11" s="1885" customFormat="1" ht="15" x14ac:dyDescent="0.25">
      <c r="H94" s="1894"/>
      <c r="I94" s="1894"/>
      <c r="J94" s="1894"/>
      <c r="K94" s="1894"/>
    </row>
    <row r="95" spans="8:11" s="1885" customFormat="1" ht="15" x14ac:dyDescent="0.25">
      <c r="H95" s="1894"/>
      <c r="I95" s="1894"/>
      <c r="J95" s="1894"/>
      <c r="K95" s="1894"/>
    </row>
    <row r="96" spans="8:11" s="1885" customFormat="1" ht="15" x14ac:dyDescent="0.25">
      <c r="H96" s="1894"/>
      <c r="I96" s="1894"/>
      <c r="J96" s="1894"/>
      <c r="K96" s="1894"/>
    </row>
    <row r="97" spans="8:11" s="1885" customFormat="1" ht="15" x14ac:dyDescent="0.25">
      <c r="H97" s="1894"/>
      <c r="I97" s="1894"/>
      <c r="J97" s="1894"/>
      <c r="K97" s="189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3" colorId="8" zoomScale="110" zoomScaleNormal="110" workbookViewId="0">
      <selection activeCell="A2" sqref="A2:F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9" t="s">
        <v>693</v>
      </c>
      <c r="B6" s="1664"/>
      <c r="C6" s="1664"/>
      <c r="D6" s="1664"/>
      <c r="E6" s="1665"/>
      <c r="F6" s="1016"/>
      <c r="G6" s="1010"/>
      <c r="H6" s="1017" t="s">
        <v>1086</v>
      </c>
      <c r="I6" s="2326" t="str">
        <f>COVER!A17</f>
        <v>Edwards County CUSD 1</v>
      </c>
      <c r="J6" s="2327"/>
      <c r="Q6" s="1681"/>
    </row>
    <row r="7" spans="1:17" x14ac:dyDescent="0.2">
      <c r="A7" s="2328" t="s">
        <v>924</v>
      </c>
      <c r="B7" s="2329"/>
      <c r="C7" s="2329"/>
      <c r="D7" s="2329"/>
      <c r="E7" s="2330"/>
      <c r="F7" s="1018"/>
      <c r="G7" s="1010"/>
      <c r="H7" s="1017" t="s">
        <v>390</v>
      </c>
      <c r="I7" s="2331">
        <f>COVER!A13</f>
        <v>20024001026</v>
      </c>
      <c r="J7" s="233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0" t="s">
        <v>1701</v>
      </c>
      <c r="F9" s="1024"/>
      <c r="G9" s="1024"/>
      <c r="H9" s="191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2" t="s">
        <v>502</v>
      </c>
      <c r="B11" s="2333"/>
      <c r="C11" s="233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7">
        <f>'Expenditures 15-22'!K50</f>
        <v>151119</v>
      </c>
      <c r="F12" s="1040"/>
      <c r="G12" s="1827">
        <f t="shared" ref="G12:G18" si="0">SUM(E12:F12)</f>
        <v>151119</v>
      </c>
      <c r="H12" s="1041">
        <v>162948</v>
      </c>
      <c r="I12" s="1040"/>
      <c r="J12" s="1827">
        <f t="shared" ref="J12:J18" si="1">SUM(H12:I12)</f>
        <v>162948</v>
      </c>
    </row>
    <row r="13" spans="1:17" ht="15" customHeight="1" x14ac:dyDescent="0.2">
      <c r="A13" s="1036">
        <v>2</v>
      </c>
      <c r="B13" s="1037" t="s">
        <v>44</v>
      </c>
      <c r="C13" s="1038"/>
      <c r="D13" s="1039">
        <v>2330</v>
      </c>
      <c r="E13" s="1827">
        <f>'Expenditures 15-22'!K51</f>
        <v>0</v>
      </c>
      <c r="F13" s="1040"/>
      <c r="G13" s="1827">
        <f t="shared" si="0"/>
        <v>0</v>
      </c>
      <c r="H13" s="1041"/>
      <c r="I13" s="1040"/>
      <c r="J13" s="1827">
        <f t="shared" si="1"/>
        <v>0</v>
      </c>
    </row>
    <row r="14" spans="1:17" ht="15" customHeight="1" x14ac:dyDescent="0.2">
      <c r="A14" s="1036">
        <v>3</v>
      </c>
      <c r="B14" s="1037" t="s">
        <v>45</v>
      </c>
      <c r="C14" s="1038"/>
      <c r="D14" s="1042">
        <v>2490</v>
      </c>
      <c r="E14" s="1827">
        <f>'Expenditures 15-22'!K56</f>
        <v>0</v>
      </c>
      <c r="F14" s="1040"/>
      <c r="G14" s="1827">
        <f t="shared" si="0"/>
        <v>0</v>
      </c>
      <c r="H14" s="1041"/>
      <c r="I14" s="1040"/>
      <c r="J14" s="1827">
        <f t="shared" si="1"/>
        <v>0</v>
      </c>
    </row>
    <row r="15" spans="1:17" ht="15" customHeight="1" x14ac:dyDescent="0.2">
      <c r="A15" s="1036">
        <v>4</v>
      </c>
      <c r="B15" s="1037" t="s">
        <v>1128</v>
      </c>
      <c r="C15" s="1038"/>
      <c r="D15" s="1039">
        <v>2510</v>
      </c>
      <c r="E15" s="1827">
        <f>'Expenditures 15-22'!K59</f>
        <v>0</v>
      </c>
      <c r="F15" s="1827">
        <f>'Expenditures 15-22'!K122</f>
        <v>0</v>
      </c>
      <c r="G15" s="1827">
        <f t="shared" si="0"/>
        <v>0</v>
      </c>
      <c r="H15" s="1041"/>
      <c r="I15" s="1041"/>
      <c r="J15" s="1827">
        <f t="shared" si="1"/>
        <v>0</v>
      </c>
    </row>
    <row r="16" spans="1:17" ht="15" customHeight="1" x14ac:dyDescent="0.2">
      <c r="A16" s="1036">
        <v>5</v>
      </c>
      <c r="B16" s="1037" t="s">
        <v>103</v>
      </c>
      <c r="C16" s="1038"/>
      <c r="D16" s="1039">
        <v>2570</v>
      </c>
      <c r="E16" s="1827">
        <f>'Expenditures 15-22'!K64</f>
        <v>0</v>
      </c>
      <c r="F16" s="1040"/>
      <c r="G16" s="1827">
        <f t="shared" si="0"/>
        <v>0</v>
      </c>
      <c r="H16" s="1041"/>
      <c r="I16" s="1040"/>
      <c r="J16" s="1827">
        <f t="shared" si="1"/>
        <v>0</v>
      </c>
    </row>
    <row r="17" spans="1:10" ht="15" customHeight="1" x14ac:dyDescent="0.2">
      <c r="A17" s="1036">
        <v>6</v>
      </c>
      <c r="B17" s="1037" t="s">
        <v>1120</v>
      </c>
      <c r="C17" s="1038"/>
      <c r="D17" s="1039">
        <v>2610</v>
      </c>
      <c r="E17" s="1827">
        <f>'Expenditures 15-22'!K67</f>
        <v>0</v>
      </c>
      <c r="F17" s="1040"/>
      <c r="G17" s="1827">
        <f t="shared" si="0"/>
        <v>0</v>
      </c>
      <c r="H17" s="1041"/>
      <c r="I17" s="1040"/>
      <c r="J17" s="1827">
        <f t="shared" si="1"/>
        <v>0</v>
      </c>
    </row>
    <row r="18" spans="1:10" ht="22.5" customHeight="1" x14ac:dyDescent="0.2">
      <c r="A18" s="1043">
        <v>7</v>
      </c>
      <c r="B18" s="2335" t="s">
        <v>7</v>
      </c>
      <c r="C18" s="2336"/>
      <c r="D18" s="2337"/>
      <c r="E18" s="1044"/>
      <c r="F18" s="1044"/>
      <c r="G18" s="1828">
        <f t="shared" si="0"/>
        <v>0</v>
      </c>
      <c r="H18" s="1041"/>
      <c r="I18" s="1041"/>
      <c r="J18" s="1827">
        <f t="shared" si="1"/>
        <v>0</v>
      </c>
    </row>
    <row r="19" spans="1:10" ht="12.75" customHeight="1" thickBot="1" x14ac:dyDescent="0.25">
      <c r="A19" s="1036">
        <v>8</v>
      </c>
      <c r="B19" s="1045" t="s">
        <v>1223</v>
      </c>
      <c r="D19" s="1046"/>
      <c r="E19" s="1829">
        <f t="shared" ref="E19:J19" si="2">SUM(E12:E17)-E18</f>
        <v>151119</v>
      </c>
      <c r="F19" s="1829">
        <f t="shared" si="2"/>
        <v>0</v>
      </c>
      <c r="G19" s="1829">
        <f t="shared" si="2"/>
        <v>151119</v>
      </c>
      <c r="H19" s="1829">
        <f t="shared" si="2"/>
        <v>162948</v>
      </c>
      <c r="I19" s="1829">
        <f t="shared" si="2"/>
        <v>0</v>
      </c>
      <c r="J19" s="1829">
        <f t="shared" si="2"/>
        <v>162948</v>
      </c>
    </row>
    <row r="20" spans="1:10" ht="13.5" thickTop="1" x14ac:dyDescent="0.2">
      <c r="A20" s="1036">
        <v>9</v>
      </c>
      <c r="B20" s="2338" t="s">
        <v>1703</v>
      </c>
      <c r="C20" s="2338"/>
      <c r="D20" s="2339"/>
      <c r="E20" s="1047"/>
      <c r="F20" s="1047"/>
      <c r="G20" s="1047"/>
      <c r="H20" s="1047"/>
      <c r="I20" s="1047"/>
      <c r="J20" s="1830">
        <f>IF(AND(G19&gt;0,J19&gt;0),(((J19-G19)/G19)),"Enter Budget Data")</f>
        <v>7.8276060588013424E-2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4"/>
      <c r="D26" s="2344"/>
      <c r="E26" s="1051"/>
      <c r="F26" s="2343"/>
      <c r="G26" s="2343"/>
    </row>
    <row r="27" spans="1:10" x14ac:dyDescent="0.2">
      <c r="B27" s="1048"/>
      <c r="C27" s="1052" t="s">
        <v>1093</v>
      </c>
      <c r="D27" s="1053"/>
      <c r="E27" s="1054"/>
      <c r="F27" s="2340" t="s">
        <v>1589</v>
      </c>
      <c r="G27" s="2340"/>
    </row>
    <row r="28" spans="1:10" ht="28.5" customHeight="1" x14ac:dyDescent="0.2">
      <c r="B28" s="1048"/>
      <c r="C28" s="2342" t="s">
        <v>2089</v>
      </c>
      <c r="D28" s="2342"/>
      <c r="E28" s="1055"/>
      <c r="F28" s="2342" t="s">
        <v>2091</v>
      </c>
      <c r="G28" s="2342"/>
    </row>
    <row r="29" spans="1:10" x14ac:dyDescent="0.2">
      <c r="B29" s="1048"/>
      <c r="C29" s="1056" t="s">
        <v>1642</v>
      </c>
      <c r="E29" s="1057"/>
      <c r="F29" s="2341" t="s">
        <v>1590</v>
      </c>
      <c r="G29" s="234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3" t="s">
        <v>134</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3"/>
    </row>
    <row r="36" spans="1:10" ht="13.5" customHeight="1" x14ac:dyDescent="0.2">
      <c r="B36" s="1062"/>
      <c r="C36" s="2325" t="s">
        <v>1944</v>
      </c>
      <c r="D36" s="2324"/>
      <c r="E36" s="2324"/>
      <c r="F36" s="2324"/>
      <c r="G36" s="2324"/>
      <c r="H36" s="2324"/>
      <c r="I36" s="2324"/>
      <c r="J36" s="1064"/>
    </row>
    <row r="37" spans="1:10" ht="22.5" customHeight="1" x14ac:dyDescent="0.2">
      <c r="C37" s="2324"/>
      <c r="D37" s="2324"/>
      <c r="E37" s="2324"/>
      <c r="F37" s="2324"/>
      <c r="G37" s="2324"/>
      <c r="H37" s="2324"/>
      <c r="I37" s="2324"/>
      <c r="J37" s="1064"/>
    </row>
    <row r="38" spans="1:10" ht="7.5" customHeight="1" x14ac:dyDescent="0.2">
      <c r="C38" s="1063"/>
      <c r="D38" s="1065"/>
      <c r="E38" s="1066"/>
      <c r="F38" s="1067"/>
      <c r="G38" s="1066"/>
    </row>
    <row r="39" spans="1:10" ht="13.5" customHeight="1" x14ac:dyDescent="0.2">
      <c r="B39" s="1062" t="s">
        <v>2077</v>
      </c>
      <c r="C39" s="2321" t="s">
        <v>937</v>
      </c>
      <c r="D39" s="2322"/>
      <c r="E39" s="2322"/>
      <c r="F39" s="2322"/>
      <c r="G39" s="2322"/>
      <c r="H39" s="2322"/>
      <c r="I39" s="232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F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B4" s="1946" t="s">
        <v>1217</v>
      </c>
    </row>
    <row r="5" spans="1:2" x14ac:dyDescent="0.2">
      <c r="A5" s="1069">
        <v>1</v>
      </c>
      <c r="B5" s="329" t="s">
        <v>2102</v>
      </c>
    </row>
    <row r="6" spans="1:2" x14ac:dyDescent="0.2">
      <c r="A6" s="1069">
        <v>2</v>
      </c>
      <c r="B6" s="329" t="s">
        <v>2103</v>
      </c>
    </row>
    <row r="7" spans="1:2" x14ac:dyDescent="0.2">
      <c r="A7" s="1069">
        <v>3</v>
      </c>
      <c r="B7" s="329" t="s">
        <v>2104</v>
      </c>
    </row>
    <row r="8" spans="1:2" x14ac:dyDescent="0.2">
      <c r="A8" s="1069">
        <v>4</v>
      </c>
      <c r="B8" s="329" t="s">
        <v>2105</v>
      </c>
    </row>
    <row r="9" spans="1:2" x14ac:dyDescent="0.2">
      <c r="A9" s="1070">
        <v>5</v>
      </c>
      <c r="B9" s="329" t="s">
        <v>2106</v>
      </c>
    </row>
    <row r="10" spans="1:2" x14ac:dyDescent="0.2">
      <c r="A10" s="1070">
        <v>6</v>
      </c>
      <c r="B10" s="329" t="s">
        <v>2107</v>
      </c>
    </row>
    <row r="11" spans="1:2" x14ac:dyDescent="0.2">
      <c r="A11" s="1070"/>
    </row>
    <row r="12" spans="1:2" x14ac:dyDescent="0.2">
      <c r="A12" s="1070"/>
    </row>
    <row r="13" spans="1:2" x14ac:dyDescent="0.2">
      <c r="A13" s="1070"/>
    </row>
    <row r="14" spans="1:2" x14ac:dyDescent="0.2">
      <c r="A14" s="1070"/>
      <c r="B14" s="1946" t="s">
        <v>925</v>
      </c>
    </row>
    <row r="15" spans="1:2" x14ac:dyDescent="0.2">
      <c r="A15" s="1070">
        <v>1</v>
      </c>
      <c r="B15" s="329" t="s">
        <v>2144</v>
      </c>
    </row>
    <row r="16" spans="1:2" x14ac:dyDescent="0.2">
      <c r="A16" s="1070"/>
    </row>
    <row r="17" spans="1:2" x14ac:dyDescent="0.2">
      <c r="A17" s="1070"/>
      <c r="B17" s="1946" t="s">
        <v>470</v>
      </c>
    </row>
    <row r="18" spans="1:2" x14ac:dyDescent="0.2">
      <c r="A18" s="1070">
        <v>1</v>
      </c>
      <c r="B18" s="329" t="s">
        <v>2108</v>
      </c>
    </row>
    <row r="19" spans="1:2" x14ac:dyDescent="0.2">
      <c r="A19" s="1070"/>
    </row>
    <row r="20" spans="1:2" x14ac:dyDescent="0.2">
      <c r="A20" s="1070"/>
      <c r="B20" s="1946" t="s">
        <v>157</v>
      </c>
    </row>
    <row r="21" spans="1:2" x14ac:dyDescent="0.2">
      <c r="A21" s="1070">
        <v>1</v>
      </c>
      <c r="B21" s="329" t="s">
        <v>2109</v>
      </c>
    </row>
    <row r="22" spans="1:2" x14ac:dyDescent="0.2">
      <c r="A22" s="1070"/>
    </row>
    <row r="23" spans="1:2" x14ac:dyDescent="0.2">
      <c r="A23" s="1070"/>
      <c r="B23" s="1946" t="s">
        <v>457</v>
      </c>
    </row>
    <row r="24" spans="1:2" x14ac:dyDescent="0.2">
      <c r="A24" s="1070">
        <v>1</v>
      </c>
      <c r="B24" s="329" t="s">
        <v>2110</v>
      </c>
    </row>
    <row r="25" spans="1:2" x14ac:dyDescent="0.2">
      <c r="A25" s="1070"/>
      <c r="B25" s="329" t="s">
        <v>2111</v>
      </c>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Edwards County CUSD 1</v>
      </c>
    </row>
    <row r="65" spans="2:2" x14ac:dyDescent="0.2">
      <c r="B65" s="1071">
        <f>COVER!A13</f>
        <v>20024001026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2" sqref="A2:F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2" t="s">
        <v>1709</v>
      </c>
    </row>
    <row r="23" spans="1:5" x14ac:dyDescent="0.2">
      <c r="A23" s="168"/>
      <c r="B23" s="162" t="s">
        <v>1969</v>
      </c>
      <c r="D23" s="167" t="s">
        <v>658</v>
      </c>
      <c r="E23" s="1852"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2" t="s">
        <v>1125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715</v>
      </c>
      <c r="B40" s="2059"/>
      <c r="C40" s="2059"/>
      <c r="D40" s="2059"/>
      <c r="E40" s="2059"/>
    </row>
    <row r="41" spans="1:5" x14ac:dyDescent="0.2">
      <c r="A41" s="2060" t="s">
        <v>1706</v>
      </c>
      <c r="B41" s="2060"/>
      <c r="C41" s="2060"/>
      <c r="D41" s="2060"/>
      <c r="E41" s="2060"/>
    </row>
    <row r="42" spans="1:5" ht="12.75" customHeight="1" x14ac:dyDescent="0.2">
      <c r="A42" s="2061" t="s">
        <v>1080</v>
      </c>
      <c r="B42" s="2061"/>
      <c r="C42" s="2061"/>
      <c r="D42" s="2061"/>
      <c r="E42" s="206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60" zoomScaleNormal="110" workbookViewId="0">
      <selection activeCell="A2" sqref="A2:F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2" sqref="A2:F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45" t="s">
        <v>1784</v>
      </c>
      <c r="B18" s="234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1076325</xdr:colOff>
                <xdr:row>0</xdr:row>
                <xdr:rowOff>0</xdr:rowOff>
              </from>
              <to>
                <xdr:col>1</xdr:col>
                <xdr:colOff>1990725</xdr:colOff>
                <xdr:row>4</xdr:row>
                <xdr:rowOff>38100</xdr:rowOff>
              </to>
            </anchor>
          </objectPr>
        </oleObject>
      </mc:Choice>
      <mc:Fallback>
        <oleObject progId="Acrobat Document" dvAspect="DVASPECT_ICON" shapeId="35844" r:id="rId6"/>
      </mc:Fallback>
    </mc:AlternateContent>
    <mc:AlternateContent xmlns:mc="http://schemas.openxmlformats.org/markup-compatibility/2006">
      <mc:Choice Requires="x14">
        <oleObject progId="Acrobat Document" dvAspect="DVASPECT_ICON" shapeId="35845" r:id="rId8">
          <objectPr defaultSize="0" r:id="rId9">
            <anchor moveWithCells="1">
              <from>
                <xdr:col>0</xdr:col>
                <xdr:colOff>0</xdr:colOff>
                <xdr:row>5</xdr:row>
                <xdr:rowOff>57150</xdr:rowOff>
              </from>
              <to>
                <xdr:col>1</xdr:col>
                <xdr:colOff>790575</xdr:colOff>
                <xdr:row>9</xdr:row>
                <xdr:rowOff>95250</xdr:rowOff>
              </to>
            </anchor>
          </objectPr>
        </oleObject>
      </mc:Choice>
      <mc:Fallback>
        <oleObject progId="Acrobat Document" dvAspect="DVASPECT_ICON" shapeId="35845" r:id="rId8"/>
      </mc:Fallback>
    </mc:AlternateContent>
    <mc:AlternateContent xmlns:mc="http://schemas.openxmlformats.org/markup-compatibility/2006">
      <mc:Choice Requires="x14">
        <oleObject progId="Acrobat Document" dvAspect="DVASPECT_ICON" shapeId="35846" r:id="rId10">
          <objectPr defaultSize="0" r:id="rId11">
            <anchor moveWithCells="1">
              <from>
                <xdr:col>1</xdr:col>
                <xdr:colOff>2276475</xdr:colOff>
                <xdr:row>0</xdr:row>
                <xdr:rowOff>0</xdr:rowOff>
              </from>
              <to>
                <xdr:col>1</xdr:col>
                <xdr:colOff>3190875</xdr:colOff>
                <xdr:row>4</xdr:row>
                <xdr:rowOff>38100</xdr:rowOff>
              </to>
            </anchor>
          </objectPr>
        </oleObject>
      </mc:Choice>
      <mc:Fallback>
        <oleObject progId="Acrobat Document" dvAspect="DVASPECT_ICON" shapeId="35846" r:id="rId10"/>
      </mc:Fallback>
    </mc:AlternateContent>
    <mc:AlternateContent xmlns:mc="http://schemas.openxmlformats.org/markup-compatibility/2006">
      <mc:Choice Requires="x14">
        <oleObject progId="Acrobat Document" dvAspect="DVASPECT_ICON" shapeId="35847" r:id="rId12">
          <objectPr defaultSize="0" r:id="rId13">
            <anchor moveWithCells="1">
              <from>
                <xdr:col>1</xdr:col>
                <xdr:colOff>1057275</xdr:colOff>
                <xdr:row>5</xdr:row>
                <xdr:rowOff>19050</xdr:rowOff>
              </from>
              <to>
                <xdr:col>1</xdr:col>
                <xdr:colOff>1971675</xdr:colOff>
                <xdr:row>9</xdr:row>
                <xdr:rowOff>57150</xdr:rowOff>
              </to>
            </anchor>
          </objectPr>
        </oleObject>
      </mc:Choice>
      <mc:Fallback>
        <oleObject progId="Acrobat Document" dvAspect="DVASPECT_ICON" shapeId="35847"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 sqref="A2:F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1790</v>
      </c>
      <c r="B1" s="2347"/>
      <c r="C1" s="2347"/>
      <c r="D1" s="2347"/>
      <c r="E1" s="2347"/>
      <c r="F1" s="2348"/>
    </row>
    <row r="2" spans="1:8" ht="45" customHeight="1" x14ac:dyDescent="0.2">
      <c r="A2" s="2356" t="s">
        <v>1791</v>
      </c>
      <c r="B2" s="2357"/>
      <c r="C2" s="2357"/>
      <c r="D2" s="2357"/>
      <c r="E2" s="2357"/>
      <c r="F2" s="2358"/>
      <c r="G2" s="1075"/>
      <c r="H2" s="1075"/>
    </row>
    <row r="3" spans="1:8" ht="57" customHeight="1" x14ac:dyDescent="0.2">
      <c r="A3" s="2359" t="s">
        <v>1786</v>
      </c>
      <c r="B3" s="2360"/>
      <c r="C3" s="2360"/>
      <c r="D3" s="2360"/>
      <c r="E3" s="2360"/>
      <c r="F3" s="2361"/>
      <c r="G3" s="1075"/>
      <c r="H3" s="1075"/>
    </row>
    <row r="4" spans="1:8" ht="14.25" customHeight="1" x14ac:dyDescent="0.2">
      <c r="A4" s="2365" t="s">
        <v>2056</v>
      </c>
      <c r="B4" s="2366"/>
      <c r="C4" s="2366"/>
      <c r="D4" s="2366"/>
      <c r="E4" s="2366"/>
      <c r="F4" s="2367"/>
      <c r="G4" s="1075"/>
      <c r="H4" s="1075"/>
    </row>
    <row r="5" spans="1:8" ht="14.25" customHeight="1" x14ac:dyDescent="0.2">
      <c r="A5" s="2368" t="s">
        <v>2057</v>
      </c>
      <c r="B5" s="2369"/>
      <c r="C5" s="2369"/>
      <c r="D5" s="2369"/>
      <c r="E5" s="2369"/>
      <c r="F5" s="2370"/>
      <c r="G5" s="1075"/>
      <c r="H5" s="1075"/>
    </row>
    <row r="6" spans="1:8" s="1076" customFormat="1" ht="41.25" customHeight="1" x14ac:dyDescent="0.2">
      <c r="A6" s="2362" t="s">
        <v>1792</v>
      </c>
      <c r="B6" s="2363"/>
      <c r="C6" s="2363"/>
      <c r="D6" s="2363"/>
      <c r="E6" s="2363"/>
      <c r="F6" s="236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1">
        <f>'Acct Summary 7-8'!C8</f>
        <v>6626581</v>
      </c>
      <c r="C8" s="1831">
        <f>'Acct Summary 7-8'!D8</f>
        <v>591643</v>
      </c>
      <c r="D8" s="1831">
        <f>'Acct Summary 7-8'!F8</f>
        <v>674621</v>
      </c>
      <c r="E8" s="1831">
        <f>'Acct Summary 7-8'!I8</f>
        <v>39856</v>
      </c>
      <c r="F8" s="1831">
        <f>SUM(B8:E8)</f>
        <v>7932701</v>
      </c>
    </row>
    <row r="9" spans="1:8" s="1080" customFormat="1" ht="14.25" customHeight="1" thickBot="1" x14ac:dyDescent="0.25">
      <c r="A9" s="1079" t="s">
        <v>1436</v>
      </c>
      <c r="B9" s="1832">
        <f>'Acct Summary 7-8'!C17</f>
        <v>6256569</v>
      </c>
      <c r="C9" s="1832">
        <f>'Acct Summary 7-8'!D17</f>
        <v>590308</v>
      </c>
      <c r="D9" s="1832">
        <f>'Acct Summary 7-8'!F17</f>
        <v>689799</v>
      </c>
      <c r="E9" s="1831"/>
      <c r="F9" s="1831">
        <f>SUM(B9:E9)</f>
        <v>7536676</v>
      </c>
    </row>
    <row r="10" spans="1:8" s="1080" customFormat="1" ht="14.25" thickTop="1" thickBot="1" x14ac:dyDescent="0.25">
      <c r="A10" s="1081" t="s">
        <v>1437</v>
      </c>
      <c r="B10" s="1833">
        <f>(B8-B9)</f>
        <v>370012</v>
      </c>
      <c r="C10" s="1833">
        <f>(C8-C9)</f>
        <v>1335</v>
      </c>
      <c r="D10" s="1833">
        <f>(D8-D9)</f>
        <v>-15178</v>
      </c>
      <c r="E10" s="1832">
        <f>(E8-E9)</f>
        <v>39856</v>
      </c>
      <c r="F10" s="1834">
        <f>SUM(F8-F9)</f>
        <v>396025</v>
      </c>
    </row>
    <row r="11" spans="1:8" s="1080" customFormat="1" ht="14.25" thickTop="1" thickBot="1" x14ac:dyDescent="0.25">
      <c r="A11" s="1082" t="s">
        <v>1785</v>
      </c>
      <c r="B11" s="1835">
        <f>'Acct Summary 7-8'!C81</f>
        <v>1594403</v>
      </c>
      <c r="C11" s="1835">
        <f>'Acct Summary 7-8'!D81</f>
        <v>1456</v>
      </c>
      <c r="D11" s="1835">
        <f>'Acct Summary 7-8'!F81</f>
        <v>1836</v>
      </c>
      <c r="E11" s="1835">
        <f>'Acct Summary 7-8'!I81</f>
        <v>979806</v>
      </c>
      <c r="F11" s="1836">
        <f>SUM(B11:E11)</f>
        <v>2577501</v>
      </c>
    </row>
    <row r="12" spans="1:8" ht="16.5" customHeight="1" thickTop="1" x14ac:dyDescent="0.2">
      <c r="A12" s="1083"/>
      <c r="B12" s="1084"/>
      <c r="C12" s="2350" t="str">
        <f>IF(AND(F10&lt;0,F11&gt;=0,ABS(F10*3)&gt;ABS(F11)),A16,IF(AND(F10&lt;0,F11&gt;0,ABS(F10*3)&lt;=ABS(F11)),A17,IF(AND(F10&lt;0,F11&lt;0),A16,IF(F11=0,A19,A18))))</f>
        <v>Balanced - no deficit reduction plan is required.</v>
      </c>
      <c r="D12" s="2351"/>
      <c r="E12" s="2351"/>
      <c r="F12" s="2352"/>
    </row>
    <row r="13" spans="1:8" ht="19.5" customHeight="1" x14ac:dyDescent="0.2">
      <c r="A13" s="1085"/>
      <c r="B13" s="1086"/>
      <c r="C13" s="2350"/>
      <c r="D13" s="2351"/>
      <c r="E13" s="2351"/>
      <c r="F13" s="2352"/>
      <c r="H13" s="1075"/>
    </row>
    <row r="14" spans="1:8" ht="19.5" customHeight="1" x14ac:dyDescent="0.2">
      <c r="A14" s="1085"/>
      <c r="B14" s="1086"/>
      <c r="C14" s="2350"/>
      <c r="D14" s="2351"/>
      <c r="E14" s="2351"/>
      <c r="F14" s="2352"/>
      <c r="H14" s="1075"/>
    </row>
    <row r="15" spans="1:8" ht="17.25" customHeight="1" x14ac:dyDescent="0.2">
      <c r="A15" s="1085"/>
      <c r="B15" s="1086"/>
      <c r="C15" s="2353"/>
      <c r="D15" s="2354"/>
      <c r="E15" s="2354"/>
      <c r="F15" s="2355"/>
      <c r="H15" s="1075"/>
    </row>
    <row r="16" spans="1:8" s="310" customFormat="1" ht="51.75" hidden="1" customHeight="1" x14ac:dyDescent="0.2">
      <c r="A16" s="2349" t="s">
        <v>1787</v>
      </c>
      <c r="B16" s="2349"/>
      <c r="C16" s="2349"/>
      <c r="D16" s="2349"/>
      <c r="E16" s="234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2"/>
      <c r="B2" s="1913"/>
      <c r="C2" s="1914"/>
      <c r="D2" s="1915"/>
    </row>
    <row r="3" spans="1:4" ht="36" customHeight="1" x14ac:dyDescent="0.2">
      <c r="A3" s="2371" t="s">
        <v>686</v>
      </c>
      <c r="B3" s="2372"/>
      <c r="C3" s="2372"/>
      <c r="D3" s="237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2" t="s">
        <v>1584</v>
      </c>
      <c r="D7" s="238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4" t="s">
        <v>1065</v>
      </c>
      <c r="B15" s="2375"/>
      <c r="C15" s="2375"/>
      <c r="D15" s="2376"/>
    </row>
    <row r="16" spans="1:4" s="669" customFormat="1" ht="24" customHeight="1" x14ac:dyDescent="0.2">
      <c r="A16" s="2377" t="s">
        <v>684</v>
      </c>
      <c r="B16" s="2378"/>
      <c r="C16" s="2378"/>
      <c r="D16" s="237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86" t="s">
        <v>332</v>
      </c>
      <c r="D21" s="2387"/>
    </row>
    <row r="22" spans="1:10" ht="12.75" x14ac:dyDescent="0.2">
      <c r="A22" s="1140"/>
      <c r="B22" s="1141">
        <v>2</v>
      </c>
      <c r="C22" s="2384" t="s">
        <v>1605</v>
      </c>
      <c r="D22" s="238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88" t="s">
        <v>557</v>
      </c>
      <c r="D43" s="238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0" t="s">
        <v>817</v>
      </c>
      <c r="D56" s="238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0" t="s">
        <v>1797</v>
      </c>
      <c r="D70" s="238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29'!D24&gt;0,"OK","PLEASE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20024001026</v>
      </c>
    </row>
    <row r="3" spans="1:2" x14ac:dyDescent="0.2">
      <c r="A3" t="s">
        <v>1013</v>
      </c>
      <c r="B3" s="138" t="str">
        <f>COVER!A15</f>
        <v>Edwards, Richland, Wayne</v>
      </c>
    </row>
    <row r="4" spans="1:2" x14ac:dyDescent="0.2">
      <c r="A4" t="s">
        <v>1064</v>
      </c>
      <c r="B4" s="138" t="str">
        <f>COVER!A17</f>
        <v>Edwards County CUSD 1</v>
      </c>
    </row>
    <row r="5" spans="1:2" x14ac:dyDescent="0.2">
      <c r="A5" t="s">
        <v>728</v>
      </c>
      <c r="B5" s="138" t="str">
        <f>COVER!A38</f>
        <v>David Cowger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f>COVER!T23</f>
        <v>65.032562999999996</v>
      </c>
    </row>
    <row r="16" spans="1:2" x14ac:dyDescent="0.2">
      <c r="A16" t="s">
        <v>442</v>
      </c>
      <c r="B16" s="138" t="str">
        <f>COVER!T13</f>
        <v>Kemper CPA Group LLP</v>
      </c>
    </row>
    <row r="17" spans="1:2" x14ac:dyDescent="0.2">
      <c r="A17" t="s">
        <v>939</v>
      </c>
      <c r="B17" s="138" t="str">
        <f>COVER!T15</f>
        <v>Krista McLaren</v>
      </c>
    </row>
    <row r="18" spans="1:2" x14ac:dyDescent="0.2">
      <c r="A18" t="s">
        <v>1212</v>
      </c>
      <c r="B18" s="138" t="str">
        <f>COVER!T17</f>
        <v>703 W. Main St, PO Box 447</v>
      </c>
    </row>
    <row r="19" spans="1:2" x14ac:dyDescent="0.2">
      <c r="A19" t="s">
        <v>941</v>
      </c>
      <c r="B19" s="138" t="str">
        <f>COVER!T25</f>
        <v>kmclaren@kempercpa.com</v>
      </c>
    </row>
    <row r="20" spans="1:2" x14ac:dyDescent="0.2">
      <c r="A20" t="s">
        <v>942</v>
      </c>
      <c r="B20" s="138" t="str">
        <f>COVER!T19</f>
        <v>Olney</v>
      </c>
    </row>
    <row r="21" spans="1:2" x14ac:dyDescent="0.2">
      <c r="A21" t="s">
        <v>500</v>
      </c>
      <c r="B21" s="138" t="str">
        <f>COVER!X19</f>
        <v>IL</v>
      </c>
    </row>
    <row r="22" spans="1:2" x14ac:dyDescent="0.2">
      <c r="A22" t="s">
        <v>943</v>
      </c>
      <c r="B22" s="138">
        <f>COVER!Z19</f>
        <v>62450</v>
      </c>
    </row>
    <row r="23" spans="1:2" x14ac:dyDescent="0.2">
      <c r="A23" t="s">
        <v>1214</v>
      </c>
      <c r="B23" s="138" t="str">
        <f>COVER!T21</f>
        <v>618-395-2105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599574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1594403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1594403</v>
      </c>
      <c r="D92" s="2" t="str">
        <f t="shared" si="0"/>
        <v>Error?</v>
      </c>
    </row>
    <row r="93" spans="1:4" x14ac:dyDescent="0.2">
      <c r="A93" s="5">
        <v>32</v>
      </c>
      <c r="B93" s="138">
        <f>'Assets-Liab 5-6'!C41</f>
        <v>1594403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1456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1456</v>
      </c>
      <c r="D123" s="2" t="str">
        <f t="shared" si="0"/>
        <v>Error?</v>
      </c>
    </row>
    <row r="124" spans="1:4" x14ac:dyDescent="0.2">
      <c r="A124" s="5">
        <v>63</v>
      </c>
      <c r="B124" s="138">
        <f>'Assets-Liab 5-6'!D41</f>
        <v>1456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322940</v>
      </c>
      <c r="D129" s="2" t="str">
        <f t="shared" si="1"/>
        <v>Error?</v>
      </c>
    </row>
    <row r="130" spans="1:4" x14ac:dyDescent="0.2">
      <c r="A130" s="5">
        <v>69</v>
      </c>
      <c r="B130" s="138">
        <f>'Assets-Liab 5-6'!E12</f>
        <v>0</v>
      </c>
      <c r="D130" s="2" t="str">
        <f t="shared" si="1"/>
        <v>Error?</v>
      </c>
    </row>
    <row r="131" spans="1:4" x14ac:dyDescent="0.2">
      <c r="A131" s="5">
        <v>70</v>
      </c>
      <c r="B131" s="138">
        <f>'Assets-Liab 5-6'!E13</f>
        <v>328676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36076</v>
      </c>
      <c r="D140" s="2" t="str">
        <f t="shared" si="1"/>
        <v>Error?</v>
      </c>
    </row>
    <row r="141" spans="1:4" x14ac:dyDescent="0.2">
      <c r="A141" s="5">
        <v>80</v>
      </c>
      <c r="B141" s="138">
        <f>'Assets-Liab 5-6'!E41</f>
        <v>328676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1836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1836</v>
      </c>
      <c r="D170" s="2" t="str">
        <f t="shared" si="1"/>
        <v>Error?</v>
      </c>
    </row>
    <row r="171" spans="1:4" x14ac:dyDescent="0.2">
      <c r="A171" s="5">
        <v>110</v>
      </c>
      <c r="B171" s="138">
        <f>'Assets-Liab 5-6'!F41</f>
        <v>1836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148580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237704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81170</v>
      </c>
      <c r="D189" s="2" t="str">
        <f t="shared" si="1"/>
        <v>Error?</v>
      </c>
    </row>
    <row r="190" spans="1:4" x14ac:dyDescent="0.2">
      <c r="A190" s="5">
        <v>129</v>
      </c>
      <c r="B190" s="138">
        <f>'Assets-Liab 5-6'!G41</f>
        <v>237704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496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150452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150452</v>
      </c>
      <c r="D212" s="2" t="str">
        <f t="shared" si="2"/>
        <v>Error?</v>
      </c>
    </row>
    <row r="213" spans="1:4" x14ac:dyDescent="0.2">
      <c r="A213" s="12">
        <v>152</v>
      </c>
      <c r="B213" s="138">
        <f>'Assets-Liab 5-6'!H41</f>
        <v>150452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122582</v>
      </c>
      <c r="D273" s="2" t="str">
        <f t="shared" si="3"/>
        <v>Error?</v>
      </c>
    </row>
    <row r="274" spans="1:4" x14ac:dyDescent="0.2">
      <c r="A274" s="5">
        <v>213</v>
      </c>
      <c r="B274" s="138">
        <f>'Assets-Liab 5-6'!M17</f>
        <v>9495991</v>
      </c>
      <c r="D274" s="2" t="str">
        <f t="shared" si="3"/>
        <v>Error?</v>
      </c>
    </row>
    <row r="275" spans="1:4" x14ac:dyDescent="0.2">
      <c r="A275" s="5">
        <v>214</v>
      </c>
      <c r="B275" s="138">
        <f>'Assets-Liab 5-6'!M18</f>
        <v>913431</v>
      </c>
      <c r="D275" s="2" t="str">
        <f t="shared" si="3"/>
        <v>Error?</v>
      </c>
    </row>
    <row r="276" spans="1:4" x14ac:dyDescent="0.2">
      <c r="A276" s="5">
        <v>215</v>
      </c>
      <c r="B276" s="138">
        <f>'Assets-Liab 5-6'!M19</f>
        <v>2457772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12989776</v>
      </c>
      <c r="C279" s="2" t="s">
        <v>594</v>
      </c>
      <c r="D279" s="2" t="str">
        <f t="shared" si="3"/>
        <v>Error?</v>
      </c>
    </row>
    <row r="280" spans="1:4" x14ac:dyDescent="0.2">
      <c r="A280" s="5">
        <v>219</v>
      </c>
      <c r="B280" s="138">
        <f>'Assets-Liab 5-6'!M40</f>
        <v>12989776</v>
      </c>
      <c r="D280" s="2" t="str">
        <f t="shared" si="3"/>
        <v>Error?</v>
      </c>
    </row>
    <row r="281" spans="1:4" x14ac:dyDescent="0.2">
      <c r="A281" s="5">
        <v>220</v>
      </c>
      <c r="B281" s="138">
        <f>'Assets-Liab 5-6'!M41</f>
        <v>12989776</v>
      </c>
      <c r="C281" s="2" t="s">
        <v>594</v>
      </c>
      <c r="D281" s="2" t="str">
        <f t="shared" si="3"/>
        <v>Error?</v>
      </c>
    </row>
    <row r="282" spans="1:4" x14ac:dyDescent="0.2">
      <c r="A282" s="5">
        <v>221</v>
      </c>
      <c r="B282" s="138">
        <f>'Assets-Liab 5-6'!N21</f>
        <v>328676</v>
      </c>
      <c r="D282" s="2" t="str">
        <f t="shared" si="3"/>
        <v>Error?</v>
      </c>
    </row>
    <row r="283" spans="1:4" x14ac:dyDescent="0.2">
      <c r="A283" s="5">
        <v>222</v>
      </c>
      <c r="B283" s="138">
        <f>'Assets-Liab 5-6'!N22</f>
        <v>1060231</v>
      </c>
      <c r="D283" s="2" t="str">
        <f t="shared" si="3"/>
        <v>Error?</v>
      </c>
    </row>
    <row r="284" spans="1:4" x14ac:dyDescent="0.2">
      <c r="A284" s="5">
        <v>223</v>
      </c>
      <c r="B284" s="138">
        <f>'Assets-Liab 5-6'!N23</f>
        <v>1388907</v>
      </c>
      <c r="C284" s="2" t="s">
        <v>594</v>
      </c>
      <c r="D284" s="2" t="str">
        <f t="shared" si="3"/>
        <v>Error?</v>
      </c>
    </row>
    <row r="285" spans="1:4" x14ac:dyDescent="0.2">
      <c r="A285" s="5">
        <v>224</v>
      </c>
      <c r="B285" s="138">
        <f>'Assets-Liab 5-6'!N36</f>
        <v>1388907</v>
      </c>
      <c r="D285" s="2" t="str">
        <f t="shared" si="3"/>
        <v>Error?</v>
      </c>
    </row>
    <row r="286" spans="1:4" x14ac:dyDescent="0.2">
      <c r="A286" s="10">
        <v>225</v>
      </c>
      <c r="D286" s="2" t="str">
        <f t="shared" si="3"/>
        <v>OK</v>
      </c>
    </row>
    <row r="287" spans="1:4" x14ac:dyDescent="0.2">
      <c r="A287" s="5">
        <v>226</v>
      </c>
      <c r="B287" s="138">
        <f>'Assets-Liab 5-6'!N37</f>
        <v>1388907</v>
      </c>
      <c r="C287" s="2" t="s">
        <v>594</v>
      </c>
      <c r="D287" s="2" t="str">
        <f t="shared" si="3"/>
        <v>Error?</v>
      </c>
    </row>
    <row r="288" spans="1:4" x14ac:dyDescent="0.2">
      <c r="A288" s="5">
        <v>227</v>
      </c>
      <c r="B288" s="138">
        <f>'Assets-Liab 5-6'!N41</f>
        <v>1388907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15899</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2189471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203736</v>
      </c>
      <c r="D717" s="2" t="str">
        <f t="shared" si="10"/>
        <v>Error?</v>
      </c>
    </row>
    <row r="718" spans="1:4" x14ac:dyDescent="0.2">
      <c r="A718" s="5">
        <v>657</v>
      </c>
      <c r="B718" s="138">
        <f>'Expenditures 15-22'!C14</f>
        <v>237183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3661527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58494</v>
      </c>
      <c r="D722" s="2" t="str">
        <f t="shared" si="10"/>
        <v>Error?</v>
      </c>
    </row>
    <row r="723" spans="1:4" x14ac:dyDescent="0.2">
      <c r="A723" s="5">
        <v>662</v>
      </c>
      <c r="B723" s="138">
        <f>'Expenditures 15-22'!C38</f>
        <v>72823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100886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232203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75404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75404</v>
      </c>
      <c r="C731" s="2" t="s">
        <v>594</v>
      </c>
      <c r="D731" s="2" t="str">
        <f t="shared" si="10"/>
        <v>Error?</v>
      </c>
    </row>
    <row r="732" spans="1:4" x14ac:dyDescent="0.2">
      <c r="A732" s="5">
        <v>671</v>
      </c>
      <c r="B732" s="138">
        <f>'Expenditures 15-22'!C49</f>
        <v>44915</v>
      </c>
      <c r="D732" s="2" t="str">
        <f t="shared" si="10"/>
        <v>Error?</v>
      </c>
    </row>
    <row r="733" spans="1:4" x14ac:dyDescent="0.2">
      <c r="A733" s="5">
        <v>672</v>
      </c>
      <c r="B733" s="138">
        <f>'Expenditures 15-22'!C50</f>
        <v>128693</v>
      </c>
      <c r="D733" s="2" t="str">
        <f t="shared" si="10"/>
        <v>Error?</v>
      </c>
    </row>
    <row r="734" spans="1:4" x14ac:dyDescent="0.2">
      <c r="A734" s="5">
        <v>673</v>
      </c>
      <c r="B734" s="138">
        <f>'Expenditures 15-22'!C53</f>
        <v>173608</v>
      </c>
      <c r="C734" s="2" t="s">
        <v>594</v>
      </c>
      <c r="D734" s="2" t="str">
        <f t="shared" si="10"/>
        <v>Error?</v>
      </c>
    </row>
    <row r="735" spans="1:4" x14ac:dyDescent="0.2">
      <c r="A735" s="5">
        <v>674</v>
      </c>
      <c r="B735" s="138">
        <f>'Expenditures 15-22'!C55</f>
        <v>277851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277851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27410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154595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182005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941071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4602598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480661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43960</v>
      </c>
      <c r="D775" s="2" t="str">
        <f t="shared" si="11"/>
        <v>Error?</v>
      </c>
    </row>
    <row r="776" spans="1:4" x14ac:dyDescent="0.2">
      <c r="A776" s="5">
        <v>715</v>
      </c>
      <c r="B776" s="138">
        <f>'Expenditures 15-22'!D14</f>
        <v>47729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810843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12940</v>
      </c>
      <c r="D780" s="2" t="str">
        <f t="shared" si="11"/>
        <v>Error?</v>
      </c>
    </row>
    <row r="781" spans="1:4" x14ac:dyDescent="0.2">
      <c r="A781" s="5">
        <v>720</v>
      </c>
      <c r="B781" s="138">
        <f>'Expenditures 15-22'!D38</f>
        <v>13134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23991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50065</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16290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16290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21341</v>
      </c>
      <c r="D791" s="2" t="str">
        <f t="shared" si="11"/>
        <v>Error?</v>
      </c>
    </row>
    <row r="792" spans="1:4" x14ac:dyDescent="0.2">
      <c r="A792" s="5">
        <v>731</v>
      </c>
      <c r="B792" s="138">
        <f>'Expenditures 15-22'!D53</f>
        <v>21341</v>
      </c>
      <c r="C792" s="2" t="s">
        <v>594</v>
      </c>
      <c r="D792" s="2" t="str">
        <f t="shared" si="11"/>
        <v>Error?</v>
      </c>
    </row>
    <row r="793" spans="1:4" x14ac:dyDescent="0.2">
      <c r="A793" s="5">
        <v>732</v>
      </c>
      <c r="B793" s="138">
        <f>'Expenditures 15-22'!D55</f>
        <v>56333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56333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4506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37911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42417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186446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997289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105</v>
      </c>
      <c r="D833" s="2" t="str">
        <f t="shared" si="12"/>
        <v>Error?</v>
      </c>
    </row>
    <row r="834" spans="1:4" x14ac:dyDescent="0.2">
      <c r="A834" s="5">
        <v>773</v>
      </c>
      <c r="B834" s="138">
        <f>'Expenditures 15-22'!E14</f>
        <v>22356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37924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10980</v>
      </c>
      <c r="D838" s="2" t="str">
        <f t="shared" si="12"/>
        <v>Error?</v>
      </c>
    </row>
    <row r="839" spans="1:4" x14ac:dyDescent="0.2">
      <c r="A839" s="5">
        <v>778</v>
      </c>
      <c r="B839" s="138">
        <f>'Expenditures 15-22'!E38</f>
        <v>421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630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12031</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594</v>
      </c>
      <c r="D850" s="2" t="str">
        <f t="shared" si="12"/>
        <v>Error?</v>
      </c>
    </row>
    <row r="851" spans="1:4" x14ac:dyDescent="0.2">
      <c r="A851" s="5">
        <v>790</v>
      </c>
      <c r="B851" s="138">
        <f>'Expenditures 15-22'!E55</f>
        <v>36675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36675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15660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7016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22676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71382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308349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109302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7688</v>
      </c>
      <c r="D891" s="2" t="str">
        <f t="shared" si="12"/>
        <v>Error?</v>
      </c>
    </row>
    <row r="892" spans="1:4" x14ac:dyDescent="0.2">
      <c r="A892" s="5">
        <v>831</v>
      </c>
      <c r="B892" s="138">
        <f>'Expenditures 15-22'!F14</f>
        <v>4073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151430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132</v>
      </c>
      <c r="D896" s="2" t="str">
        <f t="shared" si="13"/>
        <v>Error?</v>
      </c>
    </row>
    <row r="897" spans="1:4" x14ac:dyDescent="0.2">
      <c r="A897" s="5">
        <v>836</v>
      </c>
      <c r="B897" s="138">
        <f>'Expenditures 15-22'!F38</f>
        <v>786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451</v>
      </c>
      <c r="D899" s="2" t="str">
        <f t="shared" si="13"/>
        <v>Error?</v>
      </c>
    </row>
    <row r="900" spans="1:4" x14ac:dyDescent="0.2">
      <c r="A900" s="5">
        <v>839</v>
      </c>
      <c r="B900" s="138">
        <f>'Expenditures 15-22'!F41</f>
        <v>2428</v>
      </c>
      <c r="D900" s="2" t="str">
        <f t="shared" si="13"/>
        <v>Error?</v>
      </c>
    </row>
    <row r="901" spans="1:4" x14ac:dyDescent="0.2">
      <c r="A901" s="5">
        <v>840</v>
      </c>
      <c r="B901" s="138">
        <f>'Expenditures 15-22'!F42</f>
        <v>3797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4345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4345</v>
      </c>
      <c r="C905" s="2" t="s">
        <v>594</v>
      </c>
      <c r="D905" s="2" t="str">
        <f t="shared" si="13"/>
        <v>Error?</v>
      </c>
    </row>
    <row r="906" spans="1:4" x14ac:dyDescent="0.2">
      <c r="A906" s="5">
        <v>845</v>
      </c>
      <c r="B906" s="138">
        <f>'Expenditures 15-22'!F49</f>
        <v>1297</v>
      </c>
      <c r="D906" s="2" t="str">
        <f t="shared" si="13"/>
        <v>Error?</v>
      </c>
    </row>
    <row r="907" spans="1:4" x14ac:dyDescent="0.2">
      <c r="A907" s="5">
        <v>846</v>
      </c>
      <c r="B907" s="138">
        <f>'Expenditures 15-22'!F50</f>
        <v>77</v>
      </c>
      <c r="D907" s="2" t="str">
        <f t="shared" si="13"/>
        <v>Error?</v>
      </c>
    </row>
    <row r="908" spans="1:4" x14ac:dyDescent="0.2">
      <c r="A908" s="5">
        <v>847</v>
      </c>
      <c r="B908" s="138">
        <f>'Expenditures 15-22'!F53</f>
        <v>1374</v>
      </c>
      <c r="C908" s="2" t="s">
        <v>594</v>
      </c>
      <c r="D908" s="2" t="str">
        <f t="shared" si="13"/>
        <v>Error?</v>
      </c>
    </row>
    <row r="909" spans="1:4" x14ac:dyDescent="0.2">
      <c r="A909" s="5">
        <v>848</v>
      </c>
      <c r="B909" s="138">
        <f>'Expenditures 15-22'!F55</f>
        <v>3533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3533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153835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153835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166884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318314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17057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3977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21034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21034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2405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2405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4085</v>
      </c>
      <c r="D1022" s="2" t="str">
        <f t="shared" si="14"/>
        <v>Error?</v>
      </c>
    </row>
    <row r="1023" spans="1:4" x14ac:dyDescent="0.2">
      <c r="A1023" s="5">
        <v>962</v>
      </c>
      <c r="B1023" s="138">
        <f>'Expenditures 15-22'!H50</f>
        <v>1008</v>
      </c>
      <c r="D1023" s="2" t="str">
        <f t="shared" ref="D1023:D1086" si="15">IF(ISBLANK(B1023),"OK",IF(A1023-B1023=0,"OK","Error?"))</f>
        <v>Error?</v>
      </c>
    </row>
    <row r="1024" spans="1:4" x14ac:dyDescent="0.2">
      <c r="A1024" s="5">
        <v>963</v>
      </c>
      <c r="B1024" s="138">
        <f>'Expenditures 15-22'!H53</f>
        <v>5093</v>
      </c>
      <c r="C1024" s="2" t="s">
        <v>594</v>
      </c>
      <c r="D1024" s="2" t="str">
        <f t="shared" si="15"/>
        <v>Error?</v>
      </c>
    </row>
    <row r="1025" spans="1:4" x14ac:dyDescent="0.2">
      <c r="A1025" s="5">
        <v>964</v>
      </c>
      <c r="B1025" s="138">
        <f>'Expenditures 15-22'!H55</f>
        <v>1487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1487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6580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8985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2798130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259466</v>
      </c>
      <c r="C1105" s="2" t="s">
        <v>594</v>
      </c>
      <c r="D1105" s="2" t="str">
        <f t="shared" si="16"/>
        <v>Error?</v>
      </c>
    </row>
    <row r="1106" spans="1:4" x14ac:dyDescent="0.2">
      <c r="A1106" s="5">
        <v>1045</v>
      </c>
      <c r="B1106" s="138">
        <f>'Expenditures 15-22'!K14</f>
        <v>313746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4685163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82546</v>
      </c>
      <c r="C1110" s="2" t="s">
        <v>594</v>
      </c>
      <c r="D1110" s="2" t="str">
        <f t="shared" si="16"/>
        <v>Error?</v>
      </c>
    </row>
    <row r="1111" spans="1:4" x14ac:dyDescent="0.2">
      <c r="A1111" s="5">
        <v>1050</v>
      </c>
      <c r="B1111" s="138">
        <f>'Expenditures 15-22'!K38</f>
        <v>87164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125958</v>
      </c>
      <c r="C1113" s="2" t="s">
        <v>594</v>
      </c>
      <c r="D1113" s="2" t="str">
        <f t="shared" si="16"/>
        <v>Error?</v>
      </c>
    </row>
    <row r="1114" spans="1:4" x14ac:dyDescent="0.2">
      <c r="A1114" s="5">
        <v>1053</v>
      </c>
      <c r="B1114" s="138">
        <f>'Expenditures 15-22'!K41</f>
        <v>2428</v>
      </c>
      <c r="C1114" s="2" t="s">
        <v>594</v>
      </c>
      <c r="D1114" s="2" t="str">
        <f t="shared" si="16"/>
        <v>Error?</v>
      </c>
    </row>
    <row r="1115" spans="1:4" x14ac:dyDescent="0.2">
      <c r="A1115" s="5">
        <v>1054</v>
      </c>
      <c r="B1115" s="138">
        <f>'Expenditures 15-22'!K42</f>
        <v>298096</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96039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96039</v>
      </c>
      <c r="C1119" s="2" t="s">
        <v>594</v>
      </c>
      <c r="D1119" s="2" t="str">
        <f t="shared" si="16"/>
        <v>Error?</v>
      </c>
    </row>
    <row r="1120" spans="1:4" x14ac:dyDescent="0.2">
      <c r="A1120" s="5">
        <v>1059</v>
      </c>
      <c r="B1120" s="138">
        <f>'Expenditures 15-22'!K49</f>
        <v>50297</v>
      </c>
      <c r="C1120" s="2" t="s">
        <v>594</v>
      </c>
      <c r="D1120" s="2" t="str">
        <f t="shared" si="16"/>
        <v>Error?</v>
      </c>
    </row>
    <row r="1121" spans="1:4" x14ac:dyDescent="0.2">
      <c r="A1121" s="5">
        <v>1060</v>
      </c>
      <c r="B1121" s="138">
        <f>'Expenditures 15-22'!K50</f>
        <v>151119</v>
      </c>
      <c r="C1121" s="2" t="s">
        <v>594</v>
      </c>
      <c r="D1121" s="2" t="str">
        <f t="shared" si="16"/>
        <v>Error?</v>
      </c>
    </row>
    <row r="1122" spans="1:4" x14ac:dyDescent="0.2">
      <c r="A1122" s="5">
        <v>1061</v>
      </c>
      <c r="B1122" s="138">
        <f>'Expenditures 15-22'!K53</f>
        <v>201416</v>
      </c>
      <c r="C1122" s="2" t="s">
        <v>594</v>
      </c>
      <c r="D1122" s="2" t="str">
        <f t="shared" si="16"/>
        <v>Error?</v>
      </c>
    </row>
    <row r="1123" spans="1:4" x14ac:dyDescent="0.2">
      <c r="A1123" s="5">
        <v>1062</v>
      </c>
      <c r="B1123" s="138">
        <f>'Expenditures 15-22'!K55</f>
        <v>375879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375879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47576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353357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400933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1372363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199043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6256569</v>
      </c>
      <c r="C1152" s="2" t="s">
        <v>594</v>
      </c>
      <c r="D1152" s="2" t="str">
        <f t="shared" si="17"/>
        <v>Error?</v>
      </c>
    </row>
    <row r="1153" spans="1:4" x14ac:dyDescent="0.2">
      <c r="A1153" s="5">
        <v>1092</v>
      </c>
      <c r="B1153" s="138">
        <f>'Expenditures 15-22'!K115</f>
        <v>370012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282675</v>
      </c>
      <c r="D1221" s="2" t="str">
        <f t="shared" si="18"/>
        <v>Error?</v>
      </c>
    </row>
    <row r="1222" spans="1:4" x14ac:dyDescent="0.2">
      <c r="A1222" s="10">
        <v>1161</v>
      </c>
      <c r="D1222" s="2" t="str">
        <f t="shared" si="18"/>
        <v>OK</v>
      </c>
    </row>
    <row r="1223" spans="1:4" x14ac:dyDescent="0.2">
      <c r="A1223" s="5">
        <v>1162</v>
      </c>
      <c r="B1223" s="138">
        <f>'Expenditures 15-22'!C127</f>
        <v>282675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282675</v>
      </c>
      <c r="C1225" s="2" t="s">
        <v>594</v>
      </c>
      <c r="D1225" s="2" t="str">
        <f t="shared" si="18"/>
        <v>Error?</v>
      </c>
    </row>
    <row r="1226" spans="1:4" x14ac:dyDescent="0.2">
      <c r="A1226" s="5">
        <v>1165</v>
      </c>
      <c r="B1226" s="138">
        <f>'Expenditures 15-22'!C151</f>
        <v>282675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44954</v>
      </c>
      <c r="D1229" s="2" t="str">
        <f t="shared" si="18"/>
        <v>Error?</v>
      </c>
    </row>
    <row r="1230" spans="1:4" x14ac:dyDescent="0.2">
      <c r="A1230" s="10">
        <v>1169</v>
      </c>
      <c r="D1230" s="2" t="str">
        <f t="shared" si="18"/>
        <v>OK</v>
      </c>
    </row>
    <row r="1231" spans="1:4" x14ac:dyDescent="0.2">
      <c r="A1231" s="5">
        <v>1170</v>
      </c>
      <c r="B1231" s="138">
        <f>'Expenditures 15-22'!D127</f>
        <v>44954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44954</v>
      </c>
      <c r="C1233" s="2" t="s">
        <v>594</v>
      </c>
      <c r="D1233" s="2" t="str">
        <f t="shared" si="18"/>
        <v>Error?</v>
      </c>
    </row>
    <row r="1234" spans="1:4" x14ac:dyDescent="0.2">
      <c r="A1234" s="5">
        <v>1173</v>
      </c>
      <c r="B1234" s="138">
        <f>'Expenditures 15-22'!D151</f>
        <v>44954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126713</v>
      </c>
      <c r="D1237" s="2" t="str">
        <f t="shared" si="18"/>
        <v>Error?</v>
      </c>
    </row>
    <row r="1238" spans="1:4" x14ac:dyDescent="0.2">
      <c r="A1238" s="10">
        <v>1177</v>
      </c>
      <c r="D1238" s="2" t="str">
        <f t="shared" si="18"/>
        <v>OK</v>
      </c>
    </row>
    <row r="1239" spans="1:4" x14ac:dyDescent="0.2">
      <c r="A1239" s="5">
        <v>1178</v>
      </c>
      <c r="B1239" s="138">
        <f>'Expenditures 15-22'!E127</f>
        <v>126713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126713</v>
      </c>
      <c r="C1241" s="2" t="s">
        <v>594</v>
      </c>
      <c r="D1241" s="2" t="str">
        <f t="shared" si="18"/>
        <v>Error?</v>
      </c>
    </row>
    <row r="1242" spans="1:4" x14ac:dyDescent="0.2">
      <c r="A1242" s="5">
        <v>1181</v>
      </c>
      <c r="B1242" s="138">
        <f>'Expenditures 15-22'!E151</f>
        <v>126713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135966</v>
      </c>
      <c r="D1245" s="2" t="str">
        <f t="shared" si="18"/>
        <v>Error?</v>
      </c>
    </row>
    <row r="1246" spans="1:4" x14ac:dyDescent="0.2">
      <c r="A1246" s="10">
        <v>1185</v>
      </c>
      <c r="D1246" s="2" t="str">
        <f t="shared" si="18"/>
        <v>OK</v>
      </c>
    </row>
    <row r="1247" spans="1:4" x14ac:dyDescent="0.2">
      <c r="A1247" s="5">
        <v>1186</v>
      </c>
      <c r="B1247" s="138">
        <f>'Expenditures 15-22'!F127</f>
        <v>135966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135966</v>
      </c>
      <c r="C1249" s="2" t="s">
        <v>594</v>
      </c>
      <c r="D1249" s="2" t="str">
        <f t="shared" si="18"/>
        <v>Error?</v>
      </c>
    </row>
    <row r="1250" spans="1:4" x14ac:dyDescent="0.2">
      <c r="A1250" s="5">
        <v>1189</v>
      </c>
      <c r="B1250" s="138">
        <f>'Expenditures 15-22'!F151</f>
        <v>135966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590308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590308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590308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590308</v>
      </c>
      <c r="C1288" s="2" t="s">
        <v>594</v>
      </c>
      <c r="D1288" s="2" t="str">
        <f t="shared" si="19"/>
        <v>Error?</v>
      </c>
    </row>
    <row r="1289" spans="1:4" x14ac:dyDescent="0.2">
      <c r="A1289" s="5">
        <v>1228</v>
      </c>
      <c r="B1289" s="138">
        <f>'Expenditures 15-22'!K152</f>
        <v>1335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17691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285000</v>
      </c>
      <c r="D1315" s="2" t="str">
        <f t="shared" si="19"/>
        <v>Error?</v>
      </c>
    </row>
    <row r="1316" spans="1:4" x14ac:dyDescent="0.2">
      <c r="A1316" s="5">
        <v>1255</v>
      </c>
      <c r="B1316" s="138">
        <f>'Expenditures 15-22'!H171</f>
        <v>371</v>
      </c>
      <c r="D1316" s="2" t="str">
        <f t="shared" si="19"/>
        <v>Error?</v>
      </c>
    </row>
    <row r="1317" spans="1:4" x14ac:dyDescent="0.2">
      <c r="A1317" s="5">
        <v>1256</v>
      </c>
      <c r="B1317" s="138">
        <f>'Expenditures 15-22'!H172</f>
        <v>303062</v>
      </c>
      <c r="C1317" s="2" t="s">
        <v>594</v>
      </c>
      <c r="D1317" s="2" t="str">
        <f t="shared" si="19"/>
        <v>Error?</v>
      </c>
    </row>
    <row r="1318" spans="1:4" x14ac:dyDescent="0.2">
      <c r="A1318" s="5">
        <v>1257</v>
      </c>
      <c r="B1318" s="138">
        <f>'Expenditures 15-22'!H174</f>
        <v>303062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17691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285000</v>
      </c>
      <c r="C1329" s="2" t="s">
        <v>594</v>
      </c>
      <c r="D1329" s="2" t="str">
        <f t="shared" si="19"/>
        <v>Error?</v>
      </c>
    </row>
    <row r="1330" spans="1:4" x14ac:dyDescent="0.2">
      <c r="A1330" s="5">
        <v>1269</v>
      </c>
      <c r="B1330" s="138">
        <f>'Expenditures 15-22'!K171</f>
        <v>371</v>
      </c>
      <c r="C1330" s="2" t="s">
        <v>594</v>
      </c>
      <c r="D1330" s="2" t="str">
        <f t="shared" si="19"/>
        <v>Error?</v>
      </c>
    </row>
    <row r="1331" spans="1:4" x14ac:dyDescent="0.2">
      <c r="A1331" s="5">
        <v>1270</v>
      </c>
      <c r="B1331" s="138">
        <f>'Expenditures 15-22'!K172</f>
        <v>303062</v>
      </c>
      <c r="C1331" s="2" t="s">
        <v>594</v>
      </c>
      <c r="D1331" s="2" t="str">
        <f t="shared" si="19"/>
        <v>Error?</v>
      </c>
    </row>
    <row r="1332" spans="1:4" x14ac:dyDescent="0.2">
      <c r="A1332" s="5">
        <v>1271</v>
      </c>
      <c r="B1332" s="138">
        <f>'Expenditures 15-22'!K174</f>
        <v>303062</v>
      </c>
      <c r="C1332" s="2" t="s">
        <v>594</v>
      </c>
      <c r="D1332" s="2" t="str">
        <f t="shared" si="19"/>
        <v>Error?</v>
      </c>
    </row>
    <row r="1333" spans="1:4" x14ac:dyDescent="0.2">
      <c r="A1333" s="5">
        <v>1272</v>
      </c>
      <c r="B1333" s="138">
        <f>'Expenditures 15-22'!K175</f>
        <v>104519</v>
      </c>
      <c r="C1333" s="2" t="s">
        <v>594</v>
      </c>
      <c r="D1333" s="2" t="str">
        <f t="shared" si="19"/>
        <v>Error?</v>
      </c>
    </row>
    <row r="1334" spans="1:4" x14ac:dyDescent="0.2">
      <c r="A1334" s="10">
        <v>1273</v>
      </c>
      <c r="D1334" s="2" t="str">
        <f t="shared" si="19"/>
        <v>OK</v>
      </c>
    </row>
    <row r="1335" spans="1:4" x14ac:dyDescent="0.2">
      <c r="A1335" s="5">
        <v>1274</v>
      </c>
      <c r="B1335" s="138">
        <f>'Expenditures 15-22'!C182</f>
        <v>337852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337852</v>
      </c>
      <c r="C1339" s="2" t="s">
        <v>594</v>
      </c>
      <c r="D1339" s="2" t="str">
        <f t="shared" si="19"/>
        <v>Error?</v>
      </c>
    </row>
    <row r="1340" spans="1:4" x14ac:dyDescent="0.2">
      <c r="A1340" s="5">
        <v>1279</v>
      </c>
      <c r="B1340" s="138">
        <f>'Expenditures 15-22'!C210</f>
        <v>337852</v>
      </c>
      <c r="C1340" s="2" t="s">
        <v>594</v>
      </c>
      <c r="D1340" s="2" t="str">
        <f t="shared" si="19"/>
        <v>Error?</v>
      </c>
    </row>
    <row r="1341" spans="1:4" x14ac:dyDescent="0.2">
      <c r="A1341" s="5">
        <v>1280</v>
      </c>
      <c r="B1341" s="138">
        <f>'Expenditures 15-22'!D182</f>
        <v>25733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25733</v>
      </c>
      <c r="C1345" s="2" t="s">
        <v>594</v>
      </c>
      <c r="D1345" s="2" t="str">
        <f t="shared" si="20"/>
        <v>Error?</v>
      </c>
    </row>
    <row r="1346" spans="1:4" x14ac:dyDescent="0.2">
      <c r="A1346" s="5">
        <v>1285</v>
      </c>
      <c r="B1346" s="138">
        <f>'Expenditures 15-22'!D210</f>
        <v>25733</v>
      </c>
      <c r="C1346" s="2" t="s">
        <v>594</v>
      </c>
      <c r="D1346" s="2" t="str">
        <f t="shared" si="20"/>
        <v>Error?</v>
      </c>
    </row>
    <row r="1347" spans="1:4" x14ac:dyDescent="0.2">
      <c r="A1347" s="5">
        <v>1286</v>
      </c>
      <c r="B1347" s="138">
        <f>'Expenditures 15-22'!E182</f>
        <v>13077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13077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13077</v>
      </c>
      <c r="C1353" s="2" t="s">
        <v>594</v>
      </c>
      <c r="D1353" s="2" t="str">
        <f t="shared" si="20"/>
        <v>Error?</v>
      </c>
    </row>
    <row r="1354" spans="1:4" x14ac:dyDescent="0.2">
      <c r="A1354" s="5">
        <v>1293</v>
      </c>
      <c r="B1354" s="138">
        <f>'Expenditures 15-22'!F182</f>
        <v>136688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136688</v>
      </c>
      <c r="C1358" s="2" t="s">
        <v>594</v>
      </c>
      <c r="D1358" s="2" t="str">
        <f t="shared" si="20"/>
        <v>Error?</v>
      </c>
    </row>
    <row r="1359" spans="1:4" x14ac:dyDescent="0.2">
      <c r="A1359" s="5">
        <v>1298</v>
      </c>
      <c r="B1359" s="138">
        <f>'Expenditures 15-22'!F210</f>
        <v>136688</v>
      </c>
      <c r="C1359" s="2" t="s">
        <v>594</v>
      </c>
      <c r="D1359" s="2" t="str">
        <f t="shared" si="20"/>
        <v>Error?</v>
      </c>
    </row>
    <row r="1360" spans="1:4" x14ac:dyDescent="0.2">
      <c r="A1360" s="5">
        <v>1299</v>
      </c>
      <c r="B1360" s="138">
        <f>'Expenditures 15-22'!G182</f>
        <v>176346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176346</v>
      </c>
      <c r="C1364" s="2" t="s">
        <v>594</v>
      </c>
      <c r="D1364" s="2" t="str">
        <f t="shared" si="20"/>
        <v>Error?</v>
      </c>
    </row>
    <row r="1365" spans="1:4" x14ac:dyDescent="0.2">
      <c r="A1365" s="5">
        <v>1304</v>
      </c>
      <c r="B1365" s="138">
        <f>'Expenditures 15-22'!G210</f>
        <v>176346</v>
      </c>
      <c r="C1365" s="2" t="s">
        <v>594</v>
      </c>
      <c r="D1365" s="2" t="str">
        <f t="shared" si="20"/>
        <v>Error?</v>
      </c>
    </row>
    <row r="1366" spans="1:4" x14ac:dyDescent="0.2">
      <c r="A1366" s="5">
        <v>1305</v>
      </c>
      <c r="B1366" s="138">
        <f>'Expenditures 15-22'!H182</f>
        <v>103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103</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103</v>
      </c>
      <c r="C1376" s="2" t="s">
        <v>594</v>
      </c>
      <c r="D1376" s="2" t="str">
        <f t="shared" si="20"/>
        <v>Error?</v>
      </c>
    </row>
    <row r="1377" spans="1:4" x14ac:dyDescent="0.2">
      <c r="A1377" s="5">
        <v>1316</v>
      </c>
      <c r="B1377" s="138">
        <f>'Expenditures 15-22'!K182</f>
        <v>689799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689799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689799</v>
      </c>
      <c r="C1388" s="2" t="s">
        <v>594</v>
      </c>
      <c r="D1388" s="2" t="str">
        <f t="shared" si="20"/>
        <v>Error?</v>
      </c>
    </row>
    <row r="1389" spans="1:4" x14ac:dyDescent="0.2">
      <c r="A1389" s="5">
        <v>1328</v>
      </c>
      <c r="B1389" s="138">
        <f>'Expenditures 15-22'!K211</f>
        <v>-15178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2758</v>
      </c>
      <c r="D1407" s="2" t="str">
        <f t="shared" ref="D1407:D1470" si="21">IF(ISBLANK(B1407),"OK",IF(A1407-B1407=0,"OK","Error?"))</f>
        <v>Error?</v>
      </c>
    </row>
    <row r="1408" spans="1:4" x14ac:dyDescent="0.2">
      <c r="A1408" s="5">
        <v>1347</v>
      </c>
      <c r="B1408" s="138">
        <f>'Expenditures 15-22'!D223</f>
        <v>9271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125616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666</v>
      </c>
      <c r="D1412" s="2" t="str">
        <f t="shared" si="21"/>
        <v>Error?</v>
      </c>
    </row>
    <row r="1413" spans="1:4" x14ac:dyDescent="0.2">
      <c r="A1413" s="5">
        <v>1352</v>
      </c>
      <c r="B1413" s="138">
        <f>'Expenditures 15-22'!D234</f>
        <v>2691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1457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4814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3446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3446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1855</v>
      </c>
      <c r="D1423" s="2" t="str">
        <f t="shared" si="21"/>
        <v>Error?</v>
      </c>
    </row>
    <row r="1424" spans="1:4" x14ac:dyDescent="0.2">
      <c r="A1424" s="5">
        <v>1363</v>
      </c>
      <c r="B1424" s="138">
        <f>'Expenditures 15-22'!D257</f>
        <v>1855</v>
      </c>
      <c r="C1424" s="2" t="s">
        <v>594</v>
      </c>
      <c r="D1424" s="2" t="str">
        <f t="shared" si="21"/>
        <v>Error?</v>
      </c>
    </row>
    <row r="1425" spans="1:4" x14ac:dyDescent="0.2">
      <c r="A1425" s="5">
        <v>1364</v>
      </c>
      <c r="B1425" s="138">
        <f>'Expenditures 15-22'!D259</f>
        <v>21471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21471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4333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49928</v>
      </c>
      <c r="D1431" s="2" t="str">
        <f t="shared" si="21"/>
        <v>Error?</v>
      </c>
    </row>
    <row r="1432" spans="1:4" x14ac:dyDescent="0.2">
      <c r="A1432" s="5">
        <v>1371</v>
      </c>
      <c r="B1432" s="138">
        <f>'Expenditures 15-22'!D267</f>
        <v>45387</v>
      </c>
      <c r="D1432" s="2" t="str">
        <f t="shared" si="21"/>
        <v>Error?</v>
      </c>
    </row>
    <row r="1433" spans="1:4" x14ac:dyDescent="0.2">
      <c r="A1433" s="5">
        <v>1372</v>
      </c>
      <c r="B1433" s="138">
        <f>'Expenditures 15-22'!D268</f>
        <v>27022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126670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158256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283872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2758</v>
      </c>
      <c r="C1471" s="2" t="s">
        <v>594</v>
      </c>
      <c r="D1471" s="2" t="str">
        <f t="shared" ref="D1471:D1534" si="22">IF(ISBLANK(B1471),"OK",IF(A1471-B1471=0,"OK","Error?"))</f>
        <v>Error?</v>
      </c>
    </row>
    <row r="1472" spans="1:4" x14ac:dyDescent="0.2">
      <c r="A1472" s="5">
        <v>1411</v>
      </c>
      <c r="B1472" s="138">
        <f>'Expenditures 15-22'!K223</f>
        <v>9271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125616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666</v>
      </c>
      <c r="C1476" s="2" t="s">
        <v>594</v>
      </c>
      <c r="D1476" s="2" t="str">
        <f t="shared" si="22"/>
        <v>Error?</v>
      </c>
    </row>
    <row r="1477" spans="1:4" x14ac:dyDescent="0.2">
      <c r="A1477" s="5">
        <v>1416</v>
      </c>
      <c r="B1477" s="138">
        <f>'Expenditures 15-22'!K234</f>
        <v>2691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1457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4814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3446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3446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1855</v>
      </c>
      <c r="C1487" s="2" t="s">
        <v>594</v>
      </c>
      <c r="D1487" s="2" t="str">
        <f t="shared" si="22"/>
        <v>Error?</v>
      </c>
    </row>
    <row r="1488" spans="1:4" x14ac:dyDescent="0.2">
      <c r="A1488" s="5">
        <v>1427</v>
      </c>
      <c r="B1488" s="138">
        <f>'Expenditures 15-22'!K257</f>
        <v>1855</v>
      </c>
      <c r="C1488" s="2" t="s">
        <v>594</v>
      </c>
      <c r="D1488" s="2" t="str">
        <f t="shared" si="22"/>
        <v>Error?</v>
      </c>
    </row>
    <row r="1489" spans="1:4" x14ac:dyDescent="0.2">
      <c r="A1489" s="5">
        <v>1428</v>
      </c>
      <c r="B1489" s="138">
        <f>'Expenditures 15-22'!K259</f>
        <v>21471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21471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4333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49928</v>
      </c>
      <c r="C1495" s="2" t="s">
        <v>594</v>
      </c>
      <c r="D1495" s="2" t="str">
        <f t="shared" si="22"/>
        <v>Error?</v>
      </c>
    </row>
    <row r="1496" spans="1:4" x14ac:dyDescent="0.2">
      <c r="A1496" s="5">
        <v>1435</v>
      </c>
      <c r="B1496" s="138">
        <f>'Expenditures 15-22'!K267</f>
        <v>45387</v>
      </c>
      <c r="C1496" s="2" t="s">
        <v>594</v>
      </c>
      <c r="D1496" s="2" t="str">
        <f t="shared" si="22"/>
        <v>Error?</v>
      </c>
    </row>
    <row r="1497" spans="1:4" x14ac:dyDescent="0.2">
      <c r="A1497" s="5">
        <v>1436</v>
      </c>
      <c r="B1497" s="138">
        <f>'Expenditures 15-22'!K268</f>
        <v>27022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126670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158256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283872</v>
      </c>
      <c r="C1517" s="2" t="s">
        <v>594</v>
      </c>
      <c r="D1517" s="2" t="str">
        <f t="shared" si="22"/>
        <v>Error?</v>
      </c>
    </row>
    <row r="1518" spans="1:4" x14ac:dyDescent="0.2">
      <c r="A1518" s="5">
        <v>1457</v>
      </c>
      <c r="B1518" s="138">
        <f>'Expenditures 15-22'!K296</f>
        <v>25796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4134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4134</v>
      </c>
      <c r="C1535" s="2" t="s">
        <v>594</v>
      </c>
      <c r="D1535" s="2" t="str">
        <f t="shared" ref="D1535:D1598" si="23">IF(ISBLANK(B1535),"OK",IF(A1535-B1535=0,"OK","Error?"))</f>
        <v>Error?</v>
      </c>
    </row>
    <row r="1536" spans="1:4" x14ac:dyDescent="0.2">
      <c r="A1536" s="5">
        <v>1475</v>
      </c>
      <c r="B1536" s="138">
        <f>'Expenditures 15-22'!E312</f>
        <v>4134</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254615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254615</v>
      </c>
      <c r="C1547" s="2" t="s">
        <v>594</v>
      </c>
      <c r="D1547" s="2" t="str">
        <f t="shared" si="23"/>
        <v>Error?</v>
      </c>
    </row>
    <row r="1548" spans="1:4" x14ac:dyDescent="0.2">
      <c r="A1548" s="5">
        <v>1487</v>
      </c>
      <c r="B1548" s="138">
        <f>'Expenditures 15-22'!G312</f>
        <v>254615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79891</v>
      </c>
      <c r="C1554" s="2" t="s">
        <v>594</v>
      </c>
      <c r="D1554" s="2" t="str">
        <f t="shared" si="23"/>
        <v>Error?</v>
      </c>
    </row>
    <row r="1555" spans="1:4" x14ac:dyDescent="0.2">
      <c r="A1555" s="5">
        <v>1494</v>
      </c>
      <c r="B1555" s="138">
        <f>'Expenditures 15-22'!K301</f>
        <v>258749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258749</v>
      </c>
      <c r="C1559" s="2" t="s">
        <v>594</v>
      </c>
      <c r="D1559" s="2" t="str">
        <f t="shared" si="23"/>
        <v>Error?</v>
      </c>
    </row>
    <row r="1560" spans="1:4" x14ac:dyDescent="0.2">
      <c r="A1560" s="5">
        <v>1499</v>
      </c>
      <c r="B1560" s="138">
        <f>'Expenditures 15-22'!K312</f>
        <v>338640</v>
      </c>
      <c r="C1560" s="2" t="s">
        <v>594</v>
      </c>
      <c r="D1560" s="2" t="str">
        <f t="shared" si="23"/>
        <v>Error?</v>
      </c>
    </row>
    <row r="1561" spans="1:4" x14ac:dyDescent="0.2">
      <c r="A1561" s="5">
        <v>1500</v>
      </c>
      <c r="B1561" s="138">
        <f>'Expenditures 15-22'!K313</f>
        <v>-37763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1208492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1594403</v>
      </c>
      <c r="C1630" s="2" t="s">
        <v>594</v>
      </c>
      <c r="D1630" s="2" t="str">
        <f t="shared" si="24"/>
        <v>Error?</v>
      </c>
    </row>
    <row r="1631" spans="1:4" x14ac:dyDescent="0.2">
      <c r="A1631" s="5">
        <v>1570</v>
      </c>
      <c r="B1631" s="138">
        <f>'Acct Summary 7-8'!D79</f>
        <v>121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1456</v>
      </c>
      <c r="C1644" s="2" t="s">
        <v>594</v>
      </c>
      <c r="D1644" s="2" t="str">
        <f t="shared" si="24"/>
        <v>Error?</v>
      </c>
    </row>
    <row r="1645" spans="1:4" x14ac:dyDescent="0.2">
      <c r="A1645" s="5">
        <v>1584</v>
      </c>
      <c r="B1645" s="138">
        <f>'Acct Summary 7-8'!E79</f>
        <v>224157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328676</v>
      </c>
      <c r="C1658" s="2" t="s">
        <v>594</v>
      </c>
      <c r="D1658" s="2" t="str">
        <f t="shared" si="24"/>
        <v>Error?</v>
      </c>
    </row>
    <row r="1659" spans="1:4" x14ac:dyDescent="0.2">
      <c r="A1659" s="5">
        <v>1598</v>
      </c>
      <c r="B1659" s="138">
        <f>'Acct Summary 7-8'!F79</f>
        <v>17014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1836</v>
      </c>
      <c r="C1672" s="2" t="s">
        <v>594</v>
      </c>
      <c r="D1672" s="2" t="str">
        <f t="shared" si="25"/>
        <v>Error?</v>
      </c>
    </row>
    <row r="1673" spans="1:4" x14ac:dyDescent="0.2">
      <c r="A1673" s="5">
        <v>1612</v>
      </c>
      <c r="B1673" s="138">
        <f>'Acct Summary 7-8'!G79</f>
        <v>211908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237704</v>
      </c>
      <c r="C1686" s="2" t="s">
        <v>594</v>
      </c>
      <c r="D1686" s="2" t="str">
        <f t="shared" si="25"/>
        <v>Error?</v>
      </c>
    </row>
    <row r="1687" spans="1:4" x14ac:dyDescent="0.2">
      <c r="A1687" s="5">
        <v>1626</v>
      </c>
      <c r="B1687" s="138">
        <f>'Acct Summary 7-8'!H79</f>
        <v>188215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150452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1367763</v>
      </c>
      <c r="C1744" s="2" t="s">
        <v>594</v>
      </c>
      <c r="D1744" s="2" t="str">
        <f t="shared" si="26"/>
        <v>Error?</v>
      </c>
    </row>
    <row r="1745" spans="1:5" x14ac:dyDescent="0.2">
      <c r="A1745" s="5">
        <v>1684</v>
      </c>
      <c r="B1745" s="138">
        <f>'Tax Sched 23'!B5</f>
        <v>371674</v>
      </c>
      <c r="C1745" s="2" t="s">
        <v>594</v>
      </c>
      <c r="D1745" s="2" t="str">
        <f t="shared" si="26"/>
        <v>Error?</v>
      </c>
    </row>
    <row r="1746" spans="1:5" x14ac:dyDescent="0.2">
      <c r="A1746" s="5">
        <v>1685</v>
      </c>
      <c r="B1746" s="138">
        <f>'Tax Sched 23'!B6</f>
        <v>401948</v>
      </c>
      <c r="C1746" s="2" t="s">
        <v>594</v>
      </c>
      <c r="D1746" s="2" t="str">
        <f t="shared" si="26"/>
        <v>Error?</v>
      </c>
    </row>
    <row r="1747" spans="1:5" x14ac:dyDescent="0.2">
      <c r="A1747" s="5">
        <v>1686</v>
      </c>
      <c r="B1747" s="138">
        <f>'Tax Sched 23'!B7</f>
        <v>148670</v>
      </c>
      <c r="C1747" s="2" t="s">
        <v>594</v>
      </c>
      <c r="D1747" s="2" t="str">
        <f t="shared" si="26"/>
        <v>Error?</v>
      </c>
    </row>
    <row r="1748" spans="1:5" x14ac:dyDescent="0.2">
      <c r="A1748" s="5">
        <v>1687</v>
      </c>
      <c r="B1748" s="138">
        <f>'Tax Sched 23'!B8</f>
        <v>150333</v>
      </c>
      <c r="C1748" s="2" t="s">
        <v>594</v>
      </c>
      <c r="D1748" s="2" t="str">
        <f t="shared" si="26"/>
        <v>Error?</v>
      </c>
    </row>
    <row r="1749" spans="1:5" x14ac:dyDescent="0.2">
      <c r="A1749" s="5">
        <v>1688</v>
      </c>
      <c r="B1749" s="138">
        <f>'Tax Sched 23'!B10</f>
        <v>37167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210464</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29734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2905254</v>
      </c>
      <c r="C1759" s="2" t="s">
        <v>594</v>
      </c>
      <c r="D1759" s="2" t="str">
        <f t="shared" si="26"/>
        <v>Error?</v>
      </c>
    </row>
    <row r="1760" spans="1:5" x14ac:dyDescent="0.2">
      <c r="A1760" s="5">
        <v>1699</v>
      </c>
      <c r="B1760" s="138">
        <f>'Tax Sched 23'!D4</f>
        <v>1367763</v>
      </c>
      <c r="C1760" s="2" t="s">
        <v>594</v>
      </c>
      <c r="D1760" s="2" t="str">
        <f t="shared" si="26"/>
        <v>Error?</v>
      </c>
    </row>
    <row r="1761" spans="1:5" x14ac:dyDescent="0.2">
      <c r="A1761" s="5">
        <v>1700</v>
      </c>
      <c r="B1761" s="138">
        <f>'Tax Sched 23'!D5</f>
        <v>371674</v>
      </c>
      <c r="C1761" s="2" t="s">
        <v>594</v>
      </c>
      <c r="D1761" s="2" t="str">
        <f t="shared" si="26"/>
        <v>Error?</v>
      </c>
    </row>
    <row r="1762" spans="1:5" s="8" customFormat="1" x14ac:dyDescent="0.2">
      <c r="A1762" s="5">
        <v>1701</v>
      </c>
      <c r="B1762" s="138">
        <f>'Tax Sched 23'!D6</f>
        <v>401948</v>
      </c>
      <c r="C1762" s="2" t="s">
        <v>594</v>
      </c>
      <c r="D1762" s="2" t="str">
        <f t="shared" si="26"/>
        <v>Error?</v>
      </c>
      <c r="E1762" s="9"/>
    </row>
    <row r="1763" spans="1:5" x14ac:dyDescent="0.2">
      <c r="A1763" s="5">
        <v>1702</v>
      </c>
      <c r="B1763" s="138">
        <f>'Tax Sched 23'!D7</f>
        <v>148670</v>
      </c>
      <c r="C1763" s="2" t="s">
        <v>594</v>
      </c>
      <c r="D1763" s="2" t="str">
        <f t="shared" si="26"/>
        <v>Error?</v>
      </c>
    </row>
    <row r="1764" spans="1:5" x14ac:dyDescent="0.2">
      <c r="A1764" s="5">
        <v>1703</v>
      </c>
      <c r="B1764" s="138">
        <f>'Tax Sched 23'!D8</f>
        <v>150333</v>
      </c>
      <c r="C1764" s="2" t="s">
        <v>594</v>
      </c>
      <c r="D1764" s="2" t="str">
        <f t="shared" si="26"/>
        <v>Error?</v>
      </c>
    </row>
    <row r="1765" spans="1:5" x14ac:dyDescent="0.2">
      <c r="A1765" s="5">
        <v>1704</v>
      </c>
      <c r="B1765" s="138">
        <f>'Tax Sched 23'!D10</f>
        <v>37167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210464</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29734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2905254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1421275</v>
      </c>
      <c r="C1792" s="2" t="s">
        <v>594</v>
      </c>
      <c r="D1792" s="2" t="str">
        <f t="shared" si="27"/>
        <v>Error?</v>
      </c>
    </row>
    <row r="1793" spans="1:4" x14ac:dyDescent="0.2">
      <c r="A1793" s="5">
        <v>1732</v>
      </c>
      <c r="B1793" s="138">
        <f>'Tax Sched 23'!F5</f>
        <v>386216</v>
      </c>
      <c r="C1793" s="2" t="s">
        <v>594</v>
      </c>
      <c r="D1793" s="2" t="str">
        <f t="shared" si="27"/>
        <v>Error?</v>
      </c>
    </row>
    <row r="1794" spans="1:4" x14ac:dyDescent="0.2">
      <c r="A1794" s="5">
        <v>1733</v>
      </c>
      <c r="B1794" s="138">
        <f>'Tax Sched 23'!F6</f>
        <v>302083</v>
      </c>
      <c r="C1794" s="2" t="s">
        <v>594</v>
      </c>
      <c r="D1794" s="2" t="str">
        <f t="shared" si="27"/>
        <v>Error?</v>
      </c>
    </row>
    <row r="1795" spans="1:4" x14ac:dyDescent="0.2">
      <c r="A1795" s="5">
        <v>1734</v>
      </c>
      <c r="B1795" s="138">
        <f>'Tax Sched 23'!F7</f>
        <v>154486</v>
      </c>
      <c r="C1795" s="2" t="s">
        <v>594</v>
      </c>
      <c r="D1795" s="2" t="str">
        <f t="shared" si="27"/>
        <v>Error?</v>
      </c>
    </row>
    <row r="1796" spans="1:4" x14ac:dyDescent="0.2">
      <c r="A1796" s="5">
        <v>1735</v>
      </c>
      <c r="B1796" s="138">
        <f>'Tax Sched 23'!F8</f>
        <v>150647</v>
      </c>
      <c r="C1796" s="2" t="s">
        <v>594</v>
      </c>
      <c r="D1796" s="2" t="str">
        <f t="shared" si="27"/>
        <v>Error?</v>
      </c>
    </row>
    <row r="1797" spans="1:4" x14ac:dyDescent="0.2">
      <c r="A1797" s="5">
        <v>1736</v>
      </c>
      <c r="B1797" s="138">
        <f>'Tax Sched 23'!F10</f>
        <v>38622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210905</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30897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2884400</v>
      </c>
      <c r="C1807" s="2" t="s">
        <v>594</v>
      </c>
      <c r="D1807" s="2" t="str">
        <f t="shared" si="27"/>
        <v>Error?</v>
      </c>
    </row>
    <row r="1808" spans="1:4" x14ac:dyDescent="0.2">
      <c r="A1808" s="5">
        <v>1747</v>
      </c>
      <c r="B1808" s="138">
        <f>'Tax Sched 23'!E4</f>
        <v>1421275</v>
      </c>
      <c r="D1808" s="2" t="str">
        <f t="shared" si="27"/>
        <v>Error?</v>
      </c>
    </row>
    <row r="1809" spans="1:4" x14ac:dyDescent="0.2">
      <c r="A1809" s="5">
        <v>1748</v>
      </c>
      <c r="B1809" s="138">
        <f>'Tax Sched 23'!E5</f>
        <v>386216</v>
      </c>
      <c r="D1809" s="2" t="str">
        <f t="shared" si="27"/>
        <v>Error?</v>
      </c>
    </row>
    <row r="1810" spans="1:4" x14ac:dyDescent="0.2">
      <c r="A1810" s="5">
        <v>1749</v>
      </c>
      <c r="B1810" s="138">
        <f>'Tax Sched 23'!E6</f>
        <v>302083</v>
      </c>
      <c r="D1810" s="2" t="str">
        <f t="shared" si="27"/>
        <v>Error?</v>
      </c>
    </row>
    <row r="1811" spans="1:4" x14ac:dyDescent="0.2">
      <c r="A1811" s="5">
        <v>1750</v>
      </c>
      <c r="B1811" s="138">
        <f>'Tax Sched 23'!E7</f>
        <v>154486</v>
      </c>
      <c r="D1811" s="2" t="str">
        <f t="shared" si="27"/>
        <v>Error?</v>
      </c>
    </row>
    <row r="1812" spans="1:4" x14ac:dyDescent="0.2">
      <c r="A1812" s="5">
        <v>1751</v>
      </c>
      <c r="B1812" s="138">
        <f>'Tax Sched 23'!E8</f>
        <v>150647</v>
      </c>
      <c r="D1812" s="2" t="str">
        <f t="shared" si="27"/>
        <v>Error?</v>
      </c>
    </row>
    <row r="1813" spans="1:4" x14ac:dyDescent="0.2">
      <c r="A1813" s="5">
        <v>1752</v>
      </c>
      <c r="B1813" s="138">
        <f>'Tax Sched 23'!E10</f>
        <v>38622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210905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30897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2884400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1673907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29734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29734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29734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122582</v>
      </c>
      <c r="D2008" s="2" t="str">
        <f t="shared" si="30"/>
        <v>Error?</v>
      </c>
    </row>
    <row r="2009" spans="1:4" x14ac:dyDescent="0.2">
      <c r="A2009" s="5">
        <v>1948</v>
      </c>
      <c r="B2009" s="138">
        <f>'Cap Outlay Deprec 26'!C8</f>
        <v>9495991</v>
      </c>
      <c r="D2009" s="2" t="str">
        <f t="shared" si="30"/>
        <v>Error?</v>
      </c>
    </row>
    <row r="2010" spans="1:4" x14ac:dyDescent="0.2">
      <c r="A2010" s="5">
        <v>1949</v>
      </c>
      <c r="B2010" s="138">
        <f>'Cap Outlay Deprec 26'!C10</f>
        <v>656521</v>
      </c>
      <c r="D2010" s="2" t="str">
        <f t="shared" si="30"/>
        <v>Error?</v>
      </c>
    </row>
    <row r="2011" spans="1:4" x14ac:dyDescent="0.2">
      <c r="A2011" s="5">
        <v>1950</v>
      </c>
      <c r="B2011" s="138">
        <f>'Cap Outlay Deprec 26'!C12</f>
        <v>894049</v>
      </c>
      <c r="D2011" s="2" t="str">
        <f t="shared" si="30"/>
        <v>Error?</v>
      </c>
    </row>
    <row r="2012" spans="1:4" x14ac:dyDescent="0.2">
      <c r="A2012" s="5">
        <v>1951</v>
      </c>
      <c r="B2012" s="138">
        <f>'Cap Outlay Deprec 26'!C13</f>
        <v>1581861</v>
      </c>
      <c r="D2012" s="2" t="str">
        <f t="shared" si="30"/>
        <v>Error?</v>
      </c>
    </row>
    <row r="2013" spans="1:4" x14ac:dyDescent="0.2">
      <c r="A2013" s="5">
        <v>1952</v>
      </c>
      <c r="B2013" s="138">
        <f>'Cap Outlay Deprec 26'!C16</f>
        <v>12751004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256910</v>
      </c>
      <c r="D2016" s="2" t="str">
        <f t="shared" si="30"/>
        <v>Error?</v>
      </c>
    </row>
    <row r="2017" spans="1:4" x14ac:dyDescent="0.2">
      <c r="A2017" s="5">
        <v>1956</v>
      </c>
      <c r="B2017" s="138">
        <f>'Cap Outlay Deprec 26'!D12</f>
        <v>18834</v>
      </c>
      <c r="D2017" s="2" t="str">
        <f t="shared" si="30"/>
        <v>Error?</v>
      </c>
    </row>
    <row r="2018" spans="1:4" x14ac:dyDescent="0.2">
      <c r="A2018" s="5">
        <v>1957</v>
      </c>
      <c r="B2018" s="138">
        <f>'Cap Outlay Deprec 26'!D13</f>
        <v>176346</v>
      </c>
      <c r="D2018" s="2" t="str">
        <f t="shared" si="30"/>
        <v>Error?</v>
      </c>
    </row>
    <row r="2019" spans="1:4" x14ac:dyDescent="0.2">
      <c r="A2019" s="5">
        <v>1958</v>
      </c>
      <c r="B2019" s="138">
        <f>'Cap Outlay Deprec 26'!D16</f>
        <v>452090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213318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213318</v>
      </c>
      <c r="C2025" s="2" t="s">
        <v>594</v>
      </c>
      <c r="D2025" s="2" t="str">
        <f t="shared" si="30"/>
        <v>Error?</v>
      </c>
    </row>
    <row r="2026" spans="1:4" x14ac:dyDescent="0.2">
      <c r="A2026" s="5">
        <v>1965</v>
      </c>
      <c r="B2026" s="138">
        <f>'Cap Outlay Deprec 26'!F5</f>
        <v>122582</v>
      </c>
      <c r="C2026" s="2" t="s">
        <v>594</v>
      </c>
      <c r="D2026" s="2" t="str">
        <f t="shared" si="30"/>
        <v>Error?</v>
      </c>
    </row>
    <row r="2027" spans="1:4" x14ac:dyDescent="0.2">
      <c r="A2027" s="5">
        <v>1966</v>
      </c>
      <c r="B2027" s="138">
        <f>'Cap Outlay Deprec 26'!F8</f>
        <v>9495991</v>
      </c>
      <c r="C2027" s="2" t="s">
        <v>594</v>
      </c>
      <c r="D2027" s="2" t="str">
        <f t="shared" si="30"/>
        <v>Error?</v>
      </c>
    </row>
    <row r="2028" spans="1:4" x14ac:dyDescent="0.2">
      <c r="A2028" s="5">
        <v>1967</v>
      </c>
      <c r="B2028" s="138">
        <f>'Cap Outlay Deprec 26'!F10</f>
        <v>913431</v>
      </c>
      <c r="C2028" s="2" t="s">
        <v>594</v>
      </c>
      <c r="D2028" s="2" t="str">
        <f t="shared" si="30"/>
        <v>Error?</v>
      </c>
    </row>
    <row r="2029" spans="1:4" x14ac:dyDescent="0.2">
      <c r="A2029" s="5">
        <v>1968</v>
      </c>
      <c r="B2029" s="138">
        <f>'Cap Outlay Deprec 26'!F12</f>
        <v>699565</v>
      </c>
      <c r="C2029" s="2" t="s">
        <v>594</v>
      </c>
      <c r="D2029" s="2" t="str">
        <f t="shared" si="30"/>
        <v>Error?</v>
      </c>
    </row>
    <row r="2030" spans="1:4" x14ac:dyDescent="0.2">
      <c r="A2030" s="5">
        <v>1969</v>
      </c>
      <c r="B2030" s="138">
        <f>'Cap Outlay Deprec 26'!F13</f>
        <v>1758207</v>
      </c>
      <c r="C2030" s="2" t="s">
        <v>594</v>
      </c>
      <c r="D2030" s="2" t="str">
        <f t="shared" si="30"/>
        <v>Error?</v>
      </c>
    </row>
    <row r="2031" spans="1:4" x14ac:dyDescent="0.2">
      <c r="A2031" s="5">
        <v>1970</v>
      </c>
      <c r="B2031" s="138">
        <f>'Cap Outlay Deprec 26'!F16</f>
        <v>12989776</v>
      </c>
      <c r="C2031" s="2" t="s">
        <v>594</v>
      </c>
      <c r="D2031" s="2" t="str">
        <f t="shared" si="30"/>
        <v>Error?</v>
      </c>
    </row>
    <row r="2032" spans="1:4" x14ac:dyDescent="0.2">
      <c r="A2032" s="10">
        <v>1971</v>
      </c>
      <c r="D2032" s="2" t="str">
        <f t="shared" si="30"/>
        <v>OK</v>
      </c>
    </row>
    <row r="2033" spans="1:4" x14ac:dyDescent="0.2">
      <c r="A2033" s="5">
        <v>1972</v>
      </c>
      <c r="B2033" s="138">
        <f>'Cap Outlay Deprec 26'!H8</f>
        <v>4961255</v>
      </c>
      <c r="D2033" s="2" t="str">
        <f t="shared" si="30"/>
        <v>Error?</v>
      </c>
    </row>
    <row r="2034" spans="1:4" x14ac:dyDescent="0.2">
      <c r="A2034" s="5">
        <v>1973</v>
      </c>
      <c r="B2034" s="138">
        <f>'Cap Outlay Deprec 26'!H10</f>
        <v>100076</v>
      </c>
      <c r="D2034" s="2" t="str">
        <f t="shared" si="30"/>
        <v>Error?</v>
      </c>
    </row>
    <row r="2035" spans="1:4" x14ac:dyDescent="0.2">
      <c r="A2035" s="5">
        <v>1974</v>
      </c>
      <c r="B2035" s="138">
        <f>'Cap Outlay Deprec 26'!H12</f>
        <v>606603</v>
      </c>
      <c r="D2035" s="2" t="str">
        <f t="shared" si="30"/>
        <v>Error?</v>
      </c>
    </row>
    <row r="2036" spans="1:4" x14ac:dyDescent="0.2">
      <c r="A2036" s="5">
        <v>1975</v>
      </c>
      <c r="B2036" s="138">
        <f>'Cap Outlay Deprec 26'!H13</f>
        <v>1456889</v>
      </c>
      <c r="D2036" s="2" t="str">
        <f t="shared" si="30"/>
        <v>Error?</v>
      </c>
    </row>
    <row r="2037" spans="1:4" x14ac:dyDescent="0.2">
      <c r="A2037" s="5">
        <v>1976</v>
      </c>
      <c r="B2037" s="138">
        <f>'Cap Outlay Deprec 26'!H16</f>
        <v>7124823</v>
      </c>
      <c r="C2037" s="2" t="s">
        <v>594</v>
      </c>
      <c r="D2037" s="2" t="str">
        <f t="shared" si="30"/>
        <v>Error?</v>
      </c>
    </row>
    <row r="2038" spans="1:4" x14ac:dyDescent="0.2">
      <c r="A2038" s="10">
        <v>1977</v>
      </c>
      <c r="D2038" s="2" t="str">
        <f t="shared" si="30"/>
        <v>OK</v>
      </c>
    </row>
    <row r="2039" spans="1:4" x14ac:dyDescent="0.2">
      <c r="A2039" s="5">
        <v>1978</v>
      </c>
      <c r="B2039" s="138">
        <f>'Cap Outlay Deprec 26'!I8</f>
        <v>189887</v>
      </c>
      <c r="D2039" s="2" t="str">
        <f t="shared" si="30"/>
        <v>Error?</v>
      </c>
    </row>
    <row r="2040" spans="1:4" x14ac:dyDescent="0.2">
      <c r="A2040" s="5">
        <v>1979</v>
      </c>
      <c r="B2040" s="138">
        <f>'Cap Outlay Deprec 26'!I10</f>
        <v>15333</v>
      </c>
      <c r="D2040" s="2" t="str">
        <f t="shared" si="30"/>
        <v>Error?</v>
      </c>
    </row>
    <row r="2041" spans="1:4" x14ac:dyDescent="0.2">
      <c r="A2041" s="5">
        <v>1980</v>
      </c>
      <c r="B2041" s="138">
        <f>'Cap Outlay Deprec 26'!I12</f>
        <v>90907</v>
      </c>
      <c r="D2041" s="2" t="str">
        <f t="shared" si="30"/>
        <v>Error?</v>
      </c>
    </row>
    <row r="2042" spans="1:4" x14ac:dyDescent="0.2">
      <c r="A2042" s="5">
        <v>1981</v>
      </c>
      <c r="B2042" s="138">
        <f>'Cap Outlay Deprec 26'!I13</f>
        <v>81050</v>
      </c>
      <c r="D2042" s="2" t="str">
        <f t="shared" si="30"/>
        <v>Error?</v>
      </c>
    </row>
    <row r="2043" spans="1:4" x14ac:dyDescent="0.2">
      <c r="A2043" s="5">
        <v>1982</v>
      </c>
      <c r="B2043" s="138">
        <f>'Cap Outlay Deprec 26'!I16</f>
        <v>377177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213320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213320</v>
      </c>
      <c r="C2049" s="2" t="s">
        <v>594</v>
      </c>
      <c r="D2049" s="2" t="str">
        <f t="shared" si="31"/>
        <v>Error?</v>
      </c>
    </row>
    <row r="2050" spans="1:4" x14ac:dyDescent="0.2">
      <c r="A2050" s="10">
        <v>1989</v>
      </c>
      <c r="D2050" s="2" t="str">
        <f t="shared" si="31"/>
        <v>OK</v>
      </c>
    </row>
    <row r="2051" spans="1:4" x14ac:dyDescent="0.2">
      <c r="A2051" s="5">
        <v>1990</v>
      </c>
      <c r="B2051" s="138">
        <f>'Cap Outlay Deprec 26'!K8</f>
        <v>5151142</v>
      </c>
      <c r="C2051" s="2" t="s">
        <v>594</v>
      </c>
      <c r="D2051" s="2" t="str">
        <f t="shared" si="31"/>
        <v>Error?</v>
      </c>
    </row>
    <row r="2052" spans="1:4" x14ac:dyDescent="0.2">
      <c r="A2052" s="5">
        <v>1991</v>
      </c>
      <c r="B2052" s="138">
        <f>'Cap Outlay Deprec 26'!K10</f>
        <v>115409</v>
      </c>
      <c r="C2052" s="2" t="s">
        <v>594</v>
      </c>
      <c r="D2052" s="2" t="str">
        <f t="shared" si="31"/>
        <v>Error?</v>
      </c>
    </row>
    <row r="2053" spans="1:4" x14ac:dyDescent="0.2">
      <c r="A2053" s="5">
        <v>1992</v>
      </c>
      <c r="B2053" s="138">
        <f>'Cap Outlay Deprec 26'!K12</f>
        <v>484190</v>
      </c>
      <c r="C2053" s="2" t="s">
        <v>594</v>
      </c>
      <c r="D2053" s="2" t="str">
        <f t="shared" si="31"/>
        <v>Error?</v>
      </c>
    </row>
    <row r="2054" spans="1:4" x14ac:dyDescent="0.2">
      <c r="A2054" s="5">
        <v>1993</v>
      </c>
      <c r="B2054" s="138">
        <f>'Cap Outlay Deprec 26'!K13</f>
        <v>1537939</v>
      </c>
      <c r="C2054" s="2" t="s">
        <v>594</v>
      </c>
      <c r="D2054" s="2" t="str">
        <f t="shared" si="31"/>
        <v>Error?</v>
      </c>
    </row>
    <row r="2055" spans="1:4" x14ac:dyDescent="0.2">
      <c r="A2055" s="5">
        <v>1994</v>
      </c>
      <c r="B2055" s="138">
        <f>'Cap Outlay Deprec 26'!K16</f>
        <v>7288680</v>
      </c>
      <c r="C2055" s="2" t="s">
        <v>594</v>
      </c>
      <c r="D2055" s="2" t="str">
        <f t="shared" si="31"/>
        <v>Error?</v>
      </c>
    </row>
    <row r="2056" spans="1:4" x14ac:dyDescent="0.2">
      <c r="A2056" s="5">
        <v>1995</v>
      </c>
      <c r="B2056" s="138">
        <f>'Cap Outlay Deprec 26'!L5</f>
        <v>122582</v>
      </c>
      <c r="C2056" s="2" t="s">
        <v>594</v>
      </c>
      <c r="D2056" s="2" t="str">
        <f t="shared" si="31"/>
        <v>Error?</v>
      </c>
    </row>
    <row r="2057" spans="1:4" x14ac:dyDescent="0.2">
      <c r="A2057" s="5">
        <v>1996</v>
      </c>
      <c r="B2057" s="138">
        <f>'Cap Outlay Deprec 26'!L8</f>
        <v>4344849</v>
      </c>
      <c r="C2057" s="2" t="s">
        <v>594</v>
      </c>
      <c r="D2057" s="2" t="str">
        <f t="shared" si="31"/>
        <v>Error?</v>
      </c>
    </row>
    <row r="2058" spans="1:4" x14ac:dyDescent="0.2">
      <c r="A2058" s="5">
        <v>1997</v>
      </c>
      <c r="B2058" s="138">
        <f>'Cap Outlay Deprec 26'!L10</f>
        <v>798022</v>
      </c>
      <c r="C2058" s="2" t="s">
        <v>594</v>
      </c>
      <c r="D2058" s="2" t="str">
        <f t="shared" si="31"/>
        <v>Error?</v>
      </c>
    </row>
    <row r="2059" spans="1:4" x14ac:dyDescent="0.2">
      <c r="A2059" s="5">
        <v>1998</v>
      </c>
      <c r="B2059" s="138">
        <f>'Cap Outlay Deprec 26'!L12</f>
        <v>215375</v>
      </c>
      <c r="C2059" s="2" t="s">
        <v>594</v>
      </c>
      <c r="D2059" s="2" t="str">
        <f t="shared" si="31"/>
        <v>Error?</v>
      </c>
    </row>
    <row r="2060" spans="1:4" x14ac:dyDescent="0.2">
      <c r="A2060" s="5">
        <v>1999</v>
      </c>
      <c r="B2060" s="138">
        <f>'Cap Outlay Deprec 26'!L13</f>
        <v>220268</v>
      </c>
      <c r="C2060" s="2" t="s">
        <v>594</v>
      </c>
      <c r="D2060" s="2" t="str">
        <f t="shared" si="31"/>
        <v>Error?</v>
      </c>
    </row>
    <row r="2061" spans="1:4" x14ac:dyDescent="0.2">
      <c r="A2061" s="5">
        <v>2000</v>
      </c>
      <c r="B2061" s="138">
        <f>'Cap Outlay Deprec 26'!L16</f>
        <v>5701096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199043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79891</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15899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156534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292600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1783959</v>
      </c>
      <c r="C2551" s="2" t="s">
        <v>594</v>
      </c>
      <c r="D2551" s="2" t="str">
        <f t="shared" si="38"/>
        <v>Error?</v>
      </c>
    </row>
    <row r="2552" spans="1:4" x14ac:dyDescent="0.2">
      <c r="A2552" s="10">
        <v>2491</v>
      </c>
      <c r="D2552" s="2" t="str">
        <f t="shared" si="38"/>
        <v>OK</v>
      </c>
    </row>
    <row r="2553" spans="1:4" x14ac:dyDescent="0.2">
      <c r="A2553" s="5">
        <v>2492</v>
      </c>
      <c r="B2553" s="138">
        <f>'Acct Summary 7-8'!C6</f>
        <v>4302186</v>
      </c>
      <c r="C2553" s="2" t="s">
        <v>594</v>
      </c>
      <c r="D2553" s="2" t="str">
        <f t="shared" si="38"/>
        <v>Error?</v>
      </c>
    </row>
    <row r="2554" spans="1:4" x14ac:dyDescent="0.2">
      <c r="A2554" s="5">
        <v>2493</v>
      </c>
      <c r="B2554" s="138">
        <f>'Acct Summary 7-8'!C7</f>
        <v>521015</v>
      </c>
      <c r="C2554" s="2" t="s">
        <v>594</v>
      </c>
      <c r="D2554" s="2" t="str">
        <f t="shared" si="38"/>
        <v>Error?</v>
      </c>
    </row>
    <row r="2555" spans="1:4" x14ac:dyDescent="0.2">
      <c r="A2555" s="5">
        <v>2494</v>
      </c>
      <c r="B2555" s="138">
        <f>'Acct Summary 7-8'!C8</f>
        <v>6626581</v>
      </c>
      <c r="C2555" s="2" t="s">
        <v>594</v>
      </c>
      <c r="D2555" s="2" t="str">
        <f t="shared" si="38"/>
        <v>Error?</v>
      </c>
    </row>
    <row r="2556" spans="1:4" x14ac:dyDescent="0.2">
      <c r="A2556" s="5">
        <v>2495</v>
      </c>
      <c r="B2556" s="138">
        <f>'Acct Summary 7-8'!C12</f>
        <v>4685163</v>
      </c>
      <c r="C2556" s="2" t="s">
        <v>594</v>
      </c>
      <c r="D2556" s="2" t="str">
        <f t="shared" si="38"/>
        <v>Error?</v>
      </c>
    </row>
    <row r="2557" spans="1:4" x14ac:dyDescent="0.2">
      <c r="A2557" s="5">
        <v>2496</v>
      </c>
      <c r="B2557" s="138">
        <f>'Acct Summary 7-8'!C13</f>
        <v>1372363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199043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6256569</v>
      </c>
      <c r="C2561" s="2" t="s">
        <v>594</v>
      </c>
      <c r="D2561" s="2" t="str">
        <f t="shared" si="39"/>
        <v>Error?</v>
      </c>
    </row>
    <row r="2562" spans="1:4" x14ac:dyDescent="0.2">
      <c r="A2562" s="5">
        <v>2501</v>
      </c>
      <c r="B2562" s="138">
        <f>'Acct Summary 7-8'!C20</f>
        <v>370012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508643</v>
      </c>
      <c r="C2564" s="2" t="s">
        <v>594</v>
      </c>
      <c r="D2564" s="2" t="str">
        <f t="shared" si="39"/>
        <v>Error?</v>
      </c>
    </row>
    <row r="2565" spans="1:4" x14ac:dyDescent="0.2">
      <c r="A2565" s="10">
        <v>2504</v>
      </c>
      <c r="D2565" s="2" t="str">
        <f t="shared" si="39"/>
        <v>OK</v>
      </c>
    </row>
    <row r="2566" spans="1:4" x14ac:dyDescent="0.2">
      <c r="A2566" s="5">
        <v>2505</v>
      </c>
      <c r="B2566" s="138">
        <f>'Acct Summary 7-8'!D6</f>
        <v>83000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591643</v>
      </c>
      <c r="C2568" s="2" t="s">
        <v>594</v>
      </c>
      <c r="D2568" s="2" t="str">
        <f t="shared" si="39"/>
        <v>Error?</v>
      </c>
    </row>
    <row r="2569" spans="1:4" x14ac:dyDescent="0.2">
      <c r="A2569" s="5">
        <v>2508</v>
      </c>
      <c r="B2569" s="138">
        <f>'Acct Summary 7-8'!D13</f>
        <v>590308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590308</v>
      </c>
      <c r="C2573" s="2" t="s">
        <v>594</v>
      </c>
      <c r="D2573" s="2" t="str">
        <f t="shared" si="39"/>
        <v>Error?</v>
      </c>
    </row>
    <row r="2574" spans="1:4" x14ac:dyDescent="0.2">
      <c r="A2574" s="5">
        <v>2513</v>
      </c>
      <c r="B2574" s="138">
        <f>'Acct Summary 7-8'!D20</f>
        <v>1335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161650</v>
      </c>
      <c r="C2591" s="2" t="s">
        <v>594</v>
      </c>
      <c r="D2591" s="2" t="str">
        <f t="shared" si="39"/>
        <v>Error?</v>
      </c>
    </row>
    <row r="2592" spans="1:4" x14ac:dyDescent="0.2">
      <c r="A2592" s="10">
        <v>2531</v>
      </c>
      <c r="D2592" s="2" t="str">
        <f t="shared" si="39"/>
        <v>OK</v>
      </c>
    </row>
    <row r="2593" spans="1:4" x14ac:dyDescent="0.2">
      <c r="A2593" s="5">
        <v>2532</v>
      </c>
      <c r="B2593" s="138">
        <f>'Acct Summary 7-8'!F6</f>
        <v>512971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674621</v>
      </c>
      <c r="C2595" s="2" t="s">
        <v>594</v>
      </c>
      <c r="D2595" s="2" t="str">
        <f t="shared" si="39"/>
        <v>Error?</v>
      </c>
    </row>
    <row r="2596" spans="1:4" x14ac:dyDescent="0.2">
      <c r="A2596" s="5">
        <v>2535</v>
      </c>
      <c r="B2596" s="138">
        <f>'Acct Summary 7-8'!F13</f>
        <v>689799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689799</v>
      </c>
      <c r="C2600" s="2" t="s">
        <v>594</v>
      </c>
      <c r="D2600" s="2" t="str">
        <f t="shared" si="39"/>
        <v>Error?</v>
      </c>
    </row>
    <row r="2601" spans="1:4" x14ac:dyDescent="0.2">
      <c r="A2601" s="5">
        <v>2540</v>
      </c>
      <c r="B2601" s="138">
        <f>'Acct Summary 7-8'!F20</f>
        <v>-15178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309668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309668</v>
      </c>
      <c r="C2606" s="2" t="s">
        <v>594</v>
      </c>
      <c r="D2606" s="2" t="str">
        <f t="shared" si="39"/>
        <v>Error?</v>
      </c>
    </row>
    <row r="2607" spans="1:4" x14ac:dyDescent="0.2">
      <c r="A2607" s="5">
        <v>2546</v>
      </c>
      <c r="B2607" s="138">
        <f>'Acct Summary 7-8'!G12</f>
        <v>125616</v>
      </c>
      <c r="C2607" s="2" t="s">
        <v>594</v>
      </c>
      <c r="D2607" s="2" t="str">
        <f t="shared" si="39"/>
        <v>Error?</v>
      </c>
    </row>
    <row r="2608" spans="1:4" x14ac:dyDescent="0.2">
      <c r="A2608" s="5">
        <v>2547</v>
      </c>
      <c r="B2608" s="138">
        <f>'Acct Summary 7-8'!G13</f>
        <v>158256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283872</v>
      </c>
      <c r="C2612" s="2" t="s">
        <v>594</v>
      </c>
      <c r="D2612" s="2" t="str">
        <f t="shared" si="39"/>
        <v>Error?</v>
      </c>
    </row>
    <row r="2613" spans="1:4" x14ac:dyDescent="0.2">
      <c r="A2613" s="5">
        <v>2552</v>
      </c>
      <c r="B2613" s="138">
        <f>'Acct Summary 7-8'!G20</f>
        <v>25796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407581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407581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303062</v>
      </c>
      <c r="C2634" s="2" t="s">
        <v>594</v>
      </c>
      <c r="D2634" s="2" t="str">
        <f t="shared" si="40"/>
        <v>Error?</v>
      </c>
    </row>
    <row r="2635" spans="1:4" x14ac:dyDescent="0.2">
      <c r="A2635" s="5">
        <v>2574</v>
      </c>
      <c r="B2635" s="138">
        <f>'Acct Summary 7-8'!E17</f>
        <v>303062</v>
      </c>
      <c r="C2635" s="2" t="s">
        <v>594</v>
      </c>
      <c r="D2635" s="2" t="str">
        <f t="shared" si="40"/>
        <v>Error?</v>
      </c>
    </row>
    <row r="2636" spans="1:4" x14ac:dyDescent="0.2">
      <c r="A2636" s="5">
        <v>2575</v>
      </c>
      <c r="B2636" s="138">
        <f>'Acct Summary 7-8'!E20</f>
        <v>104519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300877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300877</v>
      </c>
      <c r="C2658" s="2" t="s">
        <v>594</v>
      </c>
      <c r="D2658" s="2" t="str">
        <f t="shared" si="40"/>
        <v>Error?</v>
      </c>
    </row>
    <row r="2659" spans="1:4" x14ac:dyDescent="0.2">
      <c r="A2659" s="5">
        <v>2598</v>
      </c>
      <c r="B2659" s="138">
        <f>'Acct Summary 7-8'!H13</f>
        <v>258749</v>
      </c>
      <c r="C2659" s="2" t="s">
        <v>594</v>
      </c>
      <c r="D2659" s="2" t="str">
        <f t="shared" si="40"/>
        <v>Error?</v>
      </c>
    </row>
    <row r="2660" spans="1:4" x14ac:dyDescent="0.2">
      <c r="A2660" s="5">
        <v>2599</v>
      </c>
      <c r="B2660" s="138">
        <f>'Acct Summary 7-8'!H15</f>
        <v>79891</v>
      </c>
      <c r="C2660" s="2" t="s">
        <v>594</v>
      </c>
      <c r="D2660" s="2" t="str">
        <f t="shared" si="40"/>
        <v>Error?</v>
      </c>
    </row>
    <row r="2661" spans="1:4" x14ac:dyDescent="0.2">
      <c r="A2661" s="5">
        <v>2600</v>
      </c>
      <c r="B2661" s="138">
        <f>'Acct Summary 7-8'!H17</f>
        <v>338640</v>
      </c>
      <c r="C2661" s="2" t="s">
        <v>594</v>
      </c>
      <c r="D2661" s="2" t="str">
        <f t="shared" si="40"/>
        <v>Error?</v>
      </c>
    </row>
    <row r="2662" spans="1:4" x14ac:dyDescent="0.2">
      <c r="A2662" s="5">
        <v>2601</v>
      </c>
      <c r="B2662" s="138">
        <f>'Acct Summary 7-8'!H20</f>
        <v>-37763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199043</v>
      </c>
      <c r="C2789" s="2" t="s">
        <v>594</v>
      </c>
      <c r="D2789" s="2" t="str">
        <f t="shared" si="42"/>
        <v>Error?</v>
      </c>
    </row>
    <row r="2790" spans="1:4" x14ac:dyDescent="0.2">
      <c r="A2790" s="5">
        <v>2729</v>
      </c>
      <c r="B2790" s="138">
        <f>'Expenditures 15-22'!E102</f>
        <v>199043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712500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979806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197998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979806</v>
      </c>
      <c r="D2912" s="2" t="str">
        <f t="shared" si="44"/>
        <v>Error?</v>
      </c>
    </row>
    <row r="2913" spans="1:4" x14ac:dyDescent="0.2">
      <c r="A2913" s="5">
        <v>2852</v>
      </c>
      <c r="B2913" s="138">
        <f>'Assets-Liab 5-6'!I41</f>
        <v>979806</v>
      </c>
      <c r="C2913" s="2" t="s">
        <v>594</v>
      </c>
      <c r="D2913" s="2" t="str">
        <f t="shared" si="44"/>
        <v>Error?</v>
      </c>
    </row>
    <row r="2914" spans="1:4" x14ac:dyDescent="0.2">
      <c r="A2914" s="5">
        <v>2853</v>
      </c>
      <c r="B2914" s="138">
        <f>'Assets-Liab 5-6'!L33</f>
        <v>197998</v>
      </c>
      <c r="D2914" s="2" t="str">
        <f t="shared" si="44"/>
        <v>Error?</v>
      </c>
    </row>
    <row r="2915" spans="1:4" x14ac:dyDescent="0.2">
      <c r="A2915" s="10">
        <v>2854</v>
      </c>
      <c r="D2915" s="2" t="str">
        <f t="shared" si="44"/>
        <v>OK</v>
      </c>
    </row>
    <row r="2916" spans="1:4" x14ac:dyDescent="0.2">
      <c r="A2916" s="5">
        <v>2855</v>
      </c>
      <c r="B2916" s="138">
        <f>'Assets-Liab 5-6'!L34</f>
        <v>197998</v>
      </c>
      <c r="C2916" s="2" t="s">
        <v>594</v>
      </c>
      <c r="D2916" s="2" t="str">
        <f t="shared" si="44"/>
        <v>Error?</v>
      </c>
    </row>
    <row r="2917" spans="1:4" x14ac:dyDescent="0.2">
      <c r="A2917" s="5">
        <v>2856</v>
      </c>
      <c r="B2917" s="138">
        <f>'Assets-Liab 5-6'!L41</f>
        <v>197998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199043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199043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127963</v>
      </c>
      <c r="D3055" s="2" t="str">
        <f t="shared" si="46"/>
        <v>Error?</v>
      </c>
    </row>
    <row r="3056" spans="1:4" x14ac:dyDescent="0.2">
      <c r="A3056" s="5">
        <v>2995</v>
      </c>
      <c r="B3056" s="138">
        <f>'Expenditures 15-22'!D10</f>
        <v>29235</v>
      </c>
      <c r="D3056" s="2" t="str">
        <f t="shared" si="46"/>
        <v>Error?</v>
      </c>
    </row>
    <row r="3057" spans="1:4" x14ac:dyDescent="0.2">
      <c r="A3057" s="5">
        <v>2996</v>
      </c>
      <c r="B3057" s="138">
        <f>'Expenditures 15-22'!E10</f>
        <v>1214</v>
      </c>
      <c r="D3057" s="2" t="str">
        <f t="shared" si="46"/>
        <v>Error?</v>
      </c>
    </row>
    <row r="3058" spans="1:4" x14ac:dyDescent="0.2">
      <c r="A3058" s="5">
        <v>2997</v>
      </c>
      <c r="B3058" s="138">
        <f>'Expenditures 15-22'!F10</f>
        <v>5478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163890</v>
      </c>
      <c r="C3062" s="2" t="s">
        <v>594</v>
      </c>
      <c r="D3062" s="2" t="str">
        <f t="shared" si="46"/>
        <v>Error?</v>
      </c>
    </row>
    <row r="3063" spans="1:4" x14ac:dyDescent="0.2">
      <c r="A3063" s="10">
        <v>3002</v>
      </c>
      <c r="D3063" s="2" t="str">
        <f t="shared" si="46"/>
        <v>OK</v>
      </c>
    </row>
    <row r="3064" spans="1:4" x14ac:dyDescent="0.2">
      <c r="A3064" s="5">
        <v>3003</v>
      </c>
      <c r="B3064" s="138">
        <f>'Expenditures 15-22'!D219</f>
        <v>6313</v>
      </c>
      <c r="D3064" s="2" t="str">
        <f t="shared" si="46"/>
        <v>Error?</v>
      </c>
    </row>
    <row r="3065" spans="1:4" x14ac:dyDescent="0.2">
      <c r="A3065" s="5">
        <v>3004</v>
      </c>
      <c r="B3065" s="138">
        <f>'Expenditures 15-22'!K219</f>
        <v>6313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39856</v>
      </c>
      <c r="C3225" s="2" t="s">
        <v>594</v>
      </c>
      <c r="D3225" s="2" t="str">
        <f t="shared" si="49"/>
        <v>Error?</v>
      </c>
    </row>
    <row r="3226" spans="1:4" x14ac:dyDescent="0.2">
      <c r="A3226" s="5">
        <v>3165</v>
      </c>
      <c r="B3226" s="138">
        <f>'Acct Summary 7-8'!I8</f>
        <v>39856</v>
      </c>
      <c r="C3226" s="2" t="s">
        <v>594</v>
      </c>
      <c r="D3226" s="2" t="str">
        <f t="shared" si="49"/>
        <v>Error?</v>
      </c>
    </row>
    <row r="3227" spans="1:4" x14ac:dyDescent="0.2">
      <c r="A3227" s="5">
        <v>3166</v>
      </c>
      <c r="B3227" s="138">
        <f>'Acct Summary 7-8'!I20</f>
        <v>39856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15899</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15899</v>
      </c>
      <c r="C3232" s="2" t="s">
        <v>594</v>
      </c>
      <c r="D3232" s="2" t="str">
        <f t="shared" si="49"/>
        <v>Error?</v>
      </c>
    </row>
    <row r="3233" spans="1:4" x14ac:dyDescent="0.2">
      <c r="A3233" s="5">
        <v>3172</v>
      </c>
      <c r="B3233" s="138">
        <f>'Acct Summary 7-8'!C78</f>
        <v>385911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1335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-15178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25796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104519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-37763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15899</v>
      </c>
      <c r="C3318" s="2" t="s">
        <v>594</v>
      </c>
      <c r="D3318" s="2" t="str">
        <f t="shared" si="50"/>
        <v>Error?</v>
      </c>
    </row>
    <row r="3319" spans="1:4" x14ac:dyDescent="0.2">
      <c r="A3319" s="5">
        <v>3258</v>
      </c>
      <c r="B3319" s="138">
        <f>'Acct Summary 7-8'!I77</f>
        <v>-15899</v>
      </c>
      <c r="C3319" s="2" t="s">
        <v>594</v>
      </c>
      <c r="D3319" s="2" t="str">
        <f t="shared" si="50"/>
        <v>Error?</v>
      </c>
    </row>
    <row r="3320" spans="1:4" x14ac:dyDescent="0.2">
      <c r="A3320" s="5">
        <v>3259</v>
      </c>
      <c r="B3320" s="138">
        <f>'Acct Summary 7-8'!I78</f>
        <v>23957</v>
      </c>
      <c r="C3320" s="2" t="s">
        <v>594</v>
      </c>
      <c r="D3320" s="2" t="str">
        <f t="shared" si="50"/>
        <v>Error?</v>
      </c>
    </row>
    <row r="3321" spans="1:4" x14ac:dyDescent="0.2">
      <c r="A3321" s="5">
        <v>3260</v>
      </c>
      <c r="B3321" s="138">
        <f>'Acct Summary 7-8'!I79</f>
        <v>955849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979806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697201</v>
      </c>
      <c r="D3366" s="2" t="str">
        <f t="shared" si="51"/>
        <v>Error?</v>
      </c>
    </row>
    <row r="3367" spans="1:4" x14ac:dyDescent="0.2">
      <c r="A3367" s="5">
        <v>3306</v>
      </c>
      <c r="B3367" s="138">
        <f>'Expenditures 15-22'!C19</f>
        <v>37848</v>
      </c>
      <c r="D3367" s="2" t="str">
        <f t="shared" si="51"/>
        <v>Error?</v>
      </c>
    </row>
    <row r="3368" spans="1:4" x14ac:dyDescent="0.2">
      <c r="A3368" s="5">
        <v>3307</v>
      </c>
      <c r="B3368" s="138">
        <f>'Expenditures 15-22'!D8</f>
        <v>169845</v>
      </c>
      <c r="D3368" s="2" t="str">
        <f t="shared" si="51"/>
        <v>Error?</v>
      </c>
    </row>
    <row r="3369" spans="1:4" x14ac:dyDescent="0.2">
      <c r="A3369" s="5">
        <v>3308</v>
      </c>
      <c r="B3369" s="138">
        <f>'Expenditures 15-22'!D19</f>
        <v>6158</v>
      </c>
      <c r="D3369" s="2" t="str">
        <f t="shared" si="51"/>
        <v>Error?</v>
      </c>
    </row>
    <row r="3370" spans="1:4" x14ac:dyDescent="0.2">
      <c r="A3370" s="5">
        <v>3309</v>
      </c>
      <c r="B3370" s="138">
        <f>'Expenditures 15-22'!E8</f>
        <v>9717</v>
      </c>
      <c r="D3370" s="2" t="str">
        <f t="shared" si="51"/>
        <v>Error?</v>
      </c>
    </row>
    <row r="3371" spans="1:4" x14ac:dyDescent="0.2">
      <c r="A3371" s="5">
        <v>3310</v>
      </c>
      <c r="B3371" s="138">
        <f>'Expenditures 15-22'!E19</f>
        <v>1396</v>
      </c>
      <c r="D3371" s="2" t="str">
        <f t="shared" si="51"/>
        <v>Error?</v>
      </c>
    </row>
    <row r="3372" spans="1:4" x14ac:dyDescent="0.2">
      <c r="A3372" s="5">
        <v>3311</v>
      </c>
      <c r="B3372" s="138">
        <f>'Expenditures 15-22'!F8</f>
        <v>8828</v>
      </c>
      <c r="D3372" s="2" t="str">
        <f t="shared" si="51"/>
        <v>Error?</v>
      </c>
    </row>
    <row r="3373" spans="1:4" x14ac:dyDescent="0.2">
      <c r="A3373" s="5">
        <v>3312</v>
      </c>
      <c r="B3373" s="138">
        <f>'Expenditures 15-22'!F19</f>
        <v>74</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885591</v>
      </c>
      <c r="C3380" s="2" t="s">
        <v>594</v>
      </c>
      <c r="D3380" s="2" t="str">
        <f t="shared" si="51"/>
        <v>Error?</v>
      </c>
    </row>
    <row r="3381" spans="1:4" x14ac:dyDescent="0.2">
      <c r="A3381" s="5">
        <v>3320</v>
      </c>
      <c r="B3381" s="138">
        <f>'Expenditures 15-22'!K19</f>
        <v>45476</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49494</v>
      </c>
      <c r="D3387" s="2" t="str">
        <f t="shared" si="51"/>
        <v>Error?</v>
      </c>
    </row>
    <row r="3388" spans="1:4" x14ac:dyDescent="0.2">
      <c r="A3388" s="5">
        <v>3327</v>
      </c>
      <c r="B3388" s="138">
        <f>'Expenditures 15-22'!D217</f>
        <v>44764</v>
      </c>
      <c r="D3388" s="2" t="str">
        <f t="shared" si="51"/>
        <v>Error?</v>
      </c>
    </row>
    <row r="3389" spans="1:4" x14ac:dyDescent="0.2">
      <c r="A3389" s="5">
        <v>3328</v>
      </c>
      <c r="B3389" s="138">
        <f>'Expenditures 15-22'!D228</f>
        <v>6108</v>
      </c>
      <c r="D3389" s="2" t="str">
        <f t="shared" si="51"/>
        <v>Error?</v>
      </c>
    </row>
    <row r="3390" spans="1:4" x14ac:dyDescent="0.2">
      <c r="A3390" s="5">
        <v>3329</v>
      </c>
      <c r="B3390" s="138">
        <f>'Expenditures 15-22'!K215</f>
        <v>49494</v>
      </c>
      <c r="C3390" s="2" t="s">
        <v>594</v>
      </c>
      <c r="D3390" s="2" t="str">
        <f t="shared" si="51"/>
        <v>Error?</v>
      </c>
    </row>
    <row r="3391" spans="1:4" x14ac:dyDescent="0.2">
      <c r="A3391" s="5">
        <v>3330</v>
      </c>
      <c r="B3391" s="138">
        <f>'Expenditures 15-22'!K217</f>
        <v>44764</v>
      </c>
      <c r="C3391" s="2" t="s">
        <v>594</v>
      </c>
      <c r="D3391" s="2" t="str">
        <f t="shared" ref="D3391:D3454" si="52">IF(ISBLANK(B3391),"OK",IF(A3391-B3391=0,"OK","Error?"))</f>
        <v>Error?</v>
      </c>
    </row>
    <row r="3392" spans="1:4" x14ac:dyDescent="0.2">
      <c r="A3392" s="5">
        <v>3331</v>
      </c>
      <c r="B3392" s="138">
        <f>'Expenditures 15-22'!K228</f>
        <v>6108</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19421</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994829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5736</v>
      </c>
      <c r="D3417" s="2" t="str">
        <f t="shared" si="52"/>
        <v>Error?</v>
      </c>
    </row>
    <row r="3418" spans="1:4" x14ac:dyDescent="0.2">
      <c r="A3418" s="10">
        <v>3357</v>
      </c>
      <c r="D3418" s="2" t="str">
        <f t="shared" si="52"/>
        <v>OK</v>
      </c>
    </row>
    <row r="3419" spans="1:4" x14ac:dyDescent="0.2">
      <c r="A3419" s="5">
        <v>3358</v>
      </c>
      <c r="B3419" s="138">
        <f>'Assets-Liab 5-6'!F4</f>
        <v>1836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89124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149956</v>
      </c>
      <c r="D3425" s="2" t="str">
        <f t="shared" si="52"/>
        <v>Error?</v>
      </c>
    </row>
    <row r="3426" spans="1:4" x14ac:dyDescent="0.2">
      <c r="A3426" s="10">
        <v>3365</v>
      </c>
      <c r="D3426" s="2" t="str">
        <f t="shared" si="52"/>
        <v>OK</v>
      </c>
    </row>
    <row r="3427" spans="1:4" x14ac:dyDescent="0.2">
      <c r="A3427" s="5">
        <v>3366</v>
      </c>
      <c r="B3427" s="138">
        <f>'Assets-Liab 5-6'!I4</f>
        <v>267306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197998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150333</v>
      </c>
      <c r="C3446" s="2" t="s">
        <v>594</v>
      </c>
      <c r="D3446" s="2" t="str">
        <f t="shared" si="52"/>
        <v>Error?</v>
      </c>
    </row>
    <row r="3447" spans="1:4" x14ac:dyDescent="0.2">
      <c r="A3447" s="5">
        <v>3386</v>
      </c>
      <c r="B3447" s="138">
        <f>'Tax Sched 23'!D16</f>
        <v>150333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150647</v>
      </c>
      <c r="C3449" s="2" t="s">
        <v>594</v>
      </c>
      <c r="D3449" s="2" t="str">
        <f t="shared" si="52"/>
        <v>Error?</v>
      </c>
    </row>
    <row r="3450" spans="1:4" x14ac:dyDescent="0.2">
      <c r="A3450" s="5">
        <v>3389</v>
      </c>
      <c r="B3450" s="138">
        <f>'Tax Sched 23'!E16</f>
        <v>150647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2574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413217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415791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415791</v>
      </c>
      <c r="D3567" s="2" t="str">
        <f t="shared" si="54"/>
        <v>Error?</v>
      </c>
    </row>
    <row r="3568" spans="1:4" x14ac:dyDescent="0.2">
      <c r="A3568" s="5">
        <v>3507</v>
      </c>
      <c r="B3568" s="138">
        <f>'Assets-Liab 5-6'!K41</f>
        <v>415791</v>
      </c>
      <c r="C3568" s="2" t="s">
        <v>594</v>
      </c>
      <c r="D3568" s="2" t="str">
        <f t="shared" si="54"/>
        <v>Error?</v>
      </c>
    </row>
    <row r="3569" spans="1:4" x14ac:dyDescent="0.2">
      <c r="A3569" s="5">
        <v>3508</v>
      </c>
      <c r="B3569" s="138">
        <f>'Acct Summary 7-8'!K4</f>
        <v>1292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1292</v>
      </c>
      <c r="C3571" s="2" t="s">
        <v>594</v>
      </c>
      <c r="D3571" s="2" t="str">
        <f t="shared" si="54"/>
        <v>Error?</v>
      </c>
    </row>
    <row r="3572" spans="1:4" x14ac:dyDescent="0.2">
      <c r="A3572" s="5">
        <v>3511</v>
      </c>
      <c r="B3572" s="138">
        <f>'Acct Summary 7-8'!K13</f>
        <v>20780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20780</v>
      </c>
      <c r="C3575" s="2" t="s">
        <v>594</v>
      </c>
      <c r="D3575" s="2" t="str">
        <f t="shared" si="54"/>
        <v>Error?</v>
      </c>
    </row>
    <row r="3576" spans="1:4" x14ac:dyDescent="0.2">
      <c r="A3576" s="5">
        <v>3515</v>
      </c>
      <c r="B3576" s="138">
        <f>'Acct Summary 7-8'!K20</f>
        <v>-19488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-19488</v>
      </c>
      <c r="C3588" s="2" t="s">
        <v>594</v>
      </c>
      <c r="D3588" s="2" t="str">
        <f t="shared" si="55"/>
        <v>Error?</v>
      </c>
    </row>
    <row r="3589" spans="1:4" x14ac:dyDescent="0.2">
      <c r="A3589" s="5">
        <v>3528</v>
      </c>
      <c r="B3589" s="138">
        <f>'Acct Summary 7-8'!K79</f>
        <v>435279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415791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4787</v>
      </c>
      <c r="D3632" s="2" t="str">
        <f t="shared" si="55"/>
        <v>Error?</v>
      </c>
    </row>
    <row r="3633" spans="1:4" x14ac:dyDescent="0.2">
      <c r="A3633" s="5">
        <v>3572</v>
      </c>
      <c r="B3633" s="138">
        <f>'Expenditures 15-22'!E350</f>
        <v>4787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4787</v>
      </c>
      <c r="C3635" s="2" t="s">
        <v>594</v>
      </c>
      <c r="D3635" s="2" t="str">
        <f t="shared" si="55"/>
        <v>Error?</v>
      </c>
    </row>
    <row r="3636" spans="1:4" x14ac:dyDescent="0.2">
      <c r="A3636" s="5">
        <v>3575</v>
      </c>
      <c r="B3636" s="138">
        <f>'Expenditures 15-22'!E367</f>
        <v>4787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15993</v>
      </c>
      <c r="D3646" s="2" t="str">
        <f t="shared" si="55"/>
        <v>Error?</v>
      </c>
    </row>
    <row r="3647" spans="1:4" x14ac:dyDescent="0.2">
      <c r="A3647" s="5">
        <v>3586</v>
      </c>
      <c r="B3647" s="138">
        <f>'Expenditures 15-22'!G350</f>
        <v>15993</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15993</v>
      </c>
      <c r="C3649" s="2" t="s">
        <v>594</v>
      </c>
      <c r="D3649" s="2" t="str">
        <f t="shared" si="56"/>
        <v>Error?</v>
      </c>
    </row>
    <row r="3650" spans="1:4" x14ac:dyDescent="0.2">
      <c r="A3650" s="5">
        <v>3589</v>
      </c>
      <c r="B3650" s="138">
        <f>'Expenditures 15-22'!G367</f>
        <v>15993</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20780</v>
      </c>
      <c r="C3669" s="2" t="s">
        <v>594</v>
      </c>
      <c r="D3669" s="2" t="str">
        <f t="shared" si="56"/>
        <v>Error?</v>
      </c>
    </row>
    <row r="3670" spans="1:4" x14ac:dyDescent="0.2">
      <c r="A3670" s="5">
        <v>3609</v>
      </c>
      <c r="B3670" s="138">
        <f>'Expenditures 15-22'!K350</f>
        <v>20780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20780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20780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-19488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79891</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37168</v>
      </c>
      <c r="C3725" s="2" t="s">
        <v>594</v>
      </c>
      <c r="D3725" s="2" t="str">
        <f t="shared" si="57"/>
        <v>Error?</v>
      </c>
    </row>
    <row r="3726" spans="1:4" x14ac:dyDescent="0.2">
      <c r="A3726" s="5">
        <v>3665</v>
      </c>
      <c r="B3726" s="138">
        <f>'Tax Sched 23'!D13</f>
        <v>37168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38622</v>
      </c>
      <c r="C3728" s="2" t="s">
        <v>594</v>
      </c>
      <c r="D3728" s="2" t="str">
        <f t="shared" si="57"/>
        <v>Error?</v>
      </c>
    </row>
    <row r="3729" spans="1:4" x14ac:dyDescent="0.2">
      <c r="A3729" s="5">
        <v>3668</v>
      </c>
      <c r="B3729" s="138">
        <f>'Tax Sched 23'!E13</f>
        <v>38622</v>
      </c>
      <c r="D3729" s="2" t="str">
        <f t="shared" si="57"/>
        <v>Error?</v>
      </c>
    </row>
    <row r="3730" spans="1:4" x14ac:dyDescent="0.2">
      <c r="A3730" s="5">
        <v>3669</v>
      </c>
      <c r="B3730" s="138">
        <f>'ICR Computation 30'!E10</f>
        <v>160850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2877083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9503664</v>
      </c>
      <c r="C4122" s="2" t="s">
        <v>594</v>
      </c>
      <c r="D4122" s="2" t="str">
        <f t="shared" si="63"/>
        <v>Error?</v>
      </c>
    </row>
    <row r="4123" spans="1:4" x14ac:dyDescent="0.2">
      <c r="A4123" s="5">
        <v>4062</v>
      </c>
      <c r="B4123" s="138">
        <f>'Acct Summary 7-8'!D10</f>
        <v>591643</v>
      </c>
      <c r="C4123" s="2" t="s">
        <v>594</v>
      </c>
      <c r="D4123" s="2" t="str">
        <f t="shared" si="63"/>
        <v>Error?</v>
      </c>
    </row>
    <row r="4124" spans="1:4" x14ac:dyDescent="0.2">
      <c r="A4124" s="5">
        <v>4063</v>
      </c>
      <c r="B4124" s="138">
        <f>'Acct Summary 7-8'!E10</f>
        <v>407581</v>
      </c>
      <c r="C4124" s="2" t="s">
        <v>594</v>
      </c>
      <c r="D4124" s="2" t="str">
        <f t="shared" si="63"/>
        <v>Error?</v>
      </c>
    </row>
    <row r="4125" spans="1:4" x14ac:dyDescent="0.2">
      <c r="A4125" s="5">
        <v>4064</v>
      </c>
      <c r="B4125" s="138">
        <f>'Acct Summary 7-8'!F10</f>
        <v>674621</v>
      </c>
      <c r="C4125" s="2" t="s">
        <v>594</v>
      </c>
      <c r="D4125" s="2" t="str">
        <f t="shared" si="63"/>
        <v>Error?</v>
      </c>
    </row>
    <row r="4126" spans="1:4" x14ac:dyDescent="0.2">
      <c r="A4126" s="5">
        <v>4065</v>
      </c>
      <c r="B4126" s="138">
        <f>'Acct Summary 7-8'!G10</f>
        <v>309668</v>
      </c>
      <c r="C4126" s="2" t="s">
        <v>594</v>
      </c>
      <c r="D4126" s="2" t="str">
        <f t="shared" si="63"/>
        <v>Error?</v>
      </c>
    </row>
    <row r="4127" spans="1:4" x14ac:dyDescent="0.2">
      <c r="A4127" s="5">
        <v>4066</v>
      </c>
      <c r="B4127" s="138">
        <f>'Acct Summary 7-8'!H10</f>
        <v>300877</v>
      </c>
      <c r="C4127" s="2" t="s">
        <v>594</v>
      </c>
      <c r="D4127" s="2" t="str">
        <f t="shared" si="63"/>
        <v>Error?</v>
      </c>
    </row>
    <row r="4128" spans="1:4" x14ac:dyDescent="0.2">
      <c r="A4128" s="5">
        <v>4067</v>
      </c>
      <c r="B4128" s="138">
        <f>'Acct Summary 7-8'!I10</f>
        <v>39856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1292</v>
      </c>
      <c r="C4130" s="2" t="s">
        <v>594</v>
      </c>
      <c r="D4130" s="2" t="str">
        <f t="shared" si="63"/>
        <v>Error?</v>
      </c>
    </row>
    <row r="4131" spans="1:4" x14ac:dyDescent="0.2">
      <c r="A4131" s="5">
        <v>4070</v>
      </c>
      <c r="B4131" s="138">
        <f>'Acct Summary 7-8'!C18</f>
        <v>2877083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9133652</v>
      </c>
      <c r="C4136" s="2" t="s">
        <v>594</v>
      </c>
      <c r="D4136" s="2" t="str">
        <f t="shared" si="63"/>
        <v>Error?</v>
      </c>
    </row>
    <row r="4137" spans="1:4" x14ac:dyDescent="0.2">
      <c r="A4137" s="5">
        <v>4076</v>
      </c>
      <c r="B4137" s="138">
        <f>'Acct Summary 7-8'!D19</f>
        <v>590308</v>
      </c>
      <c r="C4137" s="2" t="s">
        <v>594</v>
      </c>
      <c r="D4137" s="2" t="str">
        <f t="shared" si="63"/>
        <v>Error?</v>
      </c>
    </row>
    <row r="4138" spans="1:4" x14ac:dyDescent="0.2">
      <c r="A4138" s="5">
        <v>4077</v>
      </c>
      <c r="B4138" s="138">
        <f>'Acct Summary 7-8'!E19</f>
        <v>303062</v>
      </c>
      <c r="C4138" s="2" t="s">
        <v>594</v>
      </c>
      <c r="D4138" s="2" t="str">
        <f t="shared" si="63"/>
        <v>Error?</v>
      </c>
    </row>
    <row r="4139" spans="1:4" x14ac:dyDescent="0.2">
      <c r="A4139" s="5">
        <v>4078</v>
      </c>
      <c r="B4139" s="138">
        <f>'Acct Summary 7-8'!F19</f>
        <v>689799</v>
      </c>
      <c r="C4139" s="2" t="s">
        <v>594</v>
      </c>
      <c r="D4139" s="2" t="str">
        <f t="shared" si="63"/>
        <v>Error?</v>
      </c>
    </row>
    <row r="4140" spans="1:4" x14ac:dyDescent="0.2">
      <c r="A4140" s="5">
        <v>4079</v>
      </c>
      <c r="B4140" s="138">
        <f>'Acct Summary 7-8'!G19</f>
        <v>283872</v>
      </c>
      <c r="C4140" s="2" t="s">
        <v>594</v>
      </c>
      <c r="D4140" s="2" t="str">
        <f t="shared" si="63"/>
        <v>Error?</v>
      </c>
    </row>
    <row r="4141" spans="1:4" x14ac:dyDescent="0.2">
      <c r="A4141" s="5">
        <v>4080</v>
      </c>
      <c r="B4141" s="138">
        <f>'Acct Summary 7-8'!H19</f>
        <v>338640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20780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1388907</v>
      </c>
      <c r="C4171" s="2" t="s">
        <v>594</v>
      </c>
      <c r="D4171" s="2" t="str">
        <f t="shared" si="64"/>
        <v>Error?</v>
      </c>
    </row>
    <row r="4172" spans="1:4" x14ac:dyDescent="0.2">
      <c r="A4172" s="5">
        <v>4111</v>
      </c>
      <c r="B4172" s="138">
        <f>'Short-Term Long-Term Debt 24'!J49</f>
        <v>1060231</v>
      </c>
      <c r="C4172" s="2" t="s">
        <v>594</v>
      </c>
      <c r="D4172" s="2" t="str">
        <f t="shared" si="64"/>
        <v>Error?</v>
      </c>
    </row>
    <row r="4173" spans="1:4" x14ac:dyDescent="0.2">
      <c r="A4173" s="5">
        <v>4112</v>
      </c>
      <c r="B4173" s="138">
        <f>'Short-Term Long-Term Debt 24'!H49</f>
        <v>285000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2577501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14344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84862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34417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150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4500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77243183</v>
      </c>
      <c r="D4995" s="2" t="str">
        <f t="shared" si="77"/>
        <v>Error?</v>
      </c>
    </row>
    <row r="4996" spans="1:4" x14ac:dyDescent="0.2">
      <c r="A4996" s="12">
        <v>4935</v>
      </c>
      <c r="B4996" s="138">
        <f>'FP Info 3'!H31</f>
        <v>10659559.254000001</v>
      </c>
      <c r="D4996" s="2" t="str">
        <f t="shared" si="77"/>
        <v>Error?</v>
      </c>
    </row>
    <row r="4997" spans="1:4" x14ac:dyDescent="0.2">
      <c r="A4997" s="12">
        <v>4936</v>
      </c>
      <c r="B4997" s="138">
        <f>'FP Info 3'!H37</f>
        <v>1388907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37168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1367763</v>
      </c>
      <c r="D5061" s="2" t="str">
        <f t="shared" si="78"/>
        <v>Error?</v>
      </c>
    </row>
    <row r="5062" spans="1:4" x14ac:dyDescent="0.2">
      <c r="A5062" s="10">
        <v>5001</v>
      </c>
      <c r="D5062" s="2" t="str">
        <f t="shared" si="78"/>
        <v>OK</v>
      </c>
    </row>
    <row r="5063" spans="1:4" x14ac:dyDescent="0.2">
      <c r="A5063" s="5">
        <v>5002</v>
      </c>
      <c r="B5063" s="138">
        <f>'Revenues 9-14'!C7</f>
        <v>29734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1434665</v>
      </c>
      <c r="C5066" s="2" t="s">
        <v>594</v>
      </c>
      <c r="D5066" s="2" t="str">
        <f t="shared" si="78"/>
        <v>Error?</v>
      </c>
    </row>
    <row r="5067" spans="1:4" x14ac:dyDescent="0.2">
      <c r="A5067" s="5">
        <v>5006</v>
      </c>
      <c r="B5067" s="138">
        <f>'Revenues 9-14'!C14</f>
        <v>6534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45842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52376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9681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9681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2209</v>
      </c>
      <c r="D5092" s="2" t="str">
        <f t="shared" si="78"/>
        <v>Error?</v>
      </c>
    </row>
    <row r="5093" spans="1:4" x14ac:dyDescent="0.2">
      <c r="A5093" s="5">
        <v>5032</v>
      </c>
      <c r="B5093" s="138">
        <f>'Revenues 9-14'!C72</f>
        <v>1729</v>
      </c>
      <c r="D5093" s="2" t="str">
        <f t="shared" si="78"/>
        <v>Error?</v>
      </c>
    </row>
    <row r="5094" spans="1:4" x14ac:dyDescent="0.2">
      <c r="A5094" s="5">
        <v>5033</v>
      </c>
      <c r="B5094" s="138">
        <f>'Revenues 9-14'!C73</f>
        <v>1757</v>
      </c>
      <c r="D5094" s="2" t="str">
        <f t="shared" si="78"/>
        <v>Error?</v>
      </c>
    </row>
    <row r="5095" spans="1:4" x14ac:dyDescent="0.2">
      <c r="A5095" s="5">
        <v>5034</v>
      </c>
      <c r="B5095" s="138">
        <f>'Revenues 9-14'!C74</f>
        <v>2300</v>
      </c>
      <c r="D5095" s="2" t="str">
        <f t="shared" si="78"/>
        <v>Error?</v>
      </c>
    </row>
    <row r="5096" spans="1:4" x14ac:dyDescent="0.2">
      <c r="A5096" s="5">
        <v>5035</v>
      </c>
      <c r="B5096" s="138">
        <f>'Revenues 9-14'!C75</f>
        <v>181511</v>
      </c>
      <c r="C5096" s="2" t="s">
        <v>594</v>
      </c>
      <c r="D5096" s="2" t="str">
        <f t="shared" si="78"/>
        <v>Error?</v>
      </c>
    </row>
    <row r="5097" spans="1:4" x14ac:dyDescent="0.2">
      <c r="A5097" s="5">
        <v>5036</v>
      </c>
      <c r="B5097" s="138">
        <f>'Revenues 9-14'!C77</f>
        <v>37054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20571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57625</v>
      </c>
      <c r="C5102" s="2" t="s">
        <v>594</v>
      </c>
      <c r="D5102" s="2" t="str">
        <f t="shared" si="78"/>
        <v>Error?</v>
      </c>
    </row>
    <row r="5103" spans="1:4" x14ac:dyDescent="0.2">
      <c r="A5103" s="5">
        <v>5042</v>
      </c>
      <c r="B5103" s="138">
        <f>'Revenues 9-14'!C84</f>
        <v>37736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37736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2778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2391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676</v>
      </c>
      <c r="D5119" s="2" t="str">
        <f t="shared" ref="D5119:D5182" si="79">IF(ISBLANK(B5119),"OK",IF(A5119-B5119=0,"OK","Error?"))</f>
        <v>Error?</v>
      </c>
    </row>
    <row r="5120" spans="1:4" x14ac:dyDescent="0.2">
      <c r="A5120" s="5">
        <v>5059</v>
      </c>
      <c r="B5120" s="138">
        <f>'Revenues 9-14'!C108</f>
        <v>10365</v>
      </c>
      <c r="C5120" s="2" t="s">
        <v>594</v>
      </c>
      <c r="D5120" s="2" t="str">
        <f t="shared" si="79"/>
        <v>Error?</v>
      </c>
    </row>
    <row r="5121" spans="1:4" x14ac:dyDescent="0.2">
      <c r="A5121" s="5">
        <v>5060</v>
      </c>
      <c r="B5121" s="138">
        <f>'Revenues 9-14'!C109</f>
        <v>1783959</v>
      </c>
      <c r="C5121" s="2" t="s">
        <v>594</v>
      </c>
      <c r="D5121" s="2" t="str">
        <f t="shared" si="79"/>
        <v>Error?</v>
      </c>
    </row>
    <row r="5122" spans="1:4" x14ac:dyDescent="0.2">
      <c r="A5122" s="5">
        <v>5061</v>
      </c>
      <c r="B5122" s="138">
        <f>'Revenues 9-14'!C111</f>
        <v>19421</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19421</v>
      </c>
      <c r="C5125" s="2" t="s">
        <v>594</v>
      </c>
      <c r="D5125" s="2" t="str">
        <f t="shared" si="79"/>
        <v>Error?</v>
      </c>
    </row>
    <row r="5126" spans="1:4" x14ac:dyDescent="0.2">
      <c r="A5126" s="5">
        <v>5065</v>
      </c>
      <c r="B5126" s="138">
        <f>'Revenues 9-14'!C117</f>
        <v>3897242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3897242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59584</v>
      </c>
      <c r="D5134" s="2" t="str">
        <f t="shared" si="79"/>
        <v>Error?</v>
      </c>
    </row>
    <row r="5135" spans="1:4" x14ac:dyDescent="0.2">
      <c r="A5135" s="5">
        <v>5074</v>
      </c>
      <c r="B5135" s="138">
        <f>'Revenues 9-14'!C126</f>
        <v>76418</v>
      </c>
      <c r="D5135" s="2" t="str">
        <f t="shared" si="79"/>
        <v>Error?</v>
      </c>
    </row>
    <row r="5136" spans="1:4" x14ac:dyDescent="0.2">
      <c r="A5136" s="10">
        <v>5075</v>
      </c>
      <c r="D5136" s="2" t="str">
        <f t="shared" si="79"/>
        <v>OK</v>
      </c>
    </row>
    <row r="5137" spans="1:4" x14ac:dyDescent="0.2">
      <c r="A5137" s="5">
        <v>5076</v>
      </c>
      <c r="B5137" s="138">
        <f>'Revenues 9-14'!C127</f>
        <v>19132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155134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14590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2696</v>
      </c>
      <c r="D5167" s="2" t="str">
        <f t="shared" si="79"/>
        <v>Error?</v>
      </c>
    </row>
    <row r="5168" spans="1:4" x14ac:dyDescent="0.2">
      <c r="A5168" s="5">
        <v>5107</v>
      </c>
      <c r="B5168" s="138">
        <f>'Revenues 9-14'!C147</f>
        <v>13623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79239</v>
      </c>
      <c r="D5194" s="2" t="str">
        <f t="shared" si="80"/>
        <v>Error?</v>
      </c>
    </row>
    <row r="5195" spans="1:4" x14ac:dyDescent="0.2">
      <c r="A5195" s="10">
        <v>5134</v>
      </c>
      <c r="D5195" s="2" t="str">
        <f t="shared" si="80"/>
        <v>OK</v>
      </c>
    </row>
    <row r="5196" spans="1:4" x14ac:dyDescent="0.2">
      <c r="A5196" s="5">
        <v>5135</v>
      </c>
      <c r="B5196" s="138">
        <f>'Revenues 9-14'!C158</f>
        <v>138162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404944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4302186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167584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31291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198875</v>
      </c>
      <c r="C5246" s="2" t="s">
        <v>594</v>
      </c>
      <c r="D5246" s="2" t="str">
        <f t="shared" si="80"/>
        <v>Error?</v>
      </c>
    </row>
    <row r="5247" spans="1:4" x14ac:dyDescent="0.2">
      <c r="A5247" s="5">
        <v>5186</v>
      </c>
      <c r="B5247" s="138">
        <f>'Revenues 9-14'!C203</f>
        <v>182735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182735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1282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1282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521015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521015</v>
      </c>
      <c r="C5326" s="2" t="s">
        <v>594</v>
      </c>
      <c r="D5326" s="2" t="str">
        <f t="shared" si="82"/>
        <v>Error?</v>
      </c>
    </row>
    <row r="5327" spans="1:4" x14ac:dyDescent="0.2">
      <c r="A5327" s="5">
        <v>5266</v>
      </c>
      <c r="B5327" s="138">
        <f>'Revenues 9-14'!C275</f>
        <v>6626581</v>
      </c>
      <c r="C5327" s="2" t="s">
        <v>594</v>
      </c>
      <c r="D5327" s="2" t="str">
        <f t="shared" si="82"/>
        <v>Error?</v>
      </c>
    </row>
    <row r="5328" spans="1:4" x14ac:dyDescent="0.2">
      <c r="A5328" s="5">
        <v>5267</v>
      </c>
      <c r="B5328" s="138">
        <f>'Revenues 9-14'!D5</f>
        <v>371674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371674</v>
      </c>
      <c r="C5334" s="2" t="s">
        <v>594</v>
      </c>
      <c r="D5334" s="2" t="str">
        <f t="shared" si="82"/>
        <v>Error?</v>
      </c>
    </row>
    <row r="5335" spans="1:4" x14ac:dyDescent="0.2">
      <c r="A5335" s="5">
        <v>5274</v>
      </c>
      <c r="B5335" s="138">
        <f>'Revenues 9-14'!D14</f>
        <v>1693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116693</v>
      </c>
      <c r="C5339" s="2" t="s">
        <v>594</v>
      </c>
      <c r="D5339" s="2" t="str">
        <f t="shared" si="82"/>
        <v>Error?</v>
      </c>
    </row>
    <row r="5340" spans="1:4" x14ac:dyDescent="0.2">
      <c r="A5340" s="5">
        <v>5279</v>
      </c>
      <c r="B5340" s="138">
        <f>'Revenues 9-14'!D65</f>
        <v>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5765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14435</v>
      </c>
      <c r="D5354" s="2" t="str">
        <f t="shared" si="82"/>
        <v>Error?</v>
      </c>
    </row>
    <row r="5355" spans="1:4" x14ac:dyDescent="0.2">
      <c r="A5355" s="5">
        <v>5294</v>
      </c>
      <c r="B5355" s="138">
        <f>'Revenues 9-14'!D108</f>
        <v>20200</v>
      </c>
      <c r="C5355" s="2" t="s">
        <v>594</v>
      </c>
      <c r="D5355" s="2" t="str">
        <f t="shared" si="82"/>
        <v>Error?</v>
      </c>
    </row>
    <row r="5356" spans="1:4" x14ac:dyDescent="0.2">
      <c r="A5356" s="5">
        <v>5295</v>
      </c>
      <c r="B5356" s="138">
        <f>'Revenues 9-14'!D109</f>
        <v>508643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83000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83000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83000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591643</v>
      </c>
      <c r="C5508" s="2" t="s">
        <v>594</v>
      </c>
      <c r="D5508" s="2" t="str">
        <f t="shared" si="85"/>
        <v>Error?</v>
      </c>
    </row>
    <row r="5509" spans="1:4" x14ac:dyDescent="0.2">
      <c r="A5509" s="5">
        <v>5448</v>
      </c>
      <c r="B5509" s="138">
        <f>'Revenues 9-14'!E5</f>
        <v>401948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401948</v>
      </c>
      <c r="C5513" s="2" t="s">
        <v>594</v>
      </c>
      <c r="D5513" s="2" t="str">
        <f t="shared" si="85"/>
        <v>Error?</v>
      </c>
    </row>
    <row r="5514" spans="1:4" x14ac:dyDescent="0.2">
      <c r="A5514" s="5">
        <v>5453</v>
      </c>
      <c r="B5514" s="138">
        <f>'Revenues 9-14'!E14</f>
        <v>1830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1830</v>
      </c>
      <c r="C5518" s="2" t="s">
        <v>594</v>
      </c>
      <c r="D5518" s="2" t="str">
        <f t="shared" si="85"/>
        <v>Error?</v>
      </c>
    </row>
    <row r="5519" spans="1:4" x14ac:dyDescent="0.2">
      <c r="A5519" s="5">
        <v>5458</v>
      </c>
      <c r="B5519" s="138">
        <f>'Revenues 9-14'!E65</f>
        <v>3803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3803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407581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407581</v>
      </c>
      <c r="C5552" s="2" t="s">
        <v>594</v>
      </c>
      <c r="D5552" s="2" t="str">
        <f t="shared" si="85"/>
        <v>Error?</v>
      </c>
    </row>
    <row r="5553" spans="1:4" x14ac:dyDescent="0.2">
      <c r="A5553" s="5">
        <v>5492</v>
      </c>
      <c r="B5553" s="138">
        <f>'Revenues 9-14'!F5</f>
        <v>148670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148670</v>
      </c>
      <c r="C5557" s="2" t="s">
        <v>594</v>
      </c>
      <c r="D5557" s="2" t="str">
        <f t="shared" si="85"/>
        <v>Error?</v>
      </c>
    </row>
    <row r="5558" spans="1:4" x14ac:dyDescent="0.2">
      <c r="A5558" s="5">
        <v>5497</v>
      </c>
      <c r="B5558" s="138">
        <f>'Revenues 9-14'!F14</f>
        <v>677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677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10852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10852</v>
      </c>
      <c r="C5579" s="2" t="s">
        <v>594</v>
      </c>
      <c r="D5579" s="2" t="str">
        <f t="shared" si="86"/>
        <v>Error?</v>
      </c>
    </row>
    <row r="5580" spans="1:4" x14ac:dyDescent="0.2">
      <c r="A5580" s="5">
        <v>5519</v>
      </c>
      <c r="B5580" s="138">
        <f>'Revenues 9-14'!F65</f>
        <v>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1450</v>
      </c>
      <c r="D5586" s="2" t="str">
        <f t="shared" si="86"/>
        <v>Error?</v>
      </c>
    </row>
    <row r="5587" spans="1:4" x14ac:dyDescent="0.2">
      <c r="A5587" s="5">
        <v>5526</v>
      </c>
      <c r="B5587" s="138">
        <f>'Revenues 9-14'!F108</f>
        <v>1450</v>
      </c>
      <c r="C5587" s="2" t="s">
        <v>594</v>
      </c>
      <c r="D5587" s="2" t="str">
        <f t="shared" si="86"/>
        <v>Error?</v>
      </c>
    </row>
    <row r="5588" spans="1:4" x14ac:dyDescent="0.2">
      <c r="A5588" s="5">
        <v>5527</v>
      </c>
      <c r="B5588" s="138">
        <f>'Revenues 9-14'!F109</f>
        <v>161650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67000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67000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294202</v>
      </c>
      <c r="D5615" s="2" t="str">
        <f t="shared" si="86"/>
        <v>Error?</v>
      </c>
    </row>
    <row r="5616" spans="1:4" x14ac:dyDescent="0.2">
      <c r="A5616" s="10">
        <v>5555</v>
      </c>
      <c r="D5616" s="2" t="str">
        <f t="shared" si="86"/>
        <v>OK</v>
      </c>
    </row>
    <row r="5617" spans="1:4" x14ac:dyDescent="0.2">
      <c r="A5617" s="5">
        <v>5556</v>
      </c>
      <c r="B5617" s="138">
        <f>'Revenues 9-14'!F152</f>
        <v>151769</v>
      </c>
      <c r="D5617" s="2" t="str">
        <f t="shared" si="86"/>
        <v>Error?</v>
      </c>
    </row>
    <row r="5618" spans="1:4" x14ac:dyDescent="0.2">
      <c r="A5618" s="5">
        <v>5557</v>
      </c>
      <c r="B5618" s="138">
        <f>'Revenues 9-14'!F154</f>
        <v>445971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445971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512971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674621</v>
      </c>
      <c r="C5720" s="2" t="s">
        <v>594</v>
      </c>
      <c r="D5720" s="2" t="str">
        <f t="shared" si="88"/>
        <v>Error?</v>
      </c>
    </row>
    <row r="5721" spans="1:4" x14ac:dyDescent="0.2">
      <c r="A5721" s="5">
        <v>5660</v>
      </c>
      <c r="B5721" s="138">
        <f>'Revenues 9-14'!G5</f>
        <v>150333</v>
      </c>
      <c r="D5721" s="2" t="str">
        <f t="shared" si="88"/>
        <v>Error?</v>
      </c>
    </row>
    <row r="5722" spans="1:4" x14ac:dyDescent="0.2">
      <c r="A5722" s="5">
        <v>5661</v>
      </c>
      <c r="B5722" s="138">
        <f>'Revenues 9-14'!G7</f>
        <v>0</v>
      </c>
      <c r="D5722" s="2" t="str">
        <f t="shared" si="88"/>
        <v>Error?</v>
      </c>
    </row>
    <row r="5723" spans="1:4" x14ac:dyDescent="0.2">
      <c r="A5723" s="5">
        <v>5662</v>
      </c>
      <c r="B5723" s="138">
        <f>'Revenues 9-14'!G8</f>
        <v>150333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300666</v>
      </c>
      <c r="C5725" s="2" t="s">
        <v>594</v>
      </c>
      <c r="D5725" s="2" t="str">
        <f t="shared" si="88"/>
        <v>Error?</v>
      </c>
    </row>
    <row r="5726" spans="1:4" x14ac:dyDescent="0.2">
      <c r="A5726" s="5">
        <v>5665</v>
      </c>
      <c r="B5726" s="138">
        <f>'Revenues 9-14'!G14</f>
        <v>1369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7001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8370</v>
      </c>
      <c r="C5730" s="2" t="s">
        <v>594</v>
      </c>
      <c r="D5730" s="2" t="str">
        <f t="shared" si="88"/>
        <v>Error?</v>
      </c>
    </row>
    <row r="5731" spans="1:4" x14ac:dyDescent="0.2">
      <c r="A5731" s="5">
        <v>5670</v>
      </c>
      <c r="B5731" s="138">
        <f>'Revenues 9-14'!G65</f>
        <v>632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632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309668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300755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300877</v>
      </c>
      <c r="C5915" s="2" t="s">
        <v>594</v>
      </c>
      <c r="D5915" s="2" t="str">
        <f t="shared" si="91"/>
        <v>Error?</v>
      </c>
    </row>
    <row r="5916" spans="1:4" x14ac:dyDescent="0.2">
      <c r="A5916" s="5">
        <v>5855</v>
      </c>
      <c r="B5916" s="138">
        <f>'Revenues 9-14'!I5</f>
        <v>37167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37167</v>
      </c>
      <c r="C5918" s="2" t="s">
        <v>594</v>
      </c>
      <c r="D5918" s="2" t="str">
        <f t="shared" si="91"/>
        <v>Error?</v>
      </c>
    </row>
    <row r="5919" spans="1:4" x14ac:dyDescent="0.2">
      <c r="A5919" s="5">
        <v>5858</v>
      </c>
      <c r="B5919" s="138">
        <f>'Revenues 9-14'!I14</f>
        <v>169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169</v>
      </c>
      <c r="C5923" s="2" t="s">
        <v>594</v>
      </c>
      <c r="D5923" s="2" t="str">
        <f t="shared" si="91"/>
        <v>Error?</v>
      </c>
    </row>
    <row r="5924" spans="1:4" x14ac:dyDescent="0.2">
      <c r="A5924" s="5">
        <v>5863</v>
      </c>
      <c r="B5924" s="138">
        <f>'Revenues 9-14'!I65</f>
        <v>2520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2520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39856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1292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1292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1292</v>
      </c>
      <c r="C6023" s="2" t="s">
        <v>594</v>
      </c>
      <c r="D6023" s="2" t="str">
        <f t="shared" si="93"/>
        <v>Error?</v>
      </c>
    </row>
    <row r="6024" spans="1:5" x14ac:dyDescent="0.2">
      <c r="A6024" s="5">
        <v>5963</v>
      </c>
      <c r="B6024" s="138">
        <f>'Revenues 9-14'!G109</f>
        <v>309668</v>
      </c>
      <c r="C6024" s="2" t="s">
        <v>594</v>
      </c>
      <c r="D6024" s="2" t="str">
        <f t="shared" si="93"/>
        <v>Error?</v>
      </c>
    </row>
    <row r="6025" spans="1:5" x14ac:dyDescent="0.2">
      <c r="A6025" s="5">
        <v>5964</v>
      </c>
      <c r="B6025" s="138">
        <f>'Revenues 9-14'!H109</f>
        <v>300877</v>
      </c>
      <c r="C6025" s="2" t="s">
        <v>594</v>
      </c>
      <c r="D6025" s="2" t="str">
        <f t="shared" si="93"/>
        <v>Error?</v>
      </c>
    </row>
    <row r="6026" spans="1:5" x14ac:dyDescent="0.2">
      <c r="A6026" s="5">
        <v>5965</v>
      </c>
      <c r="B6026" s="138">
        <f>'Revenues 9-14'!I109</f>
        <v>39856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1292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173516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40334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876.86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304247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304247</v>
      </c>
      <c r="D6215" s="2" t="str">
        <f t="shared" si="96"/>
        <v>Error?</v>
      </c>
      <c r="E6215" s="2" t="s">
        <v>199</v>
      </c>
    </row>
    <row r="6216" spans="1:5" x14ac:dyDescent="0.2">
      <c r="A6216">
        <v>6155</v>
      </c>
      <c r="B6216" s="138">
        <f>'Assets-Liab 5-6'!J41</f>
        <v>304247</v>
      </c>
      <c r="D6216" s="2" t="str">
        <f t="shared" si="96"/>
        <v>Error?</v>
      </c>
      <c r="E6216" s="2" t="s">
        <v>199</v>
      </c>
    </row>
    <row r="6217" spans="1:5" x14ac:dyDescent="0.2">
      <c r="A6217">
        <v>6156</v>
      </c>
      <c r="B6217" s="138">
        <f>'Assets-Liab 5-6'!J4</f>
        <v>95828</v>
      </c>
      <c r="D6217" s="2" t="str">
        <f t="shared" si="96"/>
        <v>Error?</v>
      </c>
      <c r="E6217" s="2" t="s">
        <v>199</v>
      </c>
    </row>
    <row r="6218" spans="1:5" x14ac:dyDescent="0.2">
      <c r="A6218">
        <v>6157</v>
      </c>
      <c r="B6218" s="138">
        <f>'Assets-Liab 5-6'!J5</f>
        <v>208419</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212139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212139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212139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115972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115972</v>
      </c>
      <c r="D6229" s="2" t="str">
        <f t="shared" si="96"/>
        <v>Error?</v>
      </c>
      <c r="E6229" s="2" t="s">
        <v>199</v>
      </c>
    </row>
    <row r="6230" spans="1:5" x14ac:dyDescent="0.2">
      <c r="A6230">
        <v>6169</v>
      </c>
      <c r="B6230" s="138">
        <f>'Acct Summary 7-8'!J20</f>
        <v>96167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96167</v>
      </c>
      <c r="D6263" s="2" t="str">
        <f t="shared" si="96"/>
        <v>Error?</v>
      </c>
      <c r="E6263" s="2" t="s">
        <v>199</v>
      </c>
    </row>
    <row r="6264" spans="1:5" x14ac:dyDescent="0.2">
      <c r="A6264">
        <v>6203</v>
      </c>
      <c r="B6264" s="138">
        <f>'Acct Summary 7-8'!J79</f>
        <v>208080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304247</v>
      </c>
      <c r="D6266" s="2" t="str">
        <f t="shared" si="96"/>
        <v>Error?</v>
      </c>
      <c r="E6266" s="2" t="s">
        <v>199</v>
      </c>
    </row>
    <row r="6267" spans="1:5" x14ac:dyDescent="0.2">
      <c r="A6267">
        <v>6206</v>
      </c>
      <c r="B6267" s="138">
        <f>'Acct Summary 7-8'!C82</f>
        <v>385911</v>
      </c>
      <c r="D6267" s="2" t="str">
        <f t="shared" si="96"/>
        <v>Error?</v>
      </c>
      <c r="E6267" s="2" t="s">
        <v>199</v>
      </c>
    </row>
    <row r="6268" spans="1:5" x14ac:dyDescent="0.2">
      <c r="A6268">
        <v>6207</v>
      </c>
      <c r="B6268" s="138">
        <f>'Acct Summary 7-8'!D82</f>
        <v>1335</v>
      </c>
      <c r="D6268" s="2" t="str">
        <f t="shared" si="96"/>
        <v>Error?</v>
      </c>
      <c r="E6268" s="2" t="s">
        <v>199</v>
      </c>
    </row>
    <row r="6269" spans="1:5" x14ac:dyDescent="0.2">
      <c r="A6269">
        <v>6208</v>
      </c>
      <c r="B6269" s="138">
        <f>'Acct Summary 7-8'!E82</f>
        <v>104519</v>
      </c>
      <c r="D6269" s="2" t="str">
        <f t="shared" si="96"/>
        <v>Error?</v>
      </c>
      <c r="E6269" s="2" t="s">
        <v>199</v>
      </c>
    </row>
    <row r="6270" spans="1:5" x14ac:dyDescent="0.2">
      <c r="A6270">
        <v>6209</v>
      </c>
      <c r="B6270" s="138">
        <f>'Acct Summary 7-8'!F82</f>
        <v>-15178</v>
      </c>
      <c r="D6270" s="2" t="str">
        <f t="shared" si="96"/>
        <v>Error?</v>
      </c>
      <c r="E6270" s="2" t="s">
        <v>199</v>
      </c>
    </row>
    <row r="6271" spans="1:5" x14ac:dyDescent="0.2">
      <c r="A6271">
        <v>6210</v>
      </c>
      <c r="B6271" s="138">
        <f>'Acct Summary 7-8'!G82</f>
        <v>25796</v>
      </c>
      <c r="D6271" s="2" t="str">
        <f t="shared" ref="D6271:D6334" si="97">IF(ISBLANK(B6271),"OK",IF(A6271-B6271=0,"OK","Error?"))</f>
        <v>Error?</v>
      </c>
      <c r="E6271" s="2" t="s">
        <v>199</v>
      </c>
    </row>
    <row r="6272" spans="1:5" x14ac:dyDescent="0.2">
      <c r="A6272">
        <v>6211</v>
      </c>
      <c r="B6272" s="138">
        <f>'Acct Summary 7-8'!H82</f>
        <v>-37763</v>
      </c>
      <c r="D6272" s="2" t="str">
        <f t="shared" si="97"/>
        <v>Error?</v>
      </c>
      <c r="E6272" s="2" t="s">
        <v>199</v>
      </c>
    </row>
    <row r="6273" spans="1:5" x14ac:dyDescent="0.2">
      <c r="A6273">
        <v>6212</v>
      </c>
      <c r="B6273" s="138">
        <f>'Acct Summary 7-8'!I82</f>
        <v>23957</v>
      </c>
      <c r="D6273" s="2" t="str">
        <f t="shared" si="97"/>
        <v>Error?</v>
      </c>
      <c r="E6273" s="2" t="s">
        <v>199</v>
      </c>
    </row>
    <row r="6274" spans="1:5" x14ac:dyDescent="0.2">
      <c r="A6274">
        <v>6213</v>
      </c>
      <c r="B6274" s="138">
        <f>'Acct Summary 7-8'!J82</f>
        <v>96167</v>
      </c>
      <c r="D6274" s="2" t="str">
        <f t="shared" si="97"/>
        <v>Error?</v>
      </c>
      <c r="E6274" s="2" t="s">
        <v>199</v>
      </c>
    </row>
    <row r="6275" spans="1:5" x14ac:dyDescent="0.2">
      <c r="A6275">
        <v>6214</v>
      </c>
      <c r="B6275" s="138">
        <f>'Acct Summary 7-8'!K82</f>
        <v>-19488</v>
      </c>
      <c r="D6275" s="2" t="str">
        <f t="shared" si="97"/>
        <v>Error?</v>
      </c>
      <c r="E6275" s="2" t="s">
        <v>199</v>
      </c>
    </row>
    <row r="6276" spans="1:5" x14ac:dyDescent="0.2">
      <c r="A6276">
        <v>6215</v>
      </c>
      <c r="B6276" s="138">
        <f>'Acct Summary 7-8'!C83</f>
        <v>0.24204106490015384</v>
      </c>
      <c r="D6276" s="2" t="str">
        <f t="shared" si="97"/>
        <v>Error?</v>
      </c>
      <c r="E6276" s="2" t="s">
        <v>199</v>
      </c>
    </row>
    <row r="6277" spans="1:5" x14ac:dyDescent="0.2">
      <c r="A6277">
        <v>6216</v>
      </c>
      <c r="B6277" s="138">
        <f>'Acct Summary 7-8'!D83</f>
        <v>0.91689560439560436</v>
      </c>
      <c r="D6277" s="2" t="str">
        <f t="shared" si="97"/>
        <v>Error?</v>
      </c>
      <c r="E6277" s="2" t="s">
        <v>199</v>
      </c>
    </row>
    <row r="6278" spans="1:5" x14ac:dyDescent="0.2">
      <c r="A6278">
        <v>6217</v>
      </c>
      <c r="B6278" s="138">
        <f>'Acct Summary 7-8'!E83</f>
        <v>0.31800009736031837</v>
      </c>
      <c r="D6278" s="2" t="str">
        <f t="shared" si="97"/>
        <v>Error?</v>
      </c>
      <c r="E6278" s="2" t="s">
        <v>199</v>
      </c>
    </row>
    <row r="6279" spans="1:5" x14ac:dyDescent="0.2">
      <c r="A6279">
        <v>6218</v>
      </c>
      <c r="B6279" s="138">
        <f>'Acct Summary 7-8'!F83</f>
        <v>-8.2668845315904136</v>
      </c>
      <c r="D6279" s="2" t="str">
        <f t="shared" si="97"/>
        <v>Error?</v>
      </c>
      <c r="E6279" s="2" t="s">
        <v>199</v>
      </c>
    </row>
    <row r="6280" spans="1:5" x14ac:dyDescent="0.2">
      <c r="A6280">
        <v>6219</v>
      </c>
      <c r="B6280" s="138">
        <f>'Acct Summary 7-8'!G83</f>
        <v>0.10852152256588025</v>
      </c>
      <c r="D6280" s="2" t="str">
        <f t="shared" si="97"/>
        <v>Error?</v>
      </c>
      <c r="E6280" s="2" t="s">
        <v>199</v>
      </c>
    </row>
    <row r="6281" spans="1:5" x14ac:dyDescent="0.2">
      <c r="A6281">
        <v>6220</v>
      </c>
      <c r="B6281" s="138">
        <f>'Acct Summary 7-8'!H83</f>
        <v>-0.25099699571956502</v>
      </c>
      <c r="D6281" s="2" t="str">
        <f t="shared" si="97"/>
        <v>Error?</v>
      </c>
      <c r="E6281" s="2" t="s">
        <v>199</v>
      </c>
    </row>
    <row r="6282" spans="1:5" x14ac:dyDescent="0.2">
      <c r="A6282">
        <v>6221</v>
      </c>
      <c r="B6282" s="138">
        <f>'Acct Summary 7-8'!I83</f>
        <v>2.4450758619563466E-2</v>
      </c>
      <c r="D6282" s="2" t="str">
        <f t="shared" si="97"/>
        <v>Error?</v>
      </c>
      <c r="E6282" s="2" t="s">
        <v>199</v>
      </c>
    </row>
    <row r="6283" spans="1:5" x14ac:dyDescent="0.2">
      <c r="A6283">
        <v>6222</v>
      </c>
      <c r="B6283" s="138">
        <f>'Acct Summary 7-8'!J83</f>
        <v>0.31608199916515201</v>
      </c>
      <c r="D6283" s="2" t="str">
        <f t="shared" si="97"/>
        <v>Error?</v>
      </c>
      <c r="E6283" s="2" t="s">
        <v>199</v>
      </c>
    </row>
    <row r="6284" spans="1:5" x14ac:dyDescent="0.2">
      <c r="A6284">
        <v>6223</v>
      </c>
      <c r="B6284" s="138">
        <f>'Acct Summary 7-8'!K83</f>
        <v>-4.6869701364387395E-2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210464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210464</v>
      </c>
      <c r="D6301" s="2" t="str">
        <f t="shared" si="97"/>
        <v>Error?</v>
      </c>
      <c r="E6301" s="2" t="s">
        <v>199</v>
      </c>
    </row>
    <row r="6302" spans="1:5" x14ac:dyDescent="0.2">
      <c r="A6302">
        <v>6241</v>
      </c>
      <c r="B6302" s="138">
        <f>'Revenues 9-14'!J14</f>
        <v>958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958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717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717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4370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212139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14590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64147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88183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71601</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59080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115972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212139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3753</v>
      </c>
      <c r="D7073" s="2" t="str">
        <f t="shared" si="109"/>
        <v>Error?</v>
      </c>
    </row>
    <row r="7074" spans="1:4" x14ac:dyDescent="0.2">
      <c r="A7074">
        <v>7013</v>
      </c>
      <c r="B7074" s="138">
        <f>'Expenditures 15-22'!K216</f>
        <v>3753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2631</v>
      </c>
      <c r="D7077" s="2" t="str">
        <f t="shared" si="109"/>
        <v>Error?</v>
      </c>
    </row>
    <row r="7078" spans="1:4" x14ac:dyDescent="0.2">
      <c r="A7078">
        <v>7017</v>
      </c>
      <c r="B7078" s="138">
        <f>'Expenditures 15-22'!K220</f>
        <v>2631</v>
      </c>
      <c r="D7078" s="2" t="str">
        <f t="shared" si="109"/>
        <v>Error?</v>
      </c>
    </row>
    <row r="7079" spans="1:4" x14ac:dyDescent="0.2">
      <c r="A7079">
        <v>7018</v>
      </c>
      <c r="B7079" s="138">
        <f>'Expenditures 15-22'!D226</f>
        <v>524</v>
      </c>
      <c r="D7079" s="2" t="str">
        <f t="shared" si="109"/>
        <v>Error?</v>
      </c>
    </row>
    <row r="7080" spans="1:4" x14ac:dyDescent="0.2">
      <c r="A7080">
        <v>7019</v>
      </c>
      <c r="B7080" s="138">
        <f>'Expenditures 15-22'!K226</f>
        <v>524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79891</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79891</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42819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42819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73153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73153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115972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115972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115972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115972</v>
      </c>
      <c r="D7224" s="2" t="str">
        <f t="shared" si="111"/>
        <v>Error?</v>
      </c>
    </row>
    <row r="7225" spans="1:4" x14ac:dyDescent="0.2">
      <c r="A7225">
        <v>7164</v>
      </c>
      <c r="B7225" s="138">
        <f>'Expenditures 15-22'!K343</f>
        <v>96167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8906</v>
      </c>
      <c r="D7246" s="2" t="str">
        <f t="shared" si="112"/>
        <v>Error?</v>
      </c>
    </row>
    <row r="7247" spans="1:4" x14ac:dyDescent="0.2">
      <c r="A7247">
        <f t="shared" si="113"/>
        <v>7186</v>
      </c>
      <c r="B7247" s="138">
        <f>'Expenditures 15-22'!E7</f>
        <v>1497</v>
      </c>
      <c r="D7247" s="2" t="str">
        <f t="shared" si="112"/>
        <v>Error?</v>
      </c>
    </row>
    <row r="7248" spans="1:4" x14ac:dyDescent="0.2">
      <c r="A7248">
        <f t="shared" si="113"/>
        <v>7187</v>
      </c>
      <c r="B7248" s="138">
        <f>'Expenditures 15-22'!F7</f>
        <v>13633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57409</v>
      </c>
      <c r="D7257" s="2" t="str">
        <f t="shared" si="112"/>
        <v>Error?</v>
      </c>
    </row>
    <row r="7258" spans="1:4" x14ac:dyDescent="0.2">
      <c r="A7258">
        <f t="shared" si="113"/>
        <v>7197</v>
      </c>
      <c r="B7258" s="138">
        <f>'Expenditures 15-22'!D11</f>
        <v>12886</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1306</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46569</v>
      </c>
      <c r="D7263" s="2" t="str">
        <f t="shared" si="112"/>
        <v>Error?</v>
      </c>
    </row>
    <row r="7264" spans="1:4" x14ac:dyDescent="0.2">
      <c r="A7264">
        <f t="shared" si="113"/>
        <v>7203</v>
      </c>
      <c r="B7264" s="138">
        <f>'Expenditures 15-22'!D17</f>
        <v>11463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1048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377177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4370</v>
      </c>
      <c r="D7712" s="2" t="str">
        <f t="shared" si="126"/>
        <v>Error?</v>
      </c>
      <c r="E7712" s="2" t="s">
        <v>881</v>
      </c>
    </row>
    <row r="7713" spans="1:6" x14ac:dyDescent="0.2">
      <c r="A7713">
        <v>7652</v>
      </c>
      <c r="B7713" s="138">
        <f>'Rest Tax Levies-Tort Im 25'!J8</f>
        <v>300756</v>
      </c>
      <c r="D7713" s="2" t="str">
        <f t="shared" si="126"/>
        <v>Error?</v>
      </c>
      <c r="E7713" s="2" t="s">
        <v>881</v>
      </c>
    </row>
    <row r="7714" spans="1:6" x14ac:dyDescent="0.2">
      <c r="A7714">
        <v>7653</v>
      </c>
      <c r="B7714" s="138">
        <f>'Rest Tax Levies-Tort Im 25'!K9</f>
        <v>13623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300756</v>
      </c>
      <c r="D7718" s="2" t="str">
        <f t="shared" si="126"/>
        <v>Error?</v>
      </c>
      <c r="E7718" s="2" t="s">
        <v>881</v>
      </c>
    </row>
    <row r="7719" spans="1:6" x14ac:dyDescent="0.2">
      <c r="A7719">
        <v>7658</v>
      </c>
      <c r="B7719" s="138">
        <f>'Rest Tax Levies-Tort Im 25'!K12</f>
        <v>17993</v>
      </c>
      <c r="D7719" s="2" t="str">
        <f t="shared" si="126"/>
        <v>Error?</v>
      </c>
      <c r="E7719" s="2" t="s">
        <v>881</v>
      </c>
    </row>
    <row r="7720" spans="1:6" x14ac:dyDescent="0.2">
      <c r="A7720">
        <v>7659</v>
      </c>
      <c r="B7720" s="138">
        <f>'Rest Tax Levies-Tort Im 25'!H14</f>
        <v>29734</v>
      </c>
      <c r="D7720" s="2" t="str">
        <f t="shared" si="126"/>
        <v>Error?</v>
      </c>
      <c r="E7720" s="2" t="s">
        <v>881</v>
      </c>
    </row>
    <row r="7721" spans="1:6" x14ac:dyDescent="0.2">
      <c r="A7721">
        <v>7660</v>
      </c>
      <c r="B7721" s="138">
        <f>'Rest Tax Levies-Tort Im 25'!K14</f>
        <v>17993</v>
      </c>
      <c r="D7721" s="2" t="str">
        <f t="shared" si="126"/>
        <v>Error?</v>
      </c>
      <c r="E7721" s="2" t="s">
        <v>881</v>
      </c>
    </row>
    <row r="7722" spans="1:6" x14ac:dyDescent="0.2">
      <c r="A7722">
        <v>7661</v>
      </c>
      <c r="B7722" s="138">
        <f>'Rest Tax Levies-Tort Im 25'!J15</f>
        <v>258749</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258749</v>
      </c>
      <c r="D7730" s="2" t="str">
        <f t="shared" si="126"/>
        <v>Error?</v>
      </c>
      <c r="E7730" s="2" t="s">
        <v>881</v>
      </c>
    </row>
    <row r="7731" spans="1:6" x14ac:dyDescent="0.2">
      <c r="A7731">
        <v>7670</v>
      </c>
      <c r="B7731" s="138">
        <f>'Revenues 9-14'!H103</f>
        <v>300755</v>
      </c>
      <c r="D7731" s="2" t="str">
        <f t="shared" si="126"/>
        <v>Error?</v>
      </c>
      <c r="E7731" s="2" t="s">
        <v>881</v>
      </c>
    </row>
    <row r="7732" spans="1:6" x14ac:dyDescent="0.2">
      <c r="A7732">
        <v>7671</v>
      </c>
      <c r="B7732" s="138">
        <f>'Rest Tax Levies-Tort Im 25'!J24</f>
        <v>42007</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42007</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29'!D24</f>
        <v>213438</v>
      </c>
      <c r="D7797" s="2" t="str">
        <f t="shared" si="127"/>
        <v>Error?</v>
      </c>
      <c r="E7797" s="4" t="s">
        <v>2020</v>
      </c>
    </row>
    <row r="7798" spans="1:5" x14ac:dyDescent="0.2">
      <c r="A7798">
        <v>7737</v>
      </c>
      <c r="B7798" s="138">
        <f>'Contracts Paid in CY 29'!F24</f>
        <v>84364</v>
      </c>
      <c r="D7798" s="2" t="str">
        <f t="shared" si="127"/>
        <v>Error?</v>
      </c>
      <c r="E7798" s="4" t="s">
        <v>2020</v>
      </c>
    </row>
    <row r="7799" spans="1:5" x14ac:dyDescent="0.2">
      <c r="A7799">
        <v>7738</v>
      </c>
      <c r="B7799" s="138">
        <f>'Contracts Paid in CY 29'!G24</f>
        <v>123755</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2" zoomScale="110" zoomScaleNormal="110" workbookViewId="0">
      <selection activeCell="K26" sqref="K2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0" t="s">
        <v>1253</v>
      </c>
      <c r="B2" s="2390"/>
      <c r="C2" s="2390"/>
      <c r="D2" s="2390"/>
      <c r="E2" s="2390"/>
      <c r="F2" s="2390"/>
      <c r="G2" s="2390"/>
      <c r="H2" s="2390"/>
      <c r="I2" s="2390"/>
      <c r="J2" s="2390"/>
      <c r="K2" s="2390"/>
      <c r="L2" s="2390"/>
    </row>
    <row r="3" spans="1:29" ht="13.5" customHeight="1" x14ac:dyDescent="0.2">
      <c r="A3" s="2421" t="s">
        <v>1252</v>
      </c>
      <c r="B3" s="2421"/>
      <c r="C3" s="2421"/>
      <c r="D3" s="2421"/>
      <c r="E3" s="2421"/>
      <c r="F3" s="2421"/>
      <c r="G3" s="2421"/>
      <c r="H3" s="2421"/>
      <c r="I3" s="2421"/>
      <c r="J3" s="2421"/>
      <c r="K3" s="2421"/>
      <c r="L3" s="2421"/>
    </row>
    <row r="4" spans="1:29" ht="13.5" customHeight="1" x14ac:dyDescent="0.2">
      <c r="A4" s="2390" t="s">
        <v>1799</v>
      </c>
      <c r="B4" s="2411"/>
      <c r="C4" s="2411"/>
      <c r="D4" s="2411"/>
      <c r="E4" s="2411"/>
      <c r="F4" s="2411"/>
      <c r="G4" s="2411"/>
      <c r="H4" s="2411"/>
      <c r="I4" s="2411"/>
      <c r="J4" s="2411"/>
      <c r="K4" s="2411"/>
      <c r="L4" s="241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2" t="str">
        <f>COVER!A17</f>
        <v>Edwards County CUSD 1</v>
      </c>
      <c r="B7" s="2413"/>
      <c r="C7" s="2413"/>
      <c r="D7" s="2414"/>
      <c r="E7" s="2415">
        <f>COVER!A13</f>
        <v>20024001026</v>
      </c>
      <c r="F7" s="2416"/>
      <c r="G7" s="2422">
        <f>COVER!T23</f>
        <v>65.032562999999996</v>
      </c>
      <c r="H7" s="2423"/>
      <c r="I7" s="2423"/>
      <c r="J7" s="2423"/>
      <c r="K7" s="2423"/>
      <c r="L7" s="242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5"/>
      <c r="B9" s="2426"/>
      <c r="C9" s="2426"/>
      <c r="D9" s="2426"/>
      <c r="E9" s="2426"/>
      <c r="F9" s="2427"/>
      <c r="G9" s="2396" t="str">
        <f>COVER!T13</f>
        <v>Kemper CPA Group LLP</v>
      </c>
      <c r="H9" s="2428"/>
      <c r="I9" s="2428"/>
      <c r="J9" s="2428"/>
      <c r="K9" s="2428"/>
      <c r="L9" s="2429"/>
    </row>
    <row r="10" spans="1:29" ht="13.5" customHeight="1" x14ac:dyDescent="0.2">
      <c r="A10" s="2402" t="str">
        <f>COVER!A38</f>
        <v>David Cowger</v>
      </c>
      <c r="B10" s="2403"/>
      <c r="C10" s="2403"/>
      <c r="D10" s="2403"/>
      <c r="E10" s="2403"/>
      <c r="F10" s="2404"/>
      <c r="G10" s="2396" t="str">
        <f>COVER!T17</f>
        <v>703 W. Main St, PO Box 447</v>
      </c>
      <c r="H10" s="2397"/>
      <c r="I10" s="2397"/>
      <c r="J10" s="2397"/>
      <c r="K10" s="2397"/>
      <c r="L10" s="2398"/>
    </row>
    <row r="11" spans="1:29" ht="13.5" customHeight="1" x14ac:dyDescent="0.2">
      <c r="A11" s="1185" t="s">
        <v>1599</v>
      </c>
      <c r="B11" s="1186"/>
      <c r="C11" s="1187"/>
      <c r="D11" s="1192"/>
      <c r="E11" s="1187"/>
      <c r="F11" s="1191"/>
      <c r="G11" s="2396" t="str">
        <f>COVER!T19</f>
        <v>Olney</v>
      </c>
      <c r="H11" s="2397"/>
      <c r="I11" s="2397"/>
      <c r="J11" s="2397"/>
      <c r="K11" s="2397"/>
      <c r="L11" s="2398"/>
    </row>
    <row r="12" spans="1:29" ht="13.5" customHeight="1" x14ac:dyDescent="0.2">
      <c r="A12" s="2405" t="s">
        <v>1598</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1600</v>
      </c>
      <c r="H13" s="2392"/>
      <c r="I13" s="2408" t="str">
        <f>COVER!T25</f>
        <v>kmclaren@kempercpa.com</v>
      </c>
      <c r="J13" s="2409"/>
      <c r="K13" s="2409"/>
      <c r="L13" s="2410"/>
    </row>
    <row r="14" spans="1:29" ht="13.5" customHeight="1" x14ac:dyDescent="0.2">
      <c r="A14" s="2396" t="str">
        <f>COVER!A19</f>
        <v>361 West Main Street</v>
      </c>
      <c r="B14" s="2397"/>
      <c r="C14" s="2397"/>
      <c r="D14" s="2397"/>
      <c r="E14" s="2397"/>
      <c r="F14" s="2398"/>
      <c r="G14" s="1196" t="s">
        <v>1247</v>
      </c>
      <c r="H14" s="1194"/>
      <c r="I14" s="1194"/>
      <c r="J14" s="1194"/>
      <c r="K14" s="1194"/>
      <c r="L14" s="1195"/>
    </row>
    <row r="15" spans="1:29" ht="13.5" customHeight="1" x14ac:dyDescent="0.2">
      <c r="A15" s="2396" t="str">
        <f>COVER!A21</f>
        <v>Albion</v>
      </c>
      <c r="B15" s="2397"/>
      <c r="C15" s="2397"/>
      <c r="D15" s="2397"/>
      <c r="E15" s="2397"/>
      <c r="F15" s="2398"/>
      <c r="G15" s="2393" t="str">
        <f>COVER!T15</f>
        <v>Krista McLaren</v>
      </c>
      <c r="H15" s="2394"/>
      <c r="I15" s="2394"/>
      <c r="J15" s="2394"/>
      <c r="K15" s="2394"/>
      <c r="L15" s="2395"/>
    </row>
    <row r="16" spans="1:29" ht="12.2" customHeight="1" x14ac:dyDescent="0.2">
      <c r="A16" s="2418">
        <f>COVER!A25</f>
        <v>62806</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96" t="s">
        <v>1246</v>
      </c>
      <c r="H17" s="1194"/>
      <c r="I17" s="1194"/>
      <c r="J17" s="1194"/>
      <c r="K17" s="1198" t="s">
        <v>1245</v>
      </c>
      <c r="L17" s="1191"/>
      <c r="M17" s="1184"/>
    </row>
    <row r="18" spans="1:13" ht="12.2" customHeight="1" x14ac:dyDescent="0.2">
      <c r="A18" s="2402"/>
      <c r="B18" s="2403"/>
      <c r="C18" s="2403"/>
      <c r="D18" s="2403"/>
      <c r="E18" s="2403"/>
      <c r="F18" s="2404"/>
      <c r="G18" s="2412" t="str">
        <f>COVER!T21</f>
        <v>618-395-2105</v>
      </c>
      <c r="H18" s="2413"/>
      <c r="I18" s="2413"/>
      <c r="J18" s="2413"/>
      <c r="K18" s="2412" t="str">
        <f>COVER!X21</f>
        <v>618-395-7079</v>
      </c>
      <c r="L18" s="241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K26" sqref="K26"/>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4" t="str">
        <f>'Single Audit Cover'!A7</f>
        <v>Edwards County CUSD 1</v>
      </c>
      <c r="B1" s="2411"/>
      <c r="C1" s="2411"/>
      <c r="D1" s="2411"/>
    </row>
    <row r="2" spans="1:11" s="1215" customFormat="1" ht="12.75" x14ac:dyDescent="0.2">
      <c r="A2" s="2435">
        <f>'Single Audit Cover'!E7</f>
        <v>20024001026</v>
      </c>
      <c r="B2" s="2436"/>
      <c r="C2" s="2436"/>
      <c r="D2" s="2436"/>
    </row>
    <row r="3" spans="1:11" s="1215" customFormat="1" ht="12.75" x14ac:dyDescent="0.2">
      <c r="A3" s="2434" t="s">
        <v>1593</v>
      </c>
      <c r="B3" s="2411"/>
      <c r="C3" s="2411"/>
      <c r="D3" s="241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38" t="str">
        <f>'Single Audit Cover'!A7</f>
        <v>Edwards County CUSD 1</v>
      </c>
      <c r="B1" s="2438"/>
      <c r="C1" s="2438"/>
      <c r="D1" s="2438"/>
      <c r="E1" s="2438"/>
    </row>
    <row r="2" spans="1:5" x14ac:dyDescent="0.2">
      <c r="A2" s="2439">
        <f>'Single Audit Cover'!E7</f>
        <v>20024001026</v>
      </c>
      <c r="B2" s="2439"/>
      <c r="C2" s="2439"/>
      <c r="D2" s="2439"/>
      <c r="E2" s="2439"/>
    </row>
    <row r="3" spans="1:5" ht="4.5" customHeight="1" x14ac:dyDescent="0.2"/>
    <row r="4" spans="1:5" x14ac:dyDescent="0.2">
      <c r="A4" s="2438" t="s">
        <v>1307</v>
      </c>
      <c r="B4" s="2438"/>
      <c r="C4" s="2438"/>
      <c r="D4" s="2438"/>
      <c r="E4" s="2438"/>
    </row>
    <row r="5" spans="1:5" x14ac:dyDescent="0.2">
      <c r="A5" s="2441" t="str">
        <f>'Single Audit Cover'!A4</f>
        <v>Year Ending June 30, 2018</v>
      </c>
      <c r="B5" s="2441"/>
      <c r="C5" s="2441"/>
      <c r="D5" s="2441"/>
      <c r="E5" s="2441"/>
    </row>
    <row r="6" spans="1:5" x14ac:dyDescent="0.2">
      <c r="A6" s="2438" t="s">
        <v>1306</v>
      </c>
      <c r="B6" s="2438"/>
      <c r="C6" s="2438"/>
      <c r="D6" s="2438"/>
      <c r="E6" s="2438"/>
    </row>
    <row r="8" spans="1:5" x14ac:dyDescent="0.2">
      <c r="A8" s="1260" t="s">
        <v>1305</v>
      </c>
    </row>
    <row r="10" spans="1:5" x14ac:dyDescent="0.2">
      <c r="A10" s="1261" t="s">
        <v>1304</v>
      </c>
      <c r="B10" s="1262" t="s">
        <v>1303</v>
      </c>
      <c r="C10" s="1262"/>
      <c r="D10" s="1263">
        <f>SUM('Acct Summary 7-8'!C7:K7)</f>
        <v>521015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40334</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-84862</v>
      </c>
    </row>
    <row r="19" spans="1:4" ht="13.5" thickBot="1" x14ac:dyDescent="0.25">
      <c r="A19" s="1265" t="s">
        <v>1297</v>
      </c>
      <c r="D19" s="1266">
        <f>SUM(D10:D17)</f>
        <v>476487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0"/>
      <c r="B24" s="2440"/>
      <c r="D24" s="1268"/>
    </row>
    <row r="25" spans="1:4" x14ac:dyDescent="0.2">
      <c r="A25" s="2437"/>
      <c r="B25" s="2437"/>
      <c r="D25" s="1268"/>
    </row>
    <row r="26" spans="1:4" x14ac:dyDescent="0.2">
      <c r="A26" s="2437"/>
      <c r="B26" s="2437"/>
      <c r="D26" s="1268"/>
    </row>
    <row r="27" spans="1:4" x14ac:dyDescent="0.2">
      <c r="A27" s="2437"/>
      <c r="B27" s="2437"/>
      <c r="D27" s="1268"/>
    </row>
    <row r="28" spans="1:4" x14ac:dyDescent="0.2">
      <c r="A28" s="2437"/>
      <c r="B28" s="2437"/>
      <c r="D28" s="1268"/>
    </row>
    <row r="29" spans="1:4" x14ac:dyDescent="0.2">
      <c r="A29" s="2437"/>
      <c r="B29" s="2437"/>
      <c r="D29" s="1268"/>
    </row>
    <row r="30" spans="1:4" x14ac:dyDescent="0.2">
      <c r="A30" s="2437"/>
      <c r="B30" s="2437"/>
      <c r="D30" s="1268"/>
    </row>
    <row r="32" spans="1:4" x14ac:dyDescent="0.2">
      <c r="A32" s="1260" t="s">
        <v>1295</v>
      </c>
      <c r="D32" s="1263">
        <f>SUM(D19:D30)</f>
        <v>476487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37"/>
      <c r="B40" s="2437"/>
      <c r="D40" s="1268"/>
    </row>
    <row r="41" spans="1:4" x14ac:dyDescent="0.2">
      <c r="A41" s="2437"/>
      <c r="B41" s="2437"/>
      <c r="D41" s="1271"/>
    </row>
    <row r="42" spans="1:4" x14ac:dyDescent="0.2">
      <c r="A42" s="2437"/>
      <c r="B42" s="2437"/>
      <c r="D42" s="1271"/>
    </row>
    <row r="43" spans="1:4" x14ac:dyDescent="0.2">
      <c r="A43" s="2437"/>
      <c r="B43" s="2437"/>
      <c r="D43" s="1271"/>
    </row>
    <row r="44" spans="1:4" x14ac:dyDescent="0.2">
      <c r="A44" s="2437"/>
      <c r="B44" s="2437"/>
      <c r="D44" s="1271"/>
    </row>
    <row r="45" spans="1:4" x14ac:dyDescent="0.2">
      <c r="A45" s="2437"/>
      <c r="B45" s="2437"/>
      <c r="D45" s="1271"/>
    </row>
    <row r="47" spans="1:4" x14ac:dyDescent="0.2">
      <c r="B47" s="1272" t="s">
        <v>1289</v>
      </c>
      <c r="C47" s="1272"/>
      <c r="D47" s="1273">
        <f>SUM(D35:D45)</f>
        <v>0</v>
      </c>
    </row>
    <row r="49" spans="2:4" x14ac:dyDescent="0.2">
      <c r="B49" s="1272" t="s">
        <v>1288</v>
      </c>
      <c r="C49" s="1272"/>
      <c r="D49" s="1273">
        <f>D32-D47</f>
        <v>476487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K26" sqref="K26"/>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Edwards County CUSD 1</v>
      </c>
      <c r="B1" s="2451"/>
      <c r="C1" s="2451"/>
      <c r="D1" s="2451"/>
      <c r="E1" s="2451"/>
      <c r="F1" s="2451"/>
    </row>
    <row r="2" spans="1:7" ht="13.5" customHeight="1" x14ac:dyDescent="0.2">
      <c r="A2" s="2452">
        <f>'Single Audit Cover'!E7</f>
        <v>20024001026</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17"/>
      <c r="D11" s="1280"/>
      <c r="E11" s="1917"/>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61" t="s">
        <v>1332</v>
      </c>
      <c r="D15" s="2448" t="s">
        <v>1331</v>
      </c>
      <c r="E15" s="2448"/>
      <c r="F15" s="2448"/>
    </row>
    <row r="16" spans="1:7" ht="13.5" customHeight="1" x14ac:dyDescent="0.2">
      <c r="A16" s="1282"/>
      <c r="B16" s="1276" t="s">
        <v>1330</v>
      </c>
      <c r="C16" s="1861" t="s">
        <v>1329</v>
      </c>
      <c r="D16" s="2449" t="s">
        <v>1670</v>
      </c>
      <c r="E16" s="2449"/>
      <c r="F16" s="2449"/>
    </row>
    <row r="17" spans="1:6" ht="20.45" customHeight="1" x14ac:dyDescent="0.2">
      <c r="A17" s="1283"/>
      <c r="B17" s="1284"/>
      <c r="C17" s="1285"/>
      <c r="D17" s="2443"/>
      <c r="E17" s="2443"/>
      <c r="F17" s="2443"/>
    </row>
    <row r="18" spans="1:6" ht="20.65" customHeight="1" x14ac:dyDescent="0.2">
      <c r="A18" s="1283"/>
      <c r="B18" s="1284"/>
      <c r="C18" s="1285"/>
      <c r="D18" s="2443"/>
      <c r="E18" s="2443"/>
      <c r="F18" s="2443"/>
    </row>
    <row r="19" spans="1:6" ht="20.65" customHeight="1" x14ac:dyDescent="0.2">
      <c r="A19" s="1283"/>
      <c r="B19" s="1284"/>
      <c r="C19" s="1285"/>
      <c r="D19" s="2443"/>
      <c r="E19" s="2443"/>
      <c r="F19" s="2443"/>
    </row>
    <row r="20" spans="1:6" ht="20.65" customHeight="1" x14ac:dyDescent="0.2">
      <c r="A20" s="1283"/>
      <c r="B20" s="1284"/>
      <c r="C20" s="1285"/>
      <c r="D20" s="2443"/>
      <c r="E20" s="2443"/>
      <c r="F20" s="2443"/>
    </row>
    <row r="21" spans="1:6" ht="20.65" customHeight="1" x14ac:dyDescent="0.2">
      <c r="A21" s="1283"/>
      <c r="B21" s="1284"/>
      <c r="C21" s="1285"/>
      <c r="D21" s="2443"/>
      <c r="E21" s="2443"/>
      <c r="F21" s="2443"/>
    </row>
    <row r="22" spans="1:6" ht="20.65" customHeight="1" x14ac:dyDescent="0.2">
      <c r="A22" s="1283"/>
      <c r="B22" s="1284"/>
      <c r="C22" s="1285"/>
      <c r="D22" s="2443"/>
      <c r="E22" s="2443"/>
      <c r="F22" s="2443"/>
    </row>
    <row r="23" spans="1:6" ht="20.65" customHeight="1" x14ac:dyDescent="0.2">
      <c r="A23" s="1283"/>
      <c r="B23" s="1284"/>
      <c r="C23" s="1285"/>
      <c r="D23" s="2443"/>
      <c r="E23" s="2443"/>
      <c r="F23" s="2443"/>
    </row>
    <row r="24" spans="1:6" ht="20.65" customHeight="1" x14ac:dyDescent="0.2">
      <c r="A24" s="1283"/>
      <c r="B24" s="1284"/>
      <c r="C24" s="1285"/>
      <c r="D24" s="2443"/>
      <c r="E24" s="2443"/>
      <c r="F24" s="2443"/>
    </row>
    <row r="25" spans="1:6" ht="20.65" customHeight="1" x14ac:dyDescent="0.2">
      <c r="A25" s="1283"/>
      <c r="B25" s="1284"/>
      <c r="C25" s="1285"/>
      <c r="D25" s="2443"/>
      <c r="E25" s="2443"/>
      <c r="F25" s="2443"/>
    </row>
    <row r="26" spans="1:6" ht="20.65" customHeight="1" x14ac:dyDescent="0.2">
      <c r="A26" s="1283"/>
      <c r="B26" s="1284"/>
      <c r="C26" s="1285"/>
      <c r="D26" s="2443"/>
      <c r="E26" s="2443"/>
      <c r="F26" s="2443"/>
    </row>
    <row r="27" spans="1:6" ht="20.65" customHeight="1" x14ac:dyDescent="0.2">
      <c r="A27" s="1283"/>
      <c r="B27" s="1284"/>
      <c r="C27" s="1285"/>
      <c r="D27" s="2443"/>
      <c r="E27" s="2443"/>
      <c r="F27" s="2443"/>
    </row>
    <row r="28" spans="1:6" ht="20.65" customHeight="1" x14ac:dyDescent="0.2">
      <c r="A28" s="1283"/>
      <c r="B28" s="1284"/>
      <c r="C28" s="1285"/>
      <c r="D28" s="2443"/>
      <c r="E28" s="2443"/>
      <c r="F28" s="2443"/>
    </row>
    <row r="29" spans="1:6" ht="20.65" customHeight="1" x14ac:dyDescent="0.2">
      <c r="A29" s="1283"/>
      <c r="B29" s="1284"/>
      <c r="C29" s="1285"/>
      <c r="D29" s="2443"/>
      <c r="E29" s="2443"/>
      <c r="F29" s="2443"/>
    </row>
    <row r="30" spans="1:6" ht="12" customHeight="1" x14ac:dyDescent="0.2">
      <c r="A30" s="328"/>
      <c r="B30" s="328"/>
      <c r="C30" s="1478"/>
      <c r="D30" s="1918"/>
      <c r="E30" s="1286"/>
    </row>
    <row r="31" spans="1:6" ht="12" customHeight="1" x14ac:dyDescent="0.2">
      <c r="A31" s="1287" t="s">
        <v>1630</v>
      </c>
      <c r="B31" s="328"/>
      <c r="C31" s="1478"/>
      <c r="D31" s="1918"/>
      <c r="E31" s="1286"/>
    </row>
    <row r="32" spans="1:6" ht="30" customHeight="1" x14ac:dyDescent="0.2">
      <c r="A32" s="2444" t="s">
        <v>1835</v>
      </c>
      <c r="B32" s="2444"/>
      <c r="C32" s="2444"/>
      <c r="D32" s="2444"/>
      <c r="E32" s="2444"/>
      <c r="F32" s="2444"/>
    </row>
    <row r="33" spans="1:6" ht="13.5" customHeight="1" x14ac:dyDescent="0.2">
      <c r="A33" s="328" t="s">
        <v>1509</v>
      </c>
      <c r="B33" s="328"/>
      <c r="C33" s="1288">
        <v>0</v>
      </c>
      <c r="D33" s="1918"/>
      <c r="E33" s="1286"/>
    </row>
    <row r="34" spans="1:6" ht="13.5" customHeight="1" x14ac:dyDescent="0.2">
      <c r="A34" s="328" t="s">
        <v>1949</v>
      </c>
      <c r="B34" s="328"/>
      <c r="C34" s="1289">
        <v>0</v>
      </c>
      <c r="D34" s="1918" t="s">
        <v>1671</v>
      </c>
      <c r="E34" s="2445">
        <f>+C33+C34</f>
        <v>0</v>
      </c>
      <c r="F34" s="2446"/>
    </row>
    <row r="35" spans="1:6" ht="12" customHeight="1" x14ac:dyDescent="0.2">
      <c r="A35" s="328"/>
      <c r="B35" s="328"/>
      <c r="C35" s="1919"/>
      <c r="D35" s="1918"/>
      <c r="E35" s="1290"/>
      <c r="F35" s="1291"/>
    </row>
    <row r="36" spans="1:6" ht="13.5" customHeight="1" x14ac:dyDescent="0.2">
      <c r="A36" s="1287" t="s">
        <v>1631</v>
      </c>
      <c r="B36" s="328"/>
      <c r="C36" s="1478"/>
      <c r="D36" s="1918"/>
      <c r="E36" s="1286"/>
    </row>
    <row r="37" spans="1:6" ht="14.25" customHeight="1" x14ac:dyDescent="0.2">
      <c r="A37" s="328" t="s">
        <v>1563</v>
      </c>
      <c r="B37" s="328"/>
      <c r="C37" s="1920"/>
      <c r="D37" s="1918"/>
      <c r="E37" s="1286"/>
    </row>
    <row r="38" spans="1:6" ht="14.25" customHeight="1" x14ac:dyDescent="0.2">
      <c r="A38" s="328"/>
      <c r="B38" s="328" t="s">
        <v>1510</v>
      </c>
      <c r="C38" s="1292"/>
      <c r="D38" s="1918"/>
      <c r="E38" s="1286"/>
    </row>
    <row r="39" spans="1:6" ht="14.25" customHeight="1" x14ac:dyDescent="0.2">
      <c r="A39" s="328"/>
      <c r="B39" s="328" t="s">
        <v>1511</v>
      </c>
      <c r="C39" s="1292"/>
      <c r="D39" s="1918"/>
      <c r="E39" s="1286"/>
    </row>
    <row r="40" spans="1:6" ht="14.25" customHeight="1" x14ac:dyDescent="0.2">
      <c r="A40" s="328"/>
      <c r="B40" s="328" t="s">
        <v>1512</v>
      </c>
      <c r="C40" s="1292"/>
      <c r="D40" s="1918"/>
      <c r="E40" s="1286"/>
    </row>
    <row r="41" spans="1:6" ht="14.25" customHeight="1" x14ac:dyDescent="0.2">
      <c r="A41" s="328"/>
      <c r="B41" s="328" t="s">
        <v>1513</v>
      </c>
      <c r="C41" s="1292"/>
      <c r="D41" s="1918"/>
      <c r="E41" s="1286"/>
    </row>
    <row r="42" spans="1:6" ht="14.25" customHeight="1" x14ac:dyDescent="0.2">
      <c r="A42" s="328" t="s">
        <v>1514</v>
      </c>
      <c r="B42" s="328"/>
      <c r="C42" s="1916"/>
      <c r="D42" s="1918"/>
      <c r="E42" s="1286"/>
    </row>
    <row r="43" spans="1:6" ht="14.25" customHeight="1" x14ac:dyDescent="0.2">
      <c r="A43" s="328" t="s">
        <v>1515</v>
      </c>
      <c r="B43" s="328"/>
      <c r="C43" s="1293"/>
      <c r="D43" s="1918"/>
      <c r="E43" s="1286"/>
    </row>
    <row r="44" spans="1:6" ht="14.25" customHeight="1" x14ac:dyDescent="0.2">
      <c r="A44" s="328"/>
      <c r="B44" s="328"/>
      <c r="C44" s="1920" t="s">
        <v>1516</v>
      </c>
      <c r="D44" s="191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47" t="s">
        <v>1672</v>
      </c>
      <c r="C49" s="2447"/>
      <c r="D49" s="2447"/>
      <c r="E49" s="1399"/>
    </row>
    <row r="50" spans="1:5" s="1300" customFormat="1" ht="3.75" customHeight="1" x14ac:dyDescent="0.2">
      <c r="A50" s="1299"/>
      <c r="B50" s="1860"/>
      <c r="C50" s="1860"/>
      <c r="D50" s="1860"/>
      <c r="E50" s="1399"/>
    </row>
    <row r="51" spans="1:5" s="1300" customFormat="1" ht="20.25" customHeight="1" x14ac:dyDescent="0.2">
      <c r="A51" s="1301">
        <v>6</v>
      </c>
      <c r="B51" s="2442" t="s">
        <v>1632</v>
      </c>
      <c r="C51" s="2442"/>
      <c r="D51" s="2442"/>
    </row>
    <row r="52" spans="1:5" ht="14.25" customHeight="1" x14ac:dyDescent="0.2">
      <c r="A52" s="1301"/>
      <c r="B52" s="2442"/>
      <c r="C52" s="2442"/>
      <c r="D52" s="244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26" sqref="K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1" t="str">
        <f>'Single Audit Cover'!A7</f>
        <v>Edwards County CUSD 1</v>
      </c>
      <c r="C1" s="2455"/>
      <c r="D1" s="2455"/>
      <c r="E1" s="2455"/>
      <c r="F1" s="2455"/>
      <c r="G1" s="2455"/>
      <c r="H1" s="2455"/>
      <c r="I1" s="2455"/>
      <c r="J1" s="2455"/>
      <c r="K1" s="2455"/>
      <c r="L1" s="2455"/>
      <c r="M1" s="2455"/>
    </row>
    <row r="2" spans="2:14" ht="15" x14ac:dyDescent="0.2">
      <c r="B2" s="2452">
        <f>'Single Audit Cover'!E7</f>
        <v>20024001026</v>
      </c>
      <c r="C2" s="2452"/>
      <c r="D2" s="2452"/>
      <c r="E2" s="2452"/>
      <c r="F2" s="2452"/>
      <c r="G2" s="2452"/>
      <c r="H2" s="2452"/>
      <c r="I2" s="2452"/>
      <c r="J2" s="2452"/>
      <c r="K2" s="2452"/>
      <c r="L2" s="2452"/>
      <c r="M2" s="2452"/>
      <c r="N2" s="1302"/>
    </row>
    <row r="3" spans="2:14" ht="15" x14ac:dyDescent="0.2">
      <c r="B3" s="2456" t="s">
        <v>1281</v>
      </c>
      <c r="C3" s="2456"/>
      <c r="D3" s="2456"/>
      <c r="E3" s="2456"/>
      <c r="F3" s="2456"/>
      <c r="G3" s="2456"/>
      <c r="H3" s="2456"/>
      <c r="I3" s="2456"/>
      <c r="J3" s="2456"/>
      <c r="K3" s="2456"/>
      <c r="L3" s="2456"/>
      <c r="M3" s="2456"/>
      <c r="N3" s="1302"/>
    </row>
    <row r="4" spans="2:14" ht="15" x14ac:dyDescent="0.2">
      <c r="B4" s="2457" t="str">
        <f>'Single Audit Cover'!A4</f>
        <v>Year Ending June 30, 2018</v>
      </c>
      <c r="C4" s="2457"/>
      <c r="D4" s="2457"/>
      <c r="E4" s="2457"/>
      <c r="F4" s="2457"/>
      <c r="G4" s="2457"/>
      <c r="H4" s="2457"/>
      <c r="I4" s="2457"/>
      <c r="J4" s="2457"/>
      <c r="K4" s="2457"/>
      <c r="L4" s="2457"/>
      <c r="M4" s="245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2"/>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1230</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7" t="s">
        <v>1731</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7" t="s">
        <v>331</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t="s">
        <v>2123</v>
      </c>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1390</v>
      </c>
      <c r="B70" s="2080"/>
      <c r="C70" s="2080"/>
      <c r="D70" s="2080"/>
      <c r="E70" s="2081"/>
      <c r="F70" s="2081"/>
      <c r="G70" s="2081"/>
      <c r="H70" s="2081"/>
      <c r="I70" s="208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3"/>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1387</v>
      </c>
      <c r="B83" s="2082"/>
      <c r="C83" s="2082"/>
      <c r="D83" s="208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2081</v>
      </c>
      <c r="D114" s="207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1397</v>
      </c>
      <c r="D117" s="2075"/>
      <c r="E117" s="2076"/>
      <c r="F117" s="2076"/>
      <c r="G117" s="2076"/>
      <c r="H117" s="2076"/>
      <c r="I117" s="304"/>
    </row>
    <row r="118" spans="1:9" s="181" customFormat="1" ht="24" customHeight="1" x14ac:dyDescent="0.2">
      <c r="A118" s="316"/>
      <c r="B118" s="316"/>
      <c r="C118" s="316"/>
      <c r="D118" s="323"/>
      <c r="E118" s="322"/>
      <c r="F118" s="324"/>
      <c r="G118" s="1855"/>
      <c r="H118" s="322"/>
      <c r="I118" s="304"/>
    </row>
    <row r="119" spans="1:9" s="181" customFormat="1" ht="11.25" customHeight="1" x14ac:dyDescent="0.2">
      <c r="A119" s="325"/>
      <c r="B119" s="325"/>
      <c r="C119" s="326"/>
      <c r="D119" s="327" t="s">
        <v>379</v>
      </c>
      <c r="E119" s="310"/>
      <c r="F119" s="1854"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K26" sqref="K26"/>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Edwards County CUSD 1</v>
      </c>
      <c r="C1" s="2470"/>
      <c r="D1" s="2470"/>
      <c r="E1" s="2470"/>
      <c r="F1" s="2470"/>
      <c r="G1" s="2470"/>
      <c r="H1" s="2470"/>
      <c r="I1" s="2470"/>
      <c r="J1" s="1422"/>
    </row>
    <row r="2" spans="2:10" s="317" customFormat="1" ht="12.75" customHeight="1" x14ac:dyDescent="0.2">
      <c r="B2" s="2471">
        <f>'Single Audit Cover'!E7</f>
        <v>20024001026</v>
      </c>
      <c r="C2" s="2472"/>
      <c r="D2" s="2472"/>
      <c r="E2" s="2472"/>
      <c r="F2" s="2472"/>
      <c r="G2" s="2472"/>
      <c r="H2" s="2472"/>
      <c r="I2" s="2472"/>
      <c r="J2" s="1422"/>
    </row>
    <row r="3" spans="2:10" s="317" customFormat="1" ht="12.75" customHeight="1" x14ac:dyDescent="0.2">
      <c r="B3" s="2473" t="s">
        <v>1347</v>
      </c>
      <c r="C3" s="2474"/>
      <c r="D3" s="2474"/>
      <c r="E3" s="2474"/>
      <c r="F3" s="2474"/>
      <c r="G3" s="2474"/>
      <c r="H3" s="2474"/>
      <c r="I3" s="2474"/>
      <c r="J3" s="1423"/>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3" t="s">
        <v>1346</v>
      </c>
      <c r="C7" s="2474"/>
      <c r="D7" s="2474"/>
      <c r="E7" s="2474"/>
      <c r="F7" s="2474"/>
      <c r="G7" s="2474"/>
      <c r="H7" s="2474"/>
      <c r="I7" s="247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5" t="s">
        <v>1226</v>
      </c>
      <c r="D11" s="247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2077</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6" t="s">
        <v>2117</v>
      </c>
      <c r="E29" s="2476"/>
      <c r="F29" s="2476"/>
      <c r="G29" s="2476"/>
      <c r="H29" s="2476"/>
      <c r="I29" s="247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2077</v>
      </c>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7" t="s">
        <v>1854</v>
      </c>
      <c r="D37" s="2478"/>
      <c r="E37" s="2478"/>
      <c r="F37" s="2479"/>
      <c r="G37" s="2477" t="s">
        <v>1674</v>
      </c>
      <c r="H37" s="2478"/>
      <c r="I37" s="2479"/>
    </row>
    <row r="38" spans="2:9" ht="16.5" customHeight="1" x14ac:dyDescent="0.2">
      <c r="B38" s="1444"/>
      <c r="C38" s="2465"/>
      <c r="D38" s="2466"/>
      <c r="E38" s="2466"/>
      <c r="F38" s="2467"/>
      <c r="G38" s="2480"/>
      <c r="H38" s="2481"/>
      <c r="I38" s="2482"/>
    </row>
    <row r="39" spans="2:9" ht="16.5" customHeight="1" x14ac:dyDescent="0.2">
      <c r="B39" s="1444" t="s">
        <v>2117</v>
      </c>
      <c r="C39" s="2465"/>
      <c r="D39" s="2466"/>
      <c r="E39" s="2466"/>
      <c r="F39" s="2467"/>
      <c r="G39" s="2468"/>
      <c r="H39" s="2468"/>
      <c r="I39" s="2468"/>
    </row>
    <row r="40" spans="2:9" ht="16.5" customHeight="1" x14ac:dyDescent="0.2">
      <c r="B40" s="1444"/>
      <c r="C40" s="2465"/>
      <c r="D40" s="2466"/>
      <c r="E40" s="2466"/>
      <c r="F40" s="2467"/>
      <c r="G40" s="2468"/>
      <c r="H40" s="2468"/>
      <c r="I40" s="2468"/>
    </row>
    <row r="41" spans="2:9" ht="16.5" customHeight="1" x14ac:dyDescent="0.2">
      <c r="B41" s="1444"/>
      <c r="C41" s="2465"/>
      <c r="D41" s="2466"/>
      <c r="E41" s="2466"/>
      <c r="F41" s="2467"/>
      <c r="G41" s="2468"/>
      <c r="H41" s="2468"/>
      <c r="I41" s="2468"/>
    </row>
    <row r="42" spans="2:9" ht="16.5" customHeight="1" x14ac:dyDescent="0.2">
      <c r="B42" s="1444"/>
      <c r="C42" s="2465"/>
      <c r="D42" s="2466"/>
      <c r="E42" s="2466"/>
      <c r="F42" s="2467"/>
      <c r="G42" s="2468"/>
      <c r="H42" s="2468"/>
      <c r="I42" s="2468"/>
    </row>
    <row r="43" spans="2:9" ht="16.5" customHeight="1" x14ac:dyDescent="0.2">
      <c r="B43" s="1444"/>
      <c r="C43" s="2458" t="s">
        <v>1675</v>
      </c>
      <c r="D43" s="2459"/>
      <c r="E43" s="2459"/>
      <c r="F43" s="2460"/>
      <c r="G43" s="2461">
        <f>SUM(G38:I42)</f>
        <v>0</v>
      </c>
      <c r="H43" s="2461"/>
      <c r="I43" s="2461"/>
    </row>
    <row r="44" spans="2:9" ht="12.75" customHeight="1" x14ac:dyDescent="0.2"/>
    <row r="45" spans="2:9" ht="12.75" customHeight="1" x14ac:dyDescent="0.2">
      <c r="B45" s="1435" t="s">
        <v>1952</v>
      </c>
      <c r="D45" s="2462">
        <v>443288</v>
      </c>
      <c r="E45" s="2463"/>
    </row>
    <row r="46" spans="2:9" ht="5.25" customHeight="1" x14ac:dyDescent="0.2">
      <c r="B46" s="1445"/>
      <c r="D46" s="1446"/>
      <c r="E46" s="1447"/>
    </row>
    <row r="47" spans="2:9" ht="12.75" customHeight="1" x14ac:dyDescent="0.2">
      <c r="B47" s="1300" t="s">
        <v>1676</v>
      </c>
      <c r="C47" s="1300"/>
      <c r="D47" s="1448">
        <f>+G43/D45</f>
        <v>0</v>
      </c>
      <c r="E47" s="1449"/>
      <c r="F47" s="1450"/>
      <c r="I47" s="1451"/>
    </row>
    <row r="48" spans="2:9" ht="9.9499999999999993" customHeight="1" x14ac:dyDescent="0.2"/>
    <row r="49" spans="1:9" x14ac:dyDescent="0.2">
      <c r="B49" s="1368" t="s">
        <v>1335</v>
      </c>
      <c r="C49" s="1282"/>
      <c r="D49" s="1282"/>
      <c r="E49" s="2464" t="s">
        <v>2117</v>
      </c>
      <c r="F49" s="2464"/>
      <c r="G49" s="246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K26" sqref="K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Edwards County CUSD 1</v>
      </c>
      <c r="C1" s="2469"/>
      <c r="D1" s="2469"/>
      <c r="E1" s="2469"/>
      <c r="F1" s="2469"/>
      <c r="G1" s="2469"/>
      <c r="H1" s="2469"/>
      <c r="I1" s="2469"/>
      <c r="J1" s="2469"/>
      <c r="K1" s="2469"/>
      <c r="L1" s="1374"/>
      <c r="M1" s="1374"/>
    </row>
    <row r="2" spans="1:13" ht="12" customHeight="1" x14ac:dyDescent="0.2">
      <c r="B2" s="2471">
        <f>'Single Audit Cover'!E7</f>
        <v>20024001026</v>
      </c>
      <c r="C2" s="2471"/>
      <c r="D2" s="2471"/>
      <c r="E2" s="2471"/>
      <c r="F2" s="2471"/>
      <c r="G2" s="2471"/>
      <c r="H2" s="2471"/>
      <c r="I2" s="2471"/>
      <c r="J2" s="2471"/>
      <c r="K2" s="2471"/>
      <c r="L2" s="1375"/>
      <c r="M2" s="1376"/>
    </row>
    <row r="3" spans="1:13" ht="10.35" customHeight="1" x14ac:dyDescent="0.2">
      <c r="B3" s="2485" t="s">
        <v>1347</v>
      </c>
      <c r="C3" s="2485"/>
      <c r="D3" s="2485"/>
      <c r="E3" s="2485"/>
      <c r="F3" s="2485"/>
      <c r="G3" s="2485"/>
      <c r="H3" s="2485"/>
      <c r="I3" s="2485"/>
      <c r="J3" s="2485"/>
      <c r="K3" s="2485"/>
      <c r="L3" s="1377"/>
      <c r="M3" s="1377"/>
    </row>
    <row r="4" spans="1:13" ht="14.25" customHeight="1" x14ac:dyDescent="0.2">
      <c r="B4" s="2486" t="str">
        <f>'Single Audit Cover'!A4</f>
        <v>Year Ending June 30, 2018</v>
      </c>
      <c r="C4" s="2486"/>
      <c r="D4" s="2486"/>
      <c r="E4" s="2486"/>
      <c r="F4" s="2486"/>
      <c r="G4" s="2486"/>
      <c r="H4" s="2486"/>
      <c r="I4" s="2486"/>
      <c r="J4" s="2486"/>
      <c r="K4" s="248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86" t="s">
        <v>1363</v>
      </c>
      <c r="C7" s="2486"/>
      <c r="D7" s="2487"/>
      <c r="E7" s="2487"/>
      <c r="F7" s="2487"/>
      <c r="G7" s="2487"/>
      <c r="H7" s="2487"/>
      <c r="I7" s="2487"/>
      <c r="J7" s="2487"/>
      <c r="K7" s="248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2010</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4" t="s">
        <v>2118</v>
      </c>
      <c r="C14" s="2484"/>
      <c r="D14" s="2484"/>
      <c r="E14" s="2484"/>
      <c r="F14" s="2484"/>
      <c r="G14" s="2484"/>
      <c r="H14" s="2484"/>
      <c r="I14" s="2484"/>
      <c r="J14" s="2484"/>
      <c r="K14" s="248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4" t="s">
        <v>2145</v>
      </c>
      <c r="C17" s="2484"/>
      <c r="D17" s="2484"/>
      <c r="E17" s="2484"/>
      <c r="F17" s="2484"/>
      <c r="G17" s="2484"/>
      <c r="H17" s="2484"/>
      <c r="I17" s="2484"/>
      <c r="J17" s="2484"/>
      <c r="K17" s="248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88" t="s">
        <v>2146</v>
      </c>
      <c r="C20" s="2488"/>
      <c r="D20" s="2484"/>
      <c r="E20" s="2484"/>
      <c r="F20" s="2484"/>
      <c r="G20" s="2484"/>
      <c r="H20" s="2484"/>
      <c r="I20" s="2484"/>
      <c r="J20" s="2484"/>
      <c r="K20" s="248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4" t="s">
        <v>2147</v>
      </c>
      <c r="C23" s="2484"/>
      <c r="D23" s="2484"/>
      <c r="E23" s="2484"/>
      <c r="F23" s="2484"/>
      <c r="G23" s="2484"/>
      <c r="H23" s="2484"/>
      <c r="I23" s="2484"/>
      <c r="J23" s="2484"/>
      <c r="K23" s="248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4" t="s">
        <v>2119</v>
      </c>
      <c r="C26" s="2484"/>
      <c r="D26" s="2484"/>
      <c r="E26" s="2484"/>
      <c r="F26" s="2484"/>
      <c r="G26" s="2484"/>
      <c r="H26" s="2484"/>
      <c r="I26" s="2484"/>
      <c r="J26" s="2484"/>
      <c r="K26" s="248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3" t="s">
        <v>2120</v>
      </c>
      <c r="C29" s="2483"/>
      <c r="D29" s="2484"/>
      <c r="E29" s="2484"/>
      <c r="F29" s="2484"/>
      <c r="G29" s="2484"/>
      <c r="H29" s="2484"/>
      <c r="I29" s="2484"/>
      <c r="J29" s="2484"/>
      <c r="K29" s="248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3" t="s">
        <v>2121</v>
      </c>
      <c r="C32" s="2483"/>
      <c r="D32" s="2484"/>
      <c r="E32" s="2484"/>
      <c r="F32" s="2484"/>
      <c r="G32" s="2484"/>
      <c r="H32" s="2484"/>
      <c r="I32" s="2484"/>
      <c r="J32" s="2484"/>
      <c r="K32" s="248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K26" sqref="K2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Edwards County CUSD 1</v>
      </c>
      <c r="C1" s="2492"/>
      <c r="D1" s="2492"/>
      <c r="E1" s="2492"/>
      <c r="F1" s="2492"/>
      <c r="G1" s="2492"/>
      <c r="H1" s="2492"/>
      <c r="I1" s="2492"/>
      <c r="J1" s="2492"/>
      <c r="K1" s="2492"/>
      <c r="L1" s="1465"/>
    </row>
    <row r="2" spans="1:12" ht="12.75" customHeight="1" x14ac:dyDescent="0.2">
      <c r="B2" s="2493">
        <f>'Single Audit Cover'!E7</f>
        <v>20024001026</v>
      </c>
      <c r="C2" s="2493"/>
      <c r="D2" s="2493"/>
      <c r="E2" s="2493"/>
      <c r="F2" s="2493"/>
      <c r="G2" s="2493"/>
      <c r="H2" s="2493"/>
      <c r="I2" s="2493"/>
      <c r="J2" s="2493"/>
      <c r="K2" s="2493"/>
      <c r="L2" s="1466"/>
    </row>
    <row r="3" spans="1:12" ht="12.75" customHeight="1" x14ac:dyDescent="0.2">
      <c r="B3" s="2485" t="s">
        <v>1347</v>
      </c>
      <c r="C3" s="2485"/>
      <c r="D3" s="2485"/>
      <c r="E3" s="2485"/>
      <c r="F3" s="2485"/>
      <c r="G3" s="2485"/>
      <c r="H3" s="2485"/>
      <c r="I3" s="2485"/>
      <c r="J3" s="2485"/>
      <c r="K3" s="2485"/>
      <c r="L3" s="1377"/>
    </row>
    <row r="4" spans="1:12" ht="12.75" customHeight="1" x14ac:dyDescent="0.2">
      <c r="B4" s="2485" t="str">
        <f>'Single Audit Cover'!A4</f>
        <v>Year Ending June 30, 2018</v>
      </c>
      <c r="C4" s="2485"/>
      <c r="D4" s="2485"/>
      <c r="E4" s="2485"/>
      <c r="F4" s="2485"/>
      <c r="G4" s="2485"/>
      <c r="H4" s="2485"/>
      <c r="I4" s="2485"/>
      <c r="J4" s="2485"/>
      <c r="K4" s="2485"/>
      <c r="L4" s="1377"/>
    </row>
    <row r="5" spans="1:12" ht="5.25" customHeight="1" x14ac:dyDescent="0.2">
      <c r="B5" s="1260" t="s">
        <v>1231</v>
      </c>
      <c r="C5" s="1260"/>
      <c r="L5" s="322"/>
    </row>
    <row r="6" spans="1:12" ht="30.75" customHeight="1" x14ac:dyDescent="0.2">
      <c r="A6" s="322"/>
      <c r="B6" s="2494" t="s">
        <v>1375</v>
      </c>
      <c r="C6" s="2494"/>
      <c r="D6" s="2494"/>
      <c r="E6" s="2494"/>
      <c r="F6" s="2494"/>
      <c r="G6" s="2494"/>
      <c r="H6" s="2494"/>
      <c r="I6" s="2494"/>
      <c r="J6" s="2494"/>
      <c r="K6" s="249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6"/>
      <c r="G12" s="2476"/>
      <c r="H12" s="2476"/>
      <c r="I12" s="2476"/>
      <c r="J12" s="2476"/>
      <c r="K12" s="247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89"/>
      <c r="E14" s="2489"/>
      <c r="F14" s="2489"/>
      <c r="H14" s="1475" t="s">
        <v>1370</v>
      </c>
      <c r="I14" s="2490"/>
      <c r="J14" s="2490"/>
      <c r="K14" s="249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0"/>
      <c r="E16" s="2490"/>
      <c r="F16" s="2490"/>
      <c r="G16" s="2490"/>
      <c r="H16" s="2490"/>
      <c r="I16" s="2490"/>
      <c r="J16" s="2490"/>
      <c r="K16" s="2490"/>
      <c r="L16" s="322"/>
    </row>
    <row r="17" spans="2:12" ht="13.5" customHeight="1" x14ac:dyDescent="0.2">
      <c r="B17" s="1387" t="s">
        <v>1368</v>
      </c>
      <c r="C17" s="1387"/>
      <c r="D17" s="2491"/>
      <c r="E17" s="2491"/>
      <c r="F17" s="2491"/>
      <c r="G17" s="2491"/>
      <c r="H17" s="2491"/>
      <c r="I17" s="2491"/>
      <c r="J17" s="2491"/>
      <c r="K17" s="249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84"/>
      <c r="C20" s="2484"/>
      <c r="D20" s="2484"/>
      <c r="E20" s="2484"/>
      <c r="F20" s="2484"/>
      <c r="G20" s="2484"/>
      <c r="H20" s="2484"/>
      <c r="I20" s="2484"/>
      <c r="J20" s="2484"/>
      <c r="K20" s="248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K26" sqref="K2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9" t="str">
        <f>'Single Audit Cover'!A7</f>
        <v>Edwards County CUSD 1</v>
      </c>
      <c r="C1" s="2469"/>
      <c r="D1" s="2469"/>
      <c r="E1" s="1491"/>
    </row>
    <row r="2" spans="2:5" s="1282" customFormat="1" ht="12.75" customHeight="1" x14ac:dyDescent="0.2">
      <c r="B2" s="2471">
        <f>'Single Audit Cover'!E7</f>
        <v>20024001026</v>
      </c>
      <c r="C2" s="2471"/>
      <c r="D2" s="2471"/>
      <c r="E2" s="1492"/>
    </row>
    <row r="3" spans="2:5" ht="12.75" customHeight="1" x14ac:dyDescent="0.2">
      <c r="B3" s="2485" t="s">
        <v>1869</v>
      </c>
      <c r="C3" s="2485"/>
      <c r="D3" s="2485"/>
      <c r="E3" s="1274"/>
    </row>
    <row r="4" spans="2:5" s="1282" customFormat="1" ht="12.75" customHeight="1" x14ac:dyDescent="0.2">
      <c r="B4" s="2495" t="str">
        <f>'Single Audit Cover'!A4</f>
        <v>Year Ending June 30, 2018</v>
      </c>
      <c r="C4" s="2495"/>
      <c r="D4" s="249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t="s">
        <v>2112</v>
      </c>
      <c r="D7" s="324"/>
      <c r="E7" s="324"/>
    </row>
    <row r="8" spans="2:5" ht="13.5" customHeight="1" x14ac:dyDescent="0.2">
      <c r="B8" s="1496"/>
      <c r="C8" s="324" t="s">
        <v>2113</v>
      </c>
      <c r="D8" s="324"/>
      <c r="E8" s="324"/>
    </row>
    <row r="9" spans="2:5" ht="13.5" customHeight="1" x14ac:dyDescent="0.2">
      <c r="B9" s="1497"/>
      <c r="C9" s="323" t="s">
        <v>2114</v>
      </c>
      <c r="D9" s="323"/>
      <c r="E9" s="323"/>
    </row>
    <row r="10" spans="2:5" ht="13.5" customHeight="1" x14ac:dyDescent="0.2">
      <c r="B10" s="1496" t="s">
        <v>2116</v>
      </c>
      <c r="C10" s="323" t="s">
        <v>2115</v>
      </c>
      <c r="D10" s="323" t="s">
        <v>2122</v>
      </c>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404</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77243183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47">
        <f>ROUND(D10+F10+H10,5)</f>
        <v>2.5399999999999999E-2</v>
      </c>
      <c r="K10" s="222"/>
      <c r="L10" s="355">
        <v>5.0000000000000001E-4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8">
        <f>SUM('Acct Summary 7-8'!C8,'Acct Summary 7-8'!D8,'Acct Summary 7-8'!F8,'Acct Summary 7-8'!I8)</f>
        <v>7932701</v>
      </c>
      <c r="E16" s="356"/>
      <c r="F16" s="1748">
        <f>SUM('Acct Summary 7-8'!C17,'Acct Summary 7-8'!D17,'Acct Summary 7-8'!F17)</f>
        <v>7536676</v>
      </c>
      <c r="G16" s="356"/>
      <c r="H16" s="1748">
        <f>SUM(D16-F16)</f>
        <v>396025</v>
      </c>
      <c r="I16" s="222"/>
      <c r="J16" s="1748">
        <f>SUM('Acct Summary 7-8'!C81,'Acct Summary 7-8'!D81,'Acct Summary 7-8'!F81,'Acct Summary 7-8'!I81)</f>
        <v>2577501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8">
        <f>'Short-Term Long-Term Debt 24'!F4</f>
        <v>0</v>
      </c>
      <c r="E22" s="356" t="s">
        <v>1062</v>
      </c>
      <c r="F22" s="1748">
        <f>'Short-Term Long-Term Debt 24'!F15</f>
        <v>0</v>
      </c>
      <c r="G22" s="356" t="s">
        <v>1062</v>
      </c>
      <c r="H22" s="1748">
        <f>'Short-Term Long-Term Debt 24'!F21</f>
        <v>0</v>
      </c>
      <c r="I22" s="356" t="s">
        <v>1062</v>
      </c>
      <c r="J22" s="1748">
        <f>'Short-Term Long-Term Debt 24'!F23</f>
        <v>0</v>
      </c>
      <c r="K22" s="356" t="s">
        <v>1062</v>
      </c>
      <c r="L22" s="174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1063</v>
      </c>
      <c r="F24" s="174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0">
        <f>IF(B31="X",(J7*0.069),IF(B32="X",(J7*0.138),"Enter x in a.or b."))</f>
        <v>10659559.254000001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9">
        <f>'Assets-Liab 5-6'!N36</f>
        <v>1388907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A2" sqref="A2:F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577</v>
      </c>
      <c r="B2" s="2112"/>
      <c r="C2" s="2112"/>
      <c r="D2" s="2112"/>
      <c r="E2" s="2112"/>
      <c r="F2" s="2112"/>
      <c r="G2" s="2112"/>
      <c r="H2" s="2112"/>
      <c r="I2" s="2112"/>
      <c r="J2" s="2112"/>
      <c r="K2" s="2112"/>
      <c r="L2" s="2112"/>
      <c r="M2" s="2112"/>
      <c r="N2" s="2112"/>
      <c r="O2" s="2112"/>
      <c r="P2" s="2112"/>
      <c r="Q2" s="2112"/>
      <c r="R2" s="2112"/>
    </row>
    <row r="3" spans="1:18" ht="12.75" x14ac:dyDescent="0.2">
      <c r="A3" s="2113" t="s">
        <v>1480</v>
      </c>
      <c r="B3" s="2113"/>
      <c r="C3" s="2113"/>
      <c r="D3" s="2113"/>
      <c r="E3" s="2113"/>
      <c r="F3" s="2113"/>
      <c r="G3" s="2113"/>
      <c r="H3" s="2113"/>
      <c r="I3" s="2113"/>
      <c r="J3" s="2113"/>
      <c r="K3" s="2113"/>
      <c r="L3" s="2113"/>
      <c r="M3" s="2113"/>
      <c r="N3" s="2113"/>
      <c r="O3" s="2113"/>
      <c r="P3" s="2113"/>
      <c r="Q3" s="2113"/>
      <c r="R3" s="2113"/>
    </row>
    <row r="4" spans="1:18" x14ac:dyDescent="0.2">
      <c r="A4" s="2114" t="s">
        <v>1635</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Edwards County CUSD 1</v>
      </c>
      <c r="E7" s="391"/>
      <c r="G7" s="252"/>
      <c r="H7" s="387"/>
      <c r="I7" s="387"/>
      <c r="J7" s="387"/>
      <c r="K7" s="387"/>
      <c r="L7" s="329"/>
      <c r="M7" s="329"/>
      <c r="N7" s="329"/>
      <c r="O7" s="329"/>
      <c r="P7" s="329"/>
    </row>
    <row r="8" spans="1:18" ht="12.75" x14ac:dyDescent="0.2">
      <c r="A8" s="329"/>
      <c r="B8" s="329"/>
      <c r="C8" s="389" t="s">
        <v>1187</v>
      </c>
      <c r="D8" s="392">
        <f>COVER!A13</f>
        <v>20024001026</v>
      </c>
      <c r="E8" s="393"/>
      <c r="G8" s="329"/>
      <c r="H8" s="329"/>
      <c r="I8" s="329"/>
      <c r="J8" s="329"/>
      <c r="K8" s="329"/>
      <c r="L8" s="329"/>
      <c r="M8" s="329"/>
      <c r="N8" s="329"/>
      <c r="O8" s="329"/>
      <c r="P8" s="329"/>
    </row>
    <row r="9" spans="1:18" ht="12.75" x14ac:dyDescent="0.2">
      <c r="A9" s="329"/>
      <c r="B9" s="329"/>
      <c r="C9" s="389" t="s">
        <v>737</v>
      </c>
      <c r="D9" s="394" t="str">
        <f>COVER!A15</f>
        <v>Edwards, Richland, 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2577501</v>
      </c>
      <c r="I12" s="404"/>
      <c r="J12" s="404"/>
      <c r="K12" s="405">
        <f>TRUNC((H12/H13*100000),5)/100000</f>
        <v>0.32492098209999998</v>
      </c>
      <c r="L12" s="406"/>
      <c r="M12" s="360" t="s">
        <v>1206</v>
      </c>
      <c r="N12" s="360"/>
      <c r="O12" s="407">
        <v>0.35</v>
      </c>
      <c r="P12" s="218"/>
      <c r="Q12" s="218"/>
    </row>
    <row r="13" spans="1:18" s="408" customFormat="1" ht="12.75" x14ac:dyDescent="0.2">
      <c r="A13" s="218"/>
      <c r="B13" s="401"/>
      <c r="C13" s="2110" t="s">
        <v>1391</v>
      </c>
      <c r="D13" s="2111"/>
      <c r="E13" s="218"/>
      <c r="F13" s="409" t="s">
        <v>826</v>
      </c>
      <c r="G13" s="402"/>
      <c r="H13" s="403">
        <f>SUM('Acct Summary 7-8'!C8+'Acct Summary 7-8'!D8+'Acct Summary 7-8'!F8+'Acct Summary 7-8'!I8)+H14</f>
        <v>7932701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7536676</v>
      </c>
      <c r="I17" s="404"/>
      <c r="J17" s="416"/>
      <c r="K17" s="405">
        <f>TRUNC((H17/H18*100000),5)/100000</f>
        <v>0.95007690310000004</v>
      </c>
      <c r="L17" s="406"/>
      <c r="M17" s="417" t="s">
        <v>1233</v>
      </c>
      <c r="O17" s="418" t="str">
        <f>IF(AND(O16="2", J20 &gt; 2),"1",IF(AND(O16 = "1", J20 &gt; 2),"2",IF(AND(O16="1", J20 &gt;1),"1","0")))</f>
        <v>0</v>
      </c>
      <c r="P17" s="218"/>
    </row>
    <row r="18" spans="1:18" s="408" customFormat="1" ht="11.25" x14ac:dyDescent="0.2">
      <c r="A18" s="218"/>
      <c r="B18" s="401"/>
      <c r="C18" s="2110" t="s">
        <v>1384</v>
      </c>
      <c r="D18" s="2111"/>
      <c r="E18" s="218"/>
      <c r="F18" s="419" t="s">
        <v>827</v>
      </c>
      <c r="G18" s="402"/>
      <c r="H18" s="403">
        <f>SUM('Acct Summary 7-8'!C8+'Acct Summary 7-8'!D8+'Acct Summary 7-8'!F8+'Acct Summary 7-8'!I8)+H19</f>
        <v>7932701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07" t="s">
        <v>1479</v>
      </c>
      <c r="D24" s="2107"/>
      <c r="E24" s="218"/>
      <c r="F24" s="218" t="s">
        <v>465</v>
      </c>
      <c r="G24" s="402"/>
      <c r="H24" s="403">
        <f>SUM('Assets-Liab 5-6'!C4+'Assets-Liab 5-6'!D4+'Assets-Liab 5-6'!F4+'Assets-Liab 5-6'!I4+'Assets-Liab 5-6'!C5+'Assets-Liab 5-6'!D5+'Assets-Liab 5-6'!F5+'Assets-Liab 5-6'!I5)</f>
        <v>2577501</v>
      </c>
      <c r="I24" s="422"/>
      <c r="J24" s="422"/>
      <c r="K24" s="423">
        <f>TRUNC(((H24/H25*100000)/100000),2)</f>
        <v>123.11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20935.21111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1667680.32097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1388907</v>
      </c>
      <c r="I32" s="420"/>
      <c r="J32" s="420"/>
      <c r="K32" s="423">
        <f>TRUNC(100-((((H32/H33*100))*100)/100),2)</f>
        <v>86.97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10659559.254000001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F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7" t="s">
        <v>1030</v>
      </c>
      <c r="B3" s="2118"/>
      <c r="C3" s="1581"/>
      <c r="D3" s="1582"/>
      <c r="E3" s="1582"/>
      <c r="F3" s="1582"/>
      <c r="G3" s="1582"/>
      <c r="H3" s="1582"/>
      <c r="I3" s="1582"/>
      <c r="J3" s="1582"/>
      <c r="K3" s="1582"/>
      <c r="L3" s="1582"/>
      <c r="M3" s="1583"/>
      <c r="N3" s="1584"/>
    </row>
    <row r="4" spans="1:14" ht="13.5" customHeight="1" x14ac:dyDescent="0.2">
      <c r="A4" s="463" t="s">
        <v>1750</v>
      </c>
      <c r="B4" s="464"/>
      <c r="C4" s="465">
        <v>994829</v>
      </c>
      <c r="D4" s="466">
        <v>1456</v>
      </c>
      <c r="E4" s="466">
        <v>5736</v>
      </c>
      <c r="F4" s="466">
        <v>1836</v>
      </c>
      <c r="G4" s="466">
        <v>89124</v>
      </c>
      <c r="H4" s="466">
        <v>149956</v>
      </c>
      <c r="I4" s="466">
        <v>267306</v>
      </c>
      <c r="J4" s="467">
        <v>95828</v>
      </c>
      <c r="K4" s="466">
        <v>2574</v>
      </c>
      <c r="L4" s="466">
        <v>197998</v>
      </c>
      <c r="M4" s="468"/>
      <c r="N4" s="469"/>
    </row>
    <row r="5" spans="1:14" x14ac:dyDescent="0.2">
      <c r="A5" s="463" t="s">
        <v>1049</v>
      </c>
      <c r="B5" s="470">
        <v>120</v>
      </c>
      <c r="C5" s="465">
        <v>599574</v>
      </c>
      <c r="D5" s="466"/>
      <c r="E5" s="466">
        <v>322940</v>
      </c>
      <c r="F5" s="466"/>
      <c r="G5" s="466">
        <v>148580</v>
      </c>
      <c r="H5" s="466">
        <v>496</v>
      </c>
      <c r="I5" s="466">
        <v>712500</v>
      </c>
      <c r="J5" s="467">
        <v>208419</v>
      </c>
      <c r="K5" s="471">
        <v>413217</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1" t="s">
        <v>665</v>
      </c>
      <c r="B13" s="1724"/>
      <c r="C13" s="1752">
        <f>SUM(C4:C12)</f>
        <v>1594403</v>
      </c>
      <c r="D13" s="1752">
        <f t="shared" ref="D13:L13" si="0">SUM(D4:D12)</f>
        <v>1456</v>
      </c>
      <c r="E13" s="1752">
        <f t="shared" si="0"/>
        <v>328676</v>
      </c>
      <c r="F13" s="1752">
        <f t="shared" si="0"/>
        <v>1836</v>
      </c>
      <c r="G13" s="1752">
        <f t="shared" si="0"/>
        <v>237704</v>
      </c>
      <c r="H13" s="1752">
        <f t="shared" si="0"/>
        <v>150452</v>
      </c>
      <c r="I13" s="1752">
        <f t="shared" si="0"/>
        <v>979806</v>
      </c>
      <c r="J13" s="1752">
        <f t="shared" si="0"/>
        <v>304247</v>
      </c>
      <c r="K13" s="1752">
        <f t="shared" si="0"/>
        <v>415791</v>
      </c>
      <c r="L13" s="1752">
        <f t="shared" si="0"/>
        <v>197998</v>
      </c>
      <c r="M13" s="468"/>
      <c r="N13" s="469"/>
    </row>
    <row r="14" spans="1:14" ht="18" customHeight="1" thickTop="1" x14ac:dyDescent="0.2">
      <c r="A14" s="2119" t="s">
        <v>149</v>
      </c>
      <c r="B14" s="212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122582</v>
      </c>
      <c r="N16" s="484"/>
    </row>
    <row r="17" spans="1:14" s="485" customFormat="1" ht="12.75" customHeight="1" x14ac:dyDescent="0.2">
      <c r="A17" s="482" t="s">
        <v>1470</v>
      </c>
      <c r="B17" s="483">
        <v>230</v>
      </c>
      <c r="C17" s="477"/>
      <c r="D17" s="477"/>
      <c r="E17" s="477"/>
      <c r="F17" s="477"/>
      <c r="G17" s="477"/>
      <c r="H17" s="477"/>
      <c r="I17" s="477"/>
      <c r="J17" s="477"/>
      <c r="K17" s="477"/>
      <c r="L17" s="477"/>
      <c r="M17" s="467">
        <v>9495991</v>
      </c>
      <c r="N17" s="484"/>
    </row>
    <row r="18" spans="1:14" s="485" customFormat="1" ht="12.75" customHeight="1" x14ac:dyDescent="0.2">
      <c r="A18" s="482" t="s">
        <v>1471</v>
      </c>
      <c r="B18" s="483">
        <v>240</v>
      </c>
      <c r="C18" s="477"/>
      <c r="D18" s="477"/>
      <c r="E18" s="477"/>
      <c r="F18" s="477"/>
      <c r="G18" s="477"/>
      <c r="H18" s="477"/>
      <c r="I18" s="477"/>
      <c r="J18" s="477"/>
      <c r="K18" s="477"/>
      <c r="L18" s="477"/>
      <c r="M18" s="467">
        <v>913431</v>
      </c>
      <c r="N18" s="484"/>
    </row>
    <row r="19" spans="1:14" s="485" customFormat="1" ht="12.75" customHeight="1" x14ac:dyDescent="0.2">
      <c r="A19" s="482" t="s">
        <v>1472</v>
      </c>
      <c r="B19" s="483">
        <v>250</v>
      </c>
      <c r="C19" s="477"/>
      <c r="D19" s="477"/>
      <c r="E19" s="477"/>
      <c r="F19" s="477"/>
      <c r="G19" s="477"/>
      <c r="H19" s="477"/>
      <c r="I19" s="477"/>
      <c r="J19" s="477"/>
      <c r="K19" s="477"/>
      <c r="L19" s="477"/>
      <c r="M19" s="467">
        <v>2457772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328676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1060231</v>
      </c>
    </row>
    <row r="23" spans="1:14" ht="13.5" customHeight="1" thickBot="1" x14ac:dyDescent="0.25">
      <c r="A23" s="1751" t="s">
        <v>664</v>
      </c>
      <c r="B23" s="1756"/>
      <c r="C23" s="468"/>
      <c r="D23" s="468"/>
      <c r="E23" s="468"/>
      <c r="F23" s="468"/>
      <c r="G23" s="468"/>
      <c r="H23" s="468"/>
      <c r="I23" s="468"/>
      <c r="J23" s="468"/>
      <c r="K23" s="468"/>
      <c r="L23" s="468"/>
      <c r="M23" s="1703">
        <f>SUM(M15:M22)</f>
        <v>12989776</v>
      </c>
      <c r="N23" s="1703">
        <f>SUM(N21:N22)</f>
        <v>1388907</v>
      </c>
    </row>
    <row r="24" spans="1:14" ht="18" customHeight="1" thickTop="1" x14ac:dyDescent="0.2">
      <c r="A24" s="2121" t="s">
        <v>619</v>
      </c>
      <c r="B24" s="212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197998</v>
      </c>
      <c r="M33" s="468"/>
      <c r="N33" s="469"/>
    </row>
    <row r="34" spans="1:14" ht="13.5" customHeight="1" thickBot="1" x14ac:dyDescent="0.25">
      <c r="A34" s="1753" t="s">
        <v>675</v>
      </c>
      <c r="B34" s="1754"/>
      <c r="C34" s="1755">
        <f>SUM(C25:C33)</f>
        <v>0</v>
      </c>
      <c r="D34" s="1755">
        <f t="shared" ref="D34:K34" si="1">SUM(D25:D33)</f>
        <v>0</v>
      </c>
      <c r="E34" s="1755">
        <f t="shared" si="1"/>
        <v>0</v>
      </c>
      <c r="F34" s="1755">
        <f t="shared" si="1"/>
        <v>0</v>
      </c>
      <c r="G34" s="1755">
        <f t="shared" si="1"/>
        <v>0</v>
      </c>
      <c r="H34" s="1755">
        <f t="shared" si="1"/>
        <v>0</v>
      </c>
      <c r="I34" s="1755">
        <f t="shared" si="1"/>
        <v>0</v>
      </c>
      <c r="J34" s="1755">
        <f t="shared" si="1"/>
        <v>0</v>
      </c>
      <c r="K34" s="1755">
        <f t="shared" si="1"/>
        <v>0</v>
      </c>
      <c r="L34" s="1736">
        <f>SUM(L33)</f>
        <v>197998</v>
      </c>
      <c r="M34" s="468"/>
      <c r="N34" s="480"/>
    </row>
    <row r="35" spans="1:14" ht="18" customHeight="1" thickTop="1" x14ac:dyDescent="0.2">
      <c r="A35" s="2123" t="s">
        <v>550</v>
      </c>
      <c r="B35" s="212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1388907</v>
      </c>
    </row>
    <row r="37" spans="1:14" ht="13.5" thickBot="1" x14ac:dyDescent="0.25">
      <c r="A37" s="1751" t="s">
        <v>674</v>
      </c>
      <c r="B37" s="1756"/>
      <c r="C37" s="477"/>
      <c r="D37" s="477"/>
      <c r="E37" s="477"/>
      <c r="F37" s="477"/>
      <c r="G37" s="477"/>
      <c r="H37" s="477"/>
      <c r="I37" s="477"/>
      <c r="J37" s="477"/>
      <c r="K37" s="477"/>
      <c r="L37" s="480"/>
      <c r="M37" s="468"/>
      <c r="N37" s="1703">
        <f>SUM(N36:N36)</f>
        <v>1388907</v>
      </c>
    </row>
    <row r="38" spans="1:14" s="329" customFormat="1" ht="13.5" customHeight="1" thickTop="1" x14ac:dyDescent="0.2">
      <c r="A38" s="496" t="s">
        <v>440</v>
      </c>
      <c r="B38" s="483">
        <v>714</v>
      </c>
      <c r="C38" s="466"/>
      <c r="D38" s="466"/>
      <c r="E38" s="466">
        <v>292600</v>
      </c>
      <c r="F38" s="466"/>
      <c r="G38" s="466">
        <v>156534</v>
      </c>
      <c r="H38" s="466"/>
      <c r="I38" s="466"/>
      <c r="J38" s="467"/>
      <c r="K38" s="466"/>
      <c r="L38" s="481"/>
      <c r="M38" s="497"/>
      <c r="N38" s="497"/>
    </row>
    <row r="39" spans="1:14" s="329" customFormat="1" ht="13.5" customHeight="1" x14ac:dyDescent="0.2">
      <c r="A39" s="496" t="s">
        <v>360</v>
      </c>
      <c r="B39" s="483">
        <v>730</v>
      </c>
      <c r="C39" s="466">
        <v>1594403</v>
      </c>
      <c r="D39" s="466">
        <v>1456</v>
      </c>
      <c r="E39" s="466">
        <v>36076</v>
      </c>
      <c r="F39" s="466">
        <v>1836</v>
      </c>
      <c r="G39" s="466">
        <v>81170</v>
      </c>
      <c r="H39" s="466">
        <v>150452</v>
      </c>
      <c r="I39" s="466">
        <v>979806</v>
      </c>
      <c r="J39" s="467">
        <v>304247</v>
      </c>
      <c r="K39" s="466">
        <v>415791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12989776</v>
      </c>
      <c r="N40" s="497"/>
    </row>
    <row r="41" spans="1:14" ht="13.5" customHeight="1" thickBot="1" x14ac:dyDescent="0.25">
      <c r="A41" s="1751" t="s">
        <v>676</v>
      </c>
      <c r="B41" s="1721"/>
      <c r="C41" s="1703">
        <f>(SUM(C34,C37,C38,C39))</f>
        <v>1594403</v>
      </c>
      <c r="D41" s="1703">
        <f t="shared" ref="D41:L41" si="2">SUM(D34,D37,D38:D39)</f>
        <v>1456</v>
      </c>
      <c r="E41" s="1703">
        <f t="shared" si="2"/>
        <v>328676</v>
      </c>
      <c r="F41" s="1703">
        <f t="shared" si="2"/>
        <v>1836</v>
      </c>
      <c r="G41" s="1703">
        <f t="shared" si="2"/>
        <v>237704</v>
      </c>
      <c r="H41" s="1703">
        <f t="shared" si="2"/>
        <v>150452</v>
      </c>
      <c r="I41" s="1703">
        <f t="shared" si="2"/>
        <v>979806</v>
      </c>
      <c r="J41" s="1703">
        <f t="shared" si="2"/>
        <v>304247</v>
      </c>
      <c r="K41" s="1703">
        <f t="shared" si="2"/>
        <v>415791</v>
      </c>
      <c r="L41" s="1703">
        <f t="shared" si="2"/>
        <v>197998</v>
      </c>
      <c r="M41" s="1703">
        <f>SUM(M40)</f>
        <v>12989776</v>
      </c>
      <c r="N41" s="1703">
        <f>SUM(N37)</f>
        <v>1388907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2" sqref="A2:F2"/>
      <selection pane="bottomLeft" sqref="A1:F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5" t="s">
        <v>1237</v>
      </c>
      <c r="B3" s="2146"/>
      <c r="C3" s="1595"/>
      <c r="D3" s="1596"/>
      <c r="E3" s="1596"/>
      <c r="F3" s="1596"/>
      <c r="G3" s="1596"/>
      <c r="H3" s="1596"/>
      <c r="I3" s="1596"/>
      <c r="J3" s="1596"/>
      <c r="K3" s="1597"/>
      <c r="L3" s="506"/>
    </row>
    <row r="4" spans="1:13" ht="15.75" customHeight="1" x14ac:dyDescent="0.2">
      <c r="A4" s="1944" t="s">
        <v>1579</v>
      </c>
      <c r="B4" s="1945">
        <v>1000</v>
      </c>
      <c r="C4" s="1757">
        <f>'Revenues 9-14'!C109</f>
        <v>1783959</v>
      </c>
      <c r="D4" s="1757">
        <f>'Revenues 9-14'!D109</f>
        <v>508643</v>
      </c>
      <c r="E4" s="1757">
        <f>'Revenues 9-14'!E109</f>
        <v>407581</v>
      </c>
      <c r="F4" s="1757">
        <f>'Revenues 9-14'!F109</f>
        <v>161650</v>
      </c>
      <c r="G4" s="1757">
        <f>'Revenues 9-14'!G109</f>
        <v>309668</v>
      </c>
      <c r="H4" s="1757">
        <f>'Revenues 9-14'!H109</f>
        <v>300877</v>
      </c>
      <c r="I4" s="1757">
        <f>'Revenues 9-14'!I109</f>
        <v>39856</v>
      </c>
      <c r="J4" s="1757">
        <f>'Revenues 9-14'!J109</f>
        <v>212139</v>
      </c>
      <c r="K4" s="1757">
        <f>'Revenues 9-14'!K109</f>
        <v>1292</v>
      </c>
      <c r="L4" s="347"/>
    </row>
    <row r="5" spans="1:13" ht="15.75" customHeight="1" x14ac:dyDescent="0.2">
      <c r="A5" s="1598" t="s">
        <v>1580</v>
      </c>
      <c r="B5" s="1599">
        <v>2000</v>
      </c>
      <c r="C5" s="1758">
        <f>'Revenues 9-14'!C114</f>
        <v>19421</v>
      </c>
      <c r="D5" s="1758">
        <f>'Revenues 9-14'!D114</f>
        <v>0</v>
      </c>
      <c r="E5" s="508"/>
      <c r="F5" s="1758">
        <f>'Revenues 9-14'!F114</f>
        <v>0</v>
      </c>
      <c r="G5" s="1758">
        <f>'Revenues 9-14'!G114</f>
        <v>0</v>
      </c>
      <c r="H5" s="509" t="s">
        <v>1231</v>
      </c>
      <c r="I5" s="510" t="s">
        <v>1231</v>
      </c>
      <c r="J5" s="511" t="s">
        <v>1231</v>
      </c>
      <c r="K5" s="512" t="s">
        <v>1231</v>
      </c>
      <c r="L5" s="347"/>
    </row>
    <row r="6" spans="1:13" ht="15.75" customHeight="1" x14ac:dyDescent="0.2">
      <c r="A6" s="1598" t="s">
        <v>1581</v>
      </c>
      <c r="B6" s="1600">
        <v>3000</v>
      </c>
      <c r="C6" s="1758">
        <f>'Revenues 9-14'!C173</f>
        <v>4302186</v>
      </c>
      <c r="D6" s="1758">
        <f>'Revenues 9-14'!D173</f>
        <v>83000</v>
      </c>
      <c r="E6" s="1758">
        <f>'Revenues 9-14'!E173</f>
        <v>0</v>
      </c>
      <c r="F6" s="1758">
        <f>'Revenues 9-14'!F173</f>
        <v>512971</v>
      </c>
      <c r="G6" s="1758">
        <f>'Revenues 9-14'!G173</f>
        <v>0</v>
      </c>
      <c r="H6" s="1758">
        <f>'Revenues 9-14'!H173</f>
        <v>0</v>
      </c>
      <c r="I6" s="1758">
        <f>'Revenues 9-14'!I173</f>
        <v>0</v>
      </c>
      <c r="J6" s="1758">
        <f>'Revenues 9-14'!J173</f>
        <v>0</v>
      </c>
      <c r="K6" s="1758">
        <f>'Revenues 9-14'!K173</f>
        <v>0</v>
      </c>
      <c r="L6" s="347"/>
      <c r="M6" s="513"/>
    </row>
    <row r="7" spans="1:13" ht="15.75" customHeight="1" x14ac:dyDescent="0.2">
      <c r="A7" s="1598" t="s">
        <v>1582</v>
      </c>
      <c r="B7" s="1600">
        <v>4000</v>
      </c>
      <c r="C7" s="1758">
        <f>'Revenues 9-14'!C274</f>
        <v>521015</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x14ac:dyDescent="0.25">
      <c r="A8" s="1751" t="s">
        <v>1234</v>
      </c>
      <c r="B8" s="1724"/>
      <c r="C8" s="1703">
        <f>SUM(C4:C7)</f>
        <v>6626581</v>
      </c>
      <c r="D8" s="1703">
        <f t="shared" ref="D8:K8" si="0">SUM(D4:D7)</f>
        <v>591643</v>
      </c>
      <c r="E8" s="1703">
        <f t="shared" si="0"/>
        <v>407581</v>
      </c>
      <c r="F8" s="1703">
        <f t="shared" si="0"/>
        <v>674621</v>
      </c>
      <c r="G8" s="1703">
        <f t="shared" si="0"/>
        <v>309668</v>
      </c>
      <c r="H8" s="1703">
        <f t="shared" si="0"/>
        <v>300877</v>
      </c>
      <c r="I8" s="1703">
        <f t="shared" si="0"/>
        <v>39856</v>
      </c>
      <c r="J8" s="1703">
        <f t="shared" si="0"/>
        <v>212139</v>
      </c>
      <c r="K8" s="1703">
        <f t="shared" si="0"/>
        <v>1292</v>
      </c>
      <c r="L8" s="347"/>
    </row>
    <row r="9" spans="1:13" ht="15.75" thickTop="1" x14ac:dyDescent="0.2">
      <c r="A9" s="514" t="s">
        <v>1752</v>
      </c>
      <c r="B9" s="515">
        <v>3998</v>
      </c>
      <c r="C9" s="481">
        <v>2877083</v>
      </c>
      <c r="D9" s="516"/>
      <c r="E9" s="481"/>
      <c r="F9" s="481"/>
      <c r="G9" s="517"/>
      <c r="H9" s="481"/>
      <c r="I9" s="509" t="s">
        <v>1231</v>
      </c>
      <c r="J9" s="478"/>
      <c r="K9" s="481"/>
      <c r="L9" s="347"/>
    </row>
    <row r="10" spans="1:13" s="519" customFormat="1" ht="13.5" thickBot="1" x14ac:dyDescent="0.25">
      <c r="A10" s="1751" t="s">
        <v>1235</v>
      </c>
      <c r="B10" s="1724"/>
      <c r="C10" s="1703">
        <f>SUM(C8:C9)</f>
        <v>9503664</v>
      </c>
      <c r="D10" s="1703">
        <f t="shared" ref="D10:K10" si="1">SUM(D8:D9)</f>
        <v>591643</v>
      </c>
      <c r="E10" s="1703">
        <f t="shared" si="1"/>
        <v>407581</v>
      </c>
      <c r="F10" s="1703">
        <f t="shared" si="1"/>
        <v>674621</v>
      </c>
      <c r="G10" s="1703">
        <f t="shared" si="1"/>
        <v>309668</v>
      </c>
      <c r="H10" s="1703">
        <f t="shared" si="1"/>
        <v>300877</v>
      </c>
      <c r="I10" s="1703">
        <f t="shared" si="1"/>
        <v>39856</v>
      </c>
      <c r="J10" s="1703">
        <f t="shared" si="1"/>
        <v>212139</v>
      </c>
      <c r="K10" s="1703">
        <f t="shared" si="1"/>
        <v>1292</v>
      </c>
      <c r="L10" s="518"/>
    </row>
    <row r="11" spans="1:13" s="519" customFormat="1" ht="16.7" customHeight="1" thickTop="1" x14ac:dyDescent="0.2">
      <c r="A11" s="2119" t="s">
        <v>1238</v>
      </c>
      <c r="B11" s="2120"/>
      <c r="C11" s="1592"/>
      <c r="D11" s="1593"/>
      <c r="E11" s="1593"/>
      <c r="F11" s="1593"/>
      <c r="G11" s="1593"/>
      <c r="H11" s="1593"/>
      <c r="I11" s="1593"/>
      <c r="J11" s="1593"/>
      <c r="K11" s="1594"/>
      <c r="L11" s="518"/>
    </row>
    <row r="12" spans="1:13" ht="15.75" customHeight="1" x14ac:dyDescent="0.2">
      <c r="A12" s="1598" t="s">
        <v>476</v>
      </c>
      <c r="B12" s="1600">
        <v>1000</v>
      </c>
      <c r="C12" s="1757">
        <f>'Expenditures 15-22'!K33</f>
        <v>4685163</v>
      </c>
      <c r="D12" s="520" t="s">
        <v>1231</v>
      </c>
      <c r="E12" s="468" t="s">
        <v>1231</v>
      </c>
      <c r="F12" s="468" t="s">
        <v>1231</v>
      </c>
      <c r="G12" s="1757">
        <f>'Expenditures 15-22'!K229</f>
        <v>125616</v>
      </c>
      <c r="H12" s="521"/>
      <c r="I12" s="468" t="s">
        <v>1231</v>
      </c>
      <c r="J12" s="468" t="s">
        <v>1231</v>
      </c>
      <c r="K12" s="521" t="s">
        <v>1231</v>
      </c>
      <c r="L12" s="347"/>
    </row>
    <row r="13" spans="1:13" ht="15.75" customHeight="1" x14ac:dyDescent="0.2">
      <c r="A13" s="1598" t="s">
        <v>477</v>
      </c>
      <c r="B13" s="1600">
        <v>2000</v>
      </c>
      <c r="C13" s="1758">
        <f>'Expenditures 15-22'!K74</f>
        <v>1372363</v>
      </c>
      <c r="D13" s="1758">
        <f>'Expenditures 15-22'!K129</f>
        <v>590308</v>
      </c>
      <c r="E13" s="469" t="s">
        <v>1231</v>
      </c>
      <c r="F13" s="1758">
        <f>'Expenditures 15-22'!K184</f>
        <v>689799</v>
      </c>
      <c r="G13" s="1758">
        <f>'Expenditures 15-22'!K279</f>
        <v>158256</v>
      </c>
      <c r="H13" s="1758">
        <f>'Expenditures 15-22'!K303</f>
        <v>258749</v>
      </c>
      <c r="I13" s="468" t="s">
        <v>1231</v>
      </c>
      <c r="J13" s="1758">
        <f>'Expenditures 15-22'!K330</f>
        <v>115972</v>
      </c>
      <c r="K13" s="1762">
        <f>'Expenditures 15-22'!K352</f>
        <v>20780</v>
      </c>
      <c r="L13" s="347"/>
    </row>
    <row r="14" spans="1:13" ht="15.75" customHeight="1" x14ac:dyDescent="0.2">
      <c r="A14" s="1598" t="s">
        <v>469</v>
      </c>
      <c r="B14" s="1600">
        <v>3000</v>
      </c>
      <c r="C14" s="1758">
        <f>'Expenditures 15-22'!K75</f>
        <v>0</v>
      </c>
      <c r="D14" s="1758">
        <f>'Expenditures 15-22'!K130</f>
        <v>0</v>
      </c>
      <c r="E14" s="520" t="s">
        <v>1231</v>
      </c>
      <c r="F14" s="1758">
        <f>'Expenditures 15-22'!K185</f>
        <v>0</v>
      </c>
      <c r="G14" s="1758">
        <f>'Expenditures 15-22'!K280</f>
        <v>0</v>
      </c>
      <c r="H14" s="512"/>
      <c r="I14" s="468" t="s">
        <v>1231</v>
      </c>
      <c r="J14" s="468" t="s">
        <v>1231</v>
      </c>
      <c r="K14" s="512" t="s">
        <v>1231</v>
      </c>
      <c r="L14" s="347"/>
    </row>
    <row r="15" spans="1:13" ht="15.75" customHeight="1" x14ac:dyDescent="0.2">
      <c r="A15" s="1598" t="s">
        <v>109</v>
      </c>
      <c r="B15" s="1600">
        <v>4000</v>
      </c>
      <c r="C15" s="1758">
        <f>'Expenditures 15-22'!K102</f>
        <v>199043</v>
      </c>
      <c r="D15" s="1758">
        <f>'Expenditures 15-22'!K139</f>
        <v>0</v>
      </c>
      <c r="E15" s="1758">
        <f>'Expenditures 15-22'!K160</f>
        <v>0</v>
      </c>
      <c r="F15" s="1758">
        <f>'Expenditures 15-22'!K196</f>
        <v>0</v>
      </c>
      <c r="G15" s="1758">
        <f>'Expenditures 15-22'!K285</f>
        <v>0</v>
      </c>
      <c r="H15" s="1758">
        <f>'Expenditures 15-22'!K310</f>
        <v>79891</v>
      </c>
      <c r="I15" s="468" t="s">
        <v>1231</v>
      </c>
      <c r="J15" s="1851">
        <f>'Expenditures 15-22'!K334</f>
        <v>0</v>
      </c>
      <c r="K15" s="1758">
        <f>'Expenditures 15-22'!K357</f>
        <v>0</v>
      </c>
      <c r="L15" s="347"/>
    </row>
    <row r="16" spans="1:13" ht="15.75" customHeight="1" x14ac:dyDescent="0.2">
      <c r="A16" s="1598" t="s">
        <v>470</v>
      </c>
      <c r="B16" s="1600">
        <v>5000</v>
      </c>
      <c r="C16" s="1758">
        <f>'Expenditures 15-22'!K112</f>
        <v>0</v>
      </c>
      <c r="D16" s="1758">
        <f>'Expenditures 15-22'!K149</f>
        <v>0</v>
      </c>
      <c r="E16" s="1758">
        <f>'Expenditures 15-22'!K172</f>
        <v>303062</v>
      </c>
      <c r="F16" s="1758">
        <f>'Expenditures 15-22'!K208</f>
        <v>0</v>
      </c>
      <c r="G16" s="1758">
        <f>'Expenditures 15-22'!K293</f>
        <v>0</v>
      </c>
      <c r="H16" s="523"/>
      <c r="I16" s="468" t="s">
        <v>1231</v>
      </c>
      <c r="J16" s="1763">
        <f>'Expenditures 15-22'!K340</f>
        <v>0</v>
      </c>
      <c r="K16" s="1758">
        <f>'Expenditures 15-22'!K365</f>
        <v>0</v>
      </c>
      <c r="L16" s="347"/>
    </row>
    <row r="17" spans="1:12" ht="13.5" thickBot="1" x14ac:dyDescent="0.25">
      <c r="A17" s="1723" t="s">
        <v>50</v>
      </c>
      <c r="B17" s="1724"/>
      <c r="C17" s="1703">
        <f t="shared" ref="C17:H17" si="2">SUM(C12:C16)</f>
        <v>6256569</v>
      </c>
      <c r="D17" s="1703">
        <f t="shared" si="2"/>
        <v>590308</v>
      </c>
      <c r="E17" s="1703">
        <f t="shared" si="2"/>
        <v>303062</v>
      </c>
      <c r="F17" s="1703">
        <f t="shared" si="2"/>
        <v>689799</v>
      </c>
      <c r="G17" s="1703">
        <f t="shared" si="2"/>
        <v>283872</v>
      </c>
      <c r="H17" s="1703">
        <f t="shared" si="2"/>
        <v>338640</v>
      </c>
      <c r="I17" s="468"/>
      <c r="J17" s="1703">
        <f>SUM(J12:J16)</f>
        <v>115972</v>
      </c>
      <c r="K17" s="1703">
        <f>SUM(K12:K16)</f>
        <v>20780</v>
      </c>
      <c r="L17" s="347"/>
    </row>
    <row r="18" spans="1:12" ht="15" customHeight="1" thickTop="1" x14ac:dyDescent="0.2">
      <c r="A18" s="1759" t="s">
        <v>1753</v>
      </c>
      <c r="B18" s="1760">
        <v>4180</v>
      </c>
      <c r="C18" s="1757">
        <f t="shared" ref="C18:H18" si="3">C9</f>
        <v>2877083</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526</v>
      </c>
      <c r="B19" s="1724"/>
      <c r="C19" s="1703">
        <f t="shared" ref="C19:H19" si="4">SUM(C17:C18)</f>
        <v>9133652</v>
      </c>
      <c r="D19" s="1703">
        <f t="shared" si="4"/>
        <v>590308</v>
      </c>
      <c r="E19" s="1703">
        <f t="shared" si="4"/>
        <v>303062</v>
      </c>
      <c r="F19" s="1703">
        <f t="shared" si="4"/>
        <v>689799</v>
      </c>
      <c r="G19" s="1703">
        <f t="shared" si="4"/>
        <v>283872</v>
      </c>
      <c r="H19" s="1703">
        <f t="shared" si="4"/>
        <v>338640</v>
      </c>
      <c r="I19" s="468"/>
      <c r="J19" s="1703">
        <f>SUM(J17:J18)</f>
        <v>115972</v>
      </c>
      <c r="K19" s="1703">
        <f>SUM(K17:K18)</f>
        <v>20780</v>
      </c>
      <c r="L19" s="347"/>
    </row>
    <row r="20" spans="1:12" ht="16.5" thickTop="1" thickBot="1" x14ac:dyDescent="0.25">
      <c r="A20" s="2135" t="s">
        <v>1754</v>
      </c>
      <c r="B20" s="2136"/>
      <c r="C20" s="1761">
        <f>C8-C17</f>
        <v>370012</v>
      </c>
      <c r="D20" s="1761">
        <f t="shared" ref="D20:K20" si="5">D8-D17</f>
        <v>1335</v>
      </c>
      <c r="E20" s="1761">
        <f t="shared" si="5"/>
        <v>104519</v>
      </c>
      <c r="F20" s="1761">
        <f t="shared" si="5"/>
        <v>-15178</v>
      </c>
      <c r="G20" s="1761">
        <f t="shared" si="5"/>
        <v>25796</v>
      </c>
      <c r="H20" s="1761">
        <f t="shared" si="5"/>
        <v>-37763</v>
      </c>
      <c r="I20" s="1761">
        <f t="shared" si="5"/>
        <v>39856</v>
      </c>
      <c r="J20" s="1761">
        <f t="shared" si="5"/>
        <v>96167</v>
      </c>
      <c r="K20" s="1761">
        <f t="shared" si="5"/>
        <v>-19488</v>
      </c>
      <c r="L20" s="347"/>
    </row>
    <row r="21" spans="1:12" ht="16.7" customHeight="1" thickTop="1" x14ac:dyDescent="0.2">
      <c r="A21" s="2147" t="s">
        <v>616</v>
      </c>
      <c r="B21" s="2148"/>
      <c r="C21" s="1592"/>
      <c r="D21" s="1593"/>
      <c r="E21" s="1593"/>
      <c r="F21" s="1593"/>
      <c r="G21" s="1593"/>
      <c r="H21" s="1593"/>
      <c r="I21" s="1593"/>
      <c r="J21" s="1593"/>
      <c r="K21" s="1594"/>
      <c r="L21" s="524"/>
    </row>
    <row r="22" spans="1:12" ht="15.75" customHeight="1" collapsed="1" x14ac:dyDescent="0.2">
      <c r="A22" s="2143" t="s">
        <v>617</v>
      </c>
      <c r="B22" s="2144"/>
      <c r="C22" s="477"/>
      <c r="D22" s="477"/>
      <c r="E22" s="477"/>
      <c r="F22" s="477"/>
      <c r="G22" s="477"/>
      <c r="H22" s="477"/>
      <c r="I22" s="477"/>
      <c r="J22" s="477"/>
      <c r="K22" s="477"/>
      <c r="L22" s="347"/>
    </row>
    <row r="23" spans="1:12" s="485" customFormat="1" ht="15.75" customHeight="1" x14ac:dyDescent="0.2">
      <c r="A23" s="2139" t="s">
        <v>311</v>
      </c>
      <c r="B23" s="214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v>15899</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1" t="s">
        <v>1038</v>
      </c>
      <c r="B32" s="214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58">
        <f>SUM(C54:D57,H54:H57)</f>
        <v>0</v>
      </c>
      <c r="F37" s="475"/>
      <c r="G37" s="475"/>
      <c r="H37" s="475"/>
      <c r="I37" s="477"/>
      <c r="J37" s="475"/>
      <c r="K37" s="475"/>
      <c r="L37" s="524"/>
    </row>
    <row r="38" spans="1:12" s="485" customFormat="1" x14ac:dyDescent="0.2">
      <c r="A38" s="1511" t="s">
        <v>462</v>
      </c>
      <c r="B38" s="525">
        <v>7500</v>
      </c>
      <c r="C38" s="477"/>
      <c r="D38" s="477"/>
      <c r="E38" s="1758">
        <f>SUM(C58:D61,H58:H61)</f>
        <v>0</v>
      </c>
      <c r="F38" s="477"/>
      <c r="G38" s="477"/>
      <c r="H38" s="477"/>
      <c r="I38" s="477"/>
      <c r="J38" s="477"/>
      <c r="K38" s="477"/>
      <c r="L38" s="524"/>
    </row>
    <row r="39" spans="1:12" s="485" customFormat="1" x14ac:dyDescent="0.2">
      <c r="A39" s="1511" t="s">
        <v>463</v>
      </c>
      <c r="B39" s="525">
        <v>7600</v>
      </c>
      <c r="C39" s="477"/>
      <c r="D39" s="477"/>
      <c r="E39" s="1758">
        <f>SUM(C62:D65)</f>
        <v>0</v>
      </c>
      <c r="F39" s="477"/>
      <c r="G39" s="477"/>
      <c r="H39" s="477"/>
      <c r="I39" s="477"/>
      <c r="J39" s="477"/>
      <c r="K39" s="477"/>
      <c r="L39" s="524"/>
    </row>
    <row r="40" spans="1:12" s="485" customFormat="1" ht="13.5" customHeight="1" x14ac:dyDescent="0.2">
      <c r="A40" s="1511" t="s">
        <v>663</v>
      </c>
      <c r="B40" s="483">
        <v>7700</v>
      </c>
      <c r="C40" s="477"/>
      <c r="D40" s="477"/>
      <c r="E40" s="1758">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58">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49" t="s">
        <v>392</v>
      </c>
      <c r="B44" s="2150"/>
      <c r="C44" s="1718">
        <f>SUM(C24:C43)</f>
        <v>15899</v>
      </c>
      <c r="D44" s="1718">
        <f t="shared" ref="D44:K44" si="6">SUM(D24:D43)</f>
        <v>0</v>
      </c>
      <c r="E44" s="1718">
        <f t="shared" si="6"/>
        <v>0</v>
      </c>
      <c r="F44" s="1718">
        <f t="shared" si="6"/>
        <v>0</v>
      </c>
      <c r="G44" s="1718">
        <f t="shared" si="6"/>
        <v>0</v>
      </c>
      <c r="H44" s="1718">
        <f t="shared" si="6"/>
        <v>0</v>
      </c>
      <c r="I44" s="1718">
        <f t="shared" si="6"/>
        <v>0</v>
      </c>
      <c r="J44" s="1718">
        <f t="shared" si="6"/>
        <v>0</v>
      </c>
      <c r="K44" s="1718">
        <f t="shared" si="6"/>
        <v>0</v>
      </c>
      <c r="L44" s="524"/>
    </row>
    <row r="45" spans="1:12" ht="15.75" customHeight="1" thickTop="1" x14ac:dyDescent="0.2">
      <c r="A45" s="2143" t="s">
        <v>110</v>
      </c>
      <c r="B45" s="2144"/>
      <c r="C45" s="528"/>
      <c r="D45" s="528"/>
      <c r="E45" s="528"/>
      <c r="F45" s="528"/>
      <c r="G45" s="528"/>
      <c r="H45" s="528"/>
      <c r="I45" s="528"/>
      <c r="J45" s="528"/>
      <c r="K45" s="528"/>
      <c r="L45" s="347"/>
    </row>
    <row r="46" spans="1:12" s="485" customFormat="1" ht="15.75" customHeight="1" x14ac:dyDescent="0.2">
      <c r="A46" s="2151" t="s">
        <v>111</v>
      </c>
      <c r="B46" s="215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58">
        <f>SUM(C24,C25:H25,J25:K25)</f>
        <v>0</v>
      </c>
      <c r="J47" s="477"/>
      <c r="K47" s="477"/>
      <c r="L47" s="529"/>
    </row>
    <row r="48" spans="1:12" s="485" customFormat="1" ht="15" x14ac:dyDescent="0.2">
      <c r="A48" s="1512" t="s">
        <v>1759</v>
      </c>
      <c r="B48" s="483">
        <v>8120</v>
      </c>
      <c r="C48" s="480"/>
      <c r="D48" s="480"/>
      <c r="E48" s="477"/>
      <c r="F48" s="480"/>
      <c r="G48" s="477"/>
      <c r="H48" s="477"/>
      <c r="I48" s="1758">
        <f>SUM(C26:H26,J26,K26)</f>
        <v>15899</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58">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58">
        <f>D30</f>
        <v>0</v>
      </c>
      <c r="L52" s="524"/>
    </row>
    <row r="53" spans="1:12" s="485" customFormat="1" ht="26.25" x14ac:dyDescent="0.2">
      <c r="A53" s="1512" t="s">
        <v>1899</v>
      </c>
      <c r="B53" s="483">
        <v>8170</v>
      </c>
      <c r="C53" s="480"/>
      <c r="D53" s="480"/>
      <c r="E53" s="477"/>
      <c r="F53" s="477"/>
      <c r="G53" s="477"/>
      <c r="H53" s="480"/>
      <c r="I53" s="477"/>
      <c r="J53" s="477"/>
      <c r="K53" s="1758">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25" t="s">
        <v>460</v>
      </c>
      <c r="B76" s="2126"/>
      <c r="C76" s="1718">
        <f t="shared" ref="C76:K76" si="7">SUM(C47:C75)</f>
        <v>0</v>
      </c>
      <c r="D76" s="1718">
        <f t="shared" si="7"/>
        <v>0</v>
      </c>
      <c r="E76" s="1718">
        <f t="shared" si="7"/>
        <v>0</v>
      </c>
      <c r="F76" s="1718">
        <f t="shared" si="7"/>
        <v>0</v>
      </c>
      <c r="G76" s="1718">
        <f t="shared" si="7"/>
        <v>0</v>
      </c>
      <c r="H76" s="1718">
        <f t="shared" si="7"/>
        <v>0</v>
      </c>
      <c r="I76" s="1718">
        <f t="shared" si="7"/>
        <v>15899</v>
      </c>
      <c r="J76" s="1718">
        <f t="shared" si="7"/>
        <v>0</v>
      </c>
      <c r="K76" s="1718">
        <f t="shared" si="7"/>
        <v>0</v>
      </c>
      <c r="L76" s="524"/>
    </row>
    <row r="77" spans="1:12" ht="14.25" thickTop="1" thickBot="1" x14ac:dyDescent="0.25">
      <c r="A77" s="2127" t="s">
        <v>1239</v>
      </c>
      <c r="B77" s="2128"/>
      <c r="C77" s="1718">
        <f t="shared" ref="C77:K77" si="8">C44-C76</f>
        <v>15899</v>
      </c>
      <c r="D77" s="1718">
        <f t="shared" si="8"/>
        <v>0</v>
      </c>
      <c r="E77" s="1718">
        <f t="shared" si="8"/>
        <v>0</v>
      </c>
      <c r="F77" s="1718">
        <f t="shared" si="8"/>
        <v>0</v>
      </c>
      <c r="G77" s="1718">
        <f t="shared" si="8"/>
        <v>0</v>
      </c>
      <c r="H77" s="1718">
        <f t="shared" si="8"/>
        <v>0</v>
      </c>
      <c r="I77" s="1718">
        <f t="shared" si="8"/>
        <v>-15899</v>
      </c>
      <c r="J77" s="1718">
        <f t="shared" si="8"/>
        <v>0</v>
      </c>
      <c r="K77" s="1718">
        <f t="shared" si="8"/>
        <v>0</v>
      </c>
      <c r="L77" s="347"/>
    </row>
    <row r="78" spans="1:12" ht="21.75" customHeight="1" thickTop="1" thickBot="1" x14ac:dyDescent="0.25">
      <c r="A78" s="2131" t="s">
        <v>618</v>
      </c>
      <c r="B78" s="2132"/>
      <c r="C78" s="1717">
        <f t="shared" ref="C78:K78" si="9">C20+C77</f>
        <v>385911</v>
      </c>
      <c r="D78" s="1717">
        <f t="shared" si="9"/>
        <v>1335</v>
      </c>
      <c r="E78" s="1717">
        <f t="shared" si="9"/>
        <v>104519</v>
      </c>
      <c r="F78" s="1717">
        <f t="shared" si="9"/>
        <v>-15178</v>
      </c>
      <c r="G78" s="1717">
        <f t="shared" si="9"/>
        <v>25796</v>
      </c>
      <c r="H78" s="1717">
        <f t="shared" si="9"/>
        <v>-37763</v>
      </c>
      <c r="I78" s="1717">
        <f t="shared" si="9"/>
        <v>23957</v>
      </c>
      <c r="J78" s="1717">
        <f t="shared" si="9"/>
        <v>96167</v>
      </c>
      <c r="K78" s="1717">
        <f t="shared" si="9"/>
        <v>-19488</v>
      </c>
      <c r="L78" s="533"/>
    </row>
    <row r="79" spans="1:12" ht="13.5" thickTop="1" x14ac:dyDescent="0.2">
      <c r="A79" s="1516" t="s">
        <v>2073</v>
      </c>
      <c r="B79" s="534"/>
      <c r="C79" s="478">
        <v>1208492</v>
      </c>
      <c r="D79" s="535">
        <v>121</v>
      </c>
      <c r="E79" s="535">
        <v>224157</v>
      </c>
      <c r="F79" s="535">
        <v>17014</v>
      </c>
      <c r="G79" s="535">
        <v>211908</v>
      </c>
      <c r="H79" s="535">
        <v>188215</v>
      </c>
      <c r="I79" s="535">
        <v>955849</v>
      </c>
      <c r="J79" s="535">
        <v>208080</v>
      </c>
      <c r="K79" s="535">
        <v>435279</v>
      </c>
      <c r="L79" s="347"/>
    </row>
    <row r="80" spans="1:12" x14ac:dyDescent="0.2">
      <c r="A80" s="2137" t="s">
        <v>1898</v>
      </c>
      <c r="B80" s="2138"/>
      <c r="C80" s="467"/>
      <c r="D80" s="467"/>
      <c r="E80" s="467"/>
      <c r="F80" s="467"/>
      <c r="G80" s="467"/>
      <c r="H80" s="467"/>
      <c r="I80" s="467"/>
      <c r="J80" s="467"/>
      <c r="K80" s="467"/>
      <c r="L80" s="347"/>
    </row>
    <row r="81" spans="1:12" ht="13.5" thickBot="1" x14ac:dyDescent="0.25">
      <c r="A81" s="2129" t="s">
        <v>2074</v>
      </c>
      <c r="B81" s="2130"/>
      <c r="C81" s="1703">
        <f>(SUM(C78:C80))</f>
        <v>1594403</v>
      </c>
      <c r="D81" s="1703">
        <f>SUM(D78:D80)</f>
        <v>1456</v>
      </c>
      <c r="E81" s="1703">
        <f t="shared" ref="E81:K81" si="10">SUM(E78:E80)</f>
        <v>328676</v>
      </c>
      <c r="F81" s="1703">
        <f t="shared" si="10"/>
        <v>1836</v>
      </c>
      <c r="G81" s="1703">
        <f t="shared" si="10"/>
        <v>237704</v>
      </c>
      <c r="H81" s="1703">
        <f t="shared" si="10"/>
        <v>150452</v>
      </c>
      <c r="I81" s="1703">
        <f t="shared" si="10"/>
        <v>979806</v>
      </c>
      <c r="J81" s="1703">
        <f t="shared" si="10"/>
        <v>304247</v>
      </c>
      <c r="K81" s="1703">
        <f t="shared" si="10"/>
        <v>415791</v>
      </c>
      <c r="L81" s="347"/>
    </row>
    <row r="82" spans="1:12" ht="0.75" customHeight="1" thickTop="1" thickBot="1" x14ac:dyDescent="0.25">
      <c r="A82" s="536" t="s">
        <v>361</v>
      </c>
      <c r="B82" s="537"/>
      <c r="C82" s="538">
        <f>(C81-C79)</f>
        <v>385911</v>
      </c>
      <c r="D82" s="538">
        <f t="shared" ref="D82:K82" si="11">(D81-D79)</f>
        <v>1335</v>
      </c>
      <c r="E82" s="538">
        <f t="shared" si="11"/>
        <v>104519</v>
      </c>
      <c r="F82" s="538">
        <f t="shared" si="11"/>
        <v>-15178</v>
      </c>
      <c r="G82" s="538">
        <f t="shared" si="11"/>
        <v>25796</v>
      </c>
      <c r="H82" s="538">
        <f t="shared" si="11"/>
        <v>-37763</v>
      </c>
      <c r="I82" s="538">
        <f t="shared" si="11"/>
        <v>23957</v>
      </c>
      <c r="J82" s="538">
        <f t="shared" si="11"/>
        <v>96167</v>
      </c>
      <c r="K82" s="538">
        <f t="shared" si="11"/>
        <v>-19488</v>
      </c>
    </row>
    <row r="83" spans="1:12" ht="14.25" hidden="1" thickTop="1" thickBot="1" x14ac:dyDescent="0.25">
      <c r="A83" s="539" t="s">
        <v>362</v>
      </c>
      <c r="B83" s="464"/>
      <c r="C83" s="540">
        <f>C82/C81</f>
        <v>0.24204106490015384</v>
      </c>
      <c r="D83" s="540">
        <f t="shared" ref="D83:K83" si="12">D82/D81</f>
        <v>0.91689560439560436</v>
      </c>
      <c r="E83" s="540">
        <f t="shared" si="12"/>
        <v>0.31800009736031837</v>
      </c>
      <c r="F83" s="540">
        <f t="shared" si="12"/>
        <v>-8.2668845315904136</v>
      </c>
      <c r="G83" s="540">
        <f t="shared" si="12"/>
        <v>0.10852152256588025</v>
      </c>
      <c r="H83" s="540">
        <f t="shared" si="12"/>
        <v>-0.25099699571956502</v>
      </c>
      <c r="I83" s="540">
        <f t="shared" si="12"/>
        <v>2.4450758619563466E-2</v>
      </c>
      <c r="J83" s="540">
        <f t="shared" si="12"/>
        <v>0.31608199916515201</v>
      </c>
      <c r="K83" s="540">
        <f t="shared" si="12"/>
        <v>-4.6869701364387395E-2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2" sqref="A2:F2"/>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3" t="s">
        <v>1905</v>
      </c>
      <c r="B1" s="452"/>
      <c r="C1" s="453" t="s">
        <v>445</v>
      </c>
      <c r="D1" s="453" t="s">
        <v>446</v>
      </c>
      <c r="E1" s="453" t="s">
        <v>447</v>
      </c>
      <c r="F1" s="453" t="s">
        <v>448</v>
      </c>
      <c r="G1" s="453" t="s">
        <v>449</v>
      </c>
      <c r="H1" s="453" t="s">
        <v>450</v>
      </c>
      <c r="I1" s="453" t="s">
        <v>451</v>
      </c>
      <c r="J1" s="453" t="s">
        <v>452</v>
      </c>
      <c r="K1" s="453" t="s">
        <v>780</v>
      </c>
    </row>
    <row r="2" spans="1:12" ht="36" x14ac:dyDescent="0.2">
      <c r="A2" s="213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1367763</v>
      </c>
      <c r="D5" s="481">
        <v>371674</v>
      </c>
      <c r="E5" s="466">
        <v>401948</v>
      </c>
      <c r="F5" s="548">
        <v>148670</v>
      </c>
      <c r="G5" s="466">
        <v>150333</v>
      </c>
      <c r="H5" s="466"/>
      <c r="I5" s="466">
        <v>37167</v>
      </c>
      <c r="J5" s="467">
        <v>210464</v>
      </c>
      <c r="K5" s="466"/>
    </row>
    <row r="6" spans="1:12" ht="15" x14ac:dyDescent="0.2">
      <c r="A6" s="463" t="s">
        <v>1761</v>
      </c>
      <c r="B6" s="470">
        <v>1130</v>
      </c>
      <c r="C6" s="466">
        <v>37168</v>
      </c>
      <c r="D6" s="466"/>
      <c r="E6" s="475"/>
      <c r="F6" s="475"/>
      <c r="G6" s="468"/>
      <c r="H6" s="468"/>
      <c r="I6" s="468"/>
      <c r="J6" s="468"/>
      <c r="K6" s="468"/>
    </row>
    <row r="7" spans="1:12" x14ac:dyDescent="0.2">
      <c r="A7" s="463" t="s">
        <v>112</v>
      </c>
      <c r="B7" s="549">
        <v>1140</v>
      </c>
      <c r="C7" s="466">
        <v>29734</v>
      </c>
      <c r="D7" s="466"/>
      <c r="E7" s="468"/>
      <c r="F7" s="467"/>
      <c r="G7" s="467"/>
      <c r="H7" s="467"/>
      <c r="I7" s="468"/>
      <c r="J7" s="468"/>
      <c r="K7" s="468"/>
    </row>
    <row r="8" spans="1:12" x14ac:dyDescent="0.2">
      <c r="A8" s="463" t="s">
        <v>433</v>
      </c>
      <c r="B8" s="470">
        <v>1150</v>
      </c>
      <c r="C8" s="475"/>
      <c r="D8" s="475"/>
      <c r="E8" s="477"/>
      <c r="F8" s="477"/>
      <c r="G8" s="481">
        <v>150333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0" t="s">
        <v>29</v>
      </c>
      <c r="B12" s="1721"/>
      <c r="C12" s="1722">
        <f t="shared" ref="C12:K12" si="0">SUM(C5:C11)</f>
        <v>1434665</v>
      </c>
      <c r="D12" s="1722">
        <f t="shared" si="0"/>
        <v>371674</v>
      </c>
      <c r="E12" s="1722">
        <f t="shared" si="0"/>
        <v>401948</v>
      </c>
      <c r="F12" s="1722">
        <f t="shared" si="0"/>
        <v>148670</v>
      </c>
      <c r="G12" s="1722">
        <f t="shared" si="0"/>
        <v>300666</v>
      </c>
      <c r="H12" s="1722">
        <f t="shared" si="0"/>
        <v>0</v>
      </c>
      <c r="I12" s="1722">
        <f t="shared" si="0"/>
        <v>37167</v>
      </c>
      <c r="J12" s="1722">
        <f t="shared" si="0"/>
        <v>210464</v>
      </c>
      <c r="K12" s="1703">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6534</v>
      </c>
      <c r="D14" s="466">
        <v>1693</v>
      </c>
      <c r="E14" s="466">
        <v>1830</v>
      </c>
      <c r="F14" s="466">
        <v>677</v>
      </c>
      <c r="G14" s="466">
        <v>1369</v>
      </c>
      <c r="H14" s="466"/>
      <c r="I14" s="466">
        <v>169</v>
      </c>
      <c r="J14" s="467">
        <v>958</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45842</v>
      </c>
      <c r="D16" s="466">
        <v>115000</v>
      </c>
      <c r="E16" s="466"/>
      <c r="F16" s="466"/>
      <c r="G16" s="466">
        <v>7001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3" t="s">
        <v>558</v>
      </c>
      <c r="B18" s="1724"/>
      <c r="C18" s="1725">
        <f>SUM(C14:C17)</f>
        <v>52376</v>
      </c>
      <c r="D18" s="1725">
        <f t="shared" ref="D18:K18" si="1">SUM(D14:D17)</f>
        <v>116693</v>
      </c>
      <c r="E18" s="1725">
        <f t="shared" si="1"/>
        <v>1830</v>
      </c>
      <c r="F18" s="1725">
        <f t="shared" si="1"/>
        <v>677</v>
      </c>
      <c r="G18" s="1725">
        <f t="shared" si="1"/>
        <v>8370</v>
      </c>
      <c r="H18" s="1725">
        <f t="shared" si="1"/>
        <v>0</v>
      </c>
      <c r="I18" s="1725">
        <f t="shared" si="1"/>
        <v>169</v>
      </c>
      <c r="J18" s="1725">
        <f t="shared" si="1"/>
        <v>958</v>
      </c>
      <c r="K18" s="1726">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3" t="s">
        <v>559</v>
      </c>
      <c r="B40" s="1724"/>
      <c r="C40" s="1703">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10852</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3" t="s">
        <v>506</v>
      </c>
      <c r="B63" s="1724"/>
      <c r="C63" s="468"/>
      <c r="D63" s="468"/>
      <c r="E63" s="468"/>
      <c r="F63" s="1703">
        <f>SUM(F42:F62)</f>
        <v>10852</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9681</v>
      </c>
      <c r="D65" s="466">
        <v>76</v>
      </c>
      <c r="E65" s="466">
        <v>3803</v>
      </c>
      <c r="F65" s="467">
        <v>1</v>
      </c>
      <c r="G65" s="466">
        <v>632</v>
      </c>
      <c r="H65" s="466">
        <v>122</v>
      </c>
      <c r="I65" s="466">
        <v>2520</v>
      </c>
      <c r="J65" s="467">
        <v>717</v>
      </c>
      <c r="K65" s="466">
        <v>1292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3" t="s">
        <v>507</v>
      </c>
      <c r="B67" s="1724"/>
      <c r="C67" s="1703">
        <f>SUM(C65:C66)</f>
        <v>9681</v>
      </c>
      <c r="D67" s="1703">
        <f t="shared" ref="D67:K67" si="2">SUM(D65:D66)</f>
        <v>76</v>
      </c>
      <c r="E67" s="1703">
        <f t="shared" si="2"/>
        <v>3803</v>
      </c>
      <c r="F67" s="1703">
        <f t="shared" si="2"/>
        <v>1</v>
      </c>
      <c r="G67" s="1703">
        <f t="shared" si="2"/>
        <v>632</v>
      </c>
      <c r="H67" s="1703">
        <f t="shared" si="2"/>
        <v>122</v>
      </c>
      <c r="I67" s="1703">
        <f t="shared" si="2"/>
        <v>2520</v>
      </c>
      <c r="J67" s="1703">
        <f t="shared" si="2"/>
        <v>717</v>
      </c>
      <c r="K67" s="1703">
        <f t="shared" si="2"/>
        <v>1292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173516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2209</v>
      </c>
      <c r="D71" s="468"/>
      <c r="E71" s="468"/>
      <c r="F71" s="468"/>
      <c r="G71" s="468"/>
      <c r="H71" s="468"/>
      <c r="I71" s="468"/>
      <c r="J71" s="468"/>
      <c r="K71" s="468"/>
    </row>
    <row r="72" spans="1:11" ht="12.75" customHeight="1" x14ac:dyDescent="0.2">
      <c r="A72" s="463" t="s">
        <v>24</v>
      </c>
      <c r="B72" s="470">
        <v>1614</v>
      </c>
      <c r="C72" s="551">
        <v>1729</v>
      </c>
      <c r="D72" s="468"/>
      <c r="E72" s="468"/>
      <c r="F72" s="468"/>
      <c r="G72" s="468"/>
      <c r="H72" s="468"/>
      <c r="I72" s="468"/>
      <c r="J72" s="468"/>
      <c r="K72" s="468"/>
    </row>
    <row r="73" spans="1:11" ht="12.75" customHeight="1" x14ac:dyDescent="0.2">
      <c r="A73" s="463" t="s">
        <v>1055</v>
      </c>
      <c r="B73" s="470">
        <v>1620</v>
      </c>
      <c r="C73" s="551">
        <v>1757</v>
      </c>
      <c r="D73" s="468"/>
      <c r="E73" s="468"/>
      <c r="F73" s="468"/>
      <c r="G73" s="468"/>
      <c r="H73" s="468"/>
      <c r="I73" s="468"/>
      <c r="J73" s="468"/>
      <c r="K73" s="468"/>
    </row>
    <row r="74" spans="1:11" ht="12.75" customHeight="1" x14ac:dyDescent="0.2">
      <c r="A74" s="463" t="s">
        <v>25</v>
      </c>
      <c r="B74" s="470">
        <v>1690</v>
      </c>
      <c r="C74" s="551">
        <v>2300</v>
      </c>
      <c r="D74" s="468"/>
      <c r="E74" s="468"/>
      <c r="F74" s="468"/>
      <c r="G74" s="468"/>
      <c r="H74" s="468"/>
      <c r="I74" s="468"/>
      <c r="J74" s="468"/>
      <c r="K74" s="468"/>
    </row>
    <row r="75" spans="1:11" ht="12.75" customHeight="1" thickBot="1" x14ac:dyDescent="0.25">
      <c r="A75" s="1723" t="s">
        <v>569</v>
      </c>
      <c r="B75" s="1724"/>
      <c r="C75" s="1703">
        <f>SUM(C69:C74)</f>
        <v>181511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37054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20571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3" t="s">
        <v>259</v>
      </c>
      <c r="B82" s="1724"/>
      <c r="C82" s="1722">
        <f>SUM(C77:C81)</f>
        <v>57625</v>
      </c>
      <c r="D82" s="1703">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37736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3" t="s">
        <v>261</v>
      </c>
      <c r="B93" s="1724"/>
      <c r="C93" s="1703">
        <f>SUM(C84:C92)</f>
        <v>37736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5765</v>
      </c>
      <c r="E95" s="521"/>
      <c r="F95" s="521"/>
      <c r="G95" s="521"/>
      <c r="H95" s="521"/>
      <c r="I95" s="521"/>
      <c r="J95" s="521"/>
      <c r="K95" s="521"/>
    </row>
    <row r="96" spans="1:11" ht="12.75" customHeight="1" x14ac:dyDescent="0.2">
      <c r="A96" s="463" t="s">
        <v>409</v>
      </c>
      <c r="B96" s="470">
        <v>1920</v>
      </c>
      <c r="C96" s="551">
        <v>2778</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2391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4370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300755</v>
      </c>
      <c r="I103" s="468"/>
      <c r="J103" s="510"/>
      <c r="K103" s="510"/>
    </row>
    <row r="104" spans="1:12" ht="12.75" customHeight="1" x14ac:dyDescent="0.2">
      <c r="A104" s="463" t="s">
        <v>885</v>
      </c>
      <c r="B104" s="470">
        <v>1991</v>
      </c>
      <c r="C104" s="489">
        <v>150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676</v>
      </c>
      <c r="D107" s="466">
        <v>14435</v>
      </c>
      <c r="E107" s="466"/>
      <c r="F107" s="466">
        <v>1450</v>
      </c>
      <c r="G107" s="466"/>
      <c r="H107" s="466"/>
      <c r="I107" s="466"/>
      <c r="J107" s="467"/>
      <c r="K107" s="466"/>
    </row>
    <row r="108" spans="1:12" ht="12.75" customHeight="1" thickBot="1" x14ac:dyDescent="0.25">
      <c r="A108" s="1723" t="s">
        <v>508</v>
      </c>
      <c r="B108" s="1727"/>
      <c r="C108" s="1722">
        <f>SUM(C95:C107)</f>
        <v>10365</v>
      </c>
      <c r="D108" s="1722">
        <f t="shared" ref="D108:K108" si="3">SUM(D95:D107)</f>
        <v>20200</v>
      </c>
      <c r="E108" s="1722">
        <f t="shared" si="3"/>
        <v>0</v>
      </c>
      <c r="F108" s="1722">
        <f t="shared" si="3"/>
        <v>1450</v>
      </c>
      <c r="G108" s="1722">
        <f t="shared" si="3"/>
        <v>0</v>
      </c>
      <c r="H108" s="1722">
        <f t="shared" si="3"/>
        <v>300755</v>
      </c>
      <c r="I108" s="1722">
        <f t="shared" si="3"/>
        <v>0</v>
      </c>
      <c r="J108" s="1722">
        <f t="shared" si="3"/>
        <v>0</v>
      </c>
      <c r="K108" s="1703">
        <f t="shared" si="3"/>
        <v>0</v>
      </c>
    </row>
    <row r="109" spans="1:12" ht="14.25" thickTop="1" thickBot="1" x14ac:dyDescent="0.25">
      <c r="A109" s="1728" t="s">
        <v>266</v>
      </c>
      <c r="B109" s="1729" t="s">
        <v>591</v>
      </c>
      <c r="C109" s="1730">
        <f t="shared" ref="C109:K109" si="4">SUM(C12,C18,C40,C63,C67,C75,C82,C93,C108,)</f>
        <v>1783959</v>
      </c>
      <c r="D109" s="1730">
        <f t="shared" si="4"/>
        <v>508643</v>
      </c>
      <c r="E109" s="1730">
        <f t="shared" si="4"/>
        <v>407581</v>
      </c>
      <c r="F109" s="1730">
        <f t="shared" si="4"/>
        <v>161650</v>
      </c>
      <c r="G109" s="1730">
        <f t="shared" si="4"/>
        <v>309668</v>
      </c>
      <c r="H109" s="1730">
        <f t="shared" si="4"/>
        <v>300877</v>
      </c>
      <c r="I109" s="1730">
        <f t="shared" si="4"/>
        <v>39856</v>
      </c>
      <c r="J109" s="1730">
        <f t="shared" si="4"/>
        <v>212139</v>
      </c>
      <c r="K109" s="1717">
        <f t="shared" si="4"/>
        <v>1292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19421</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1" t="s">
        <v>839</v>
      </c>
      <c r="B114" s="1732" t="s">
        <v>590</v>
      </c>
      <c r="C114" s="1733">
        <f>SUM(C111:C113)</f>
        <v>19421</v>
      </c>
      <c r="D114" s="1733">
        <f>SUM(D111:D113)</f>
        <v>0</v>
      </c>
      <c r="E114" s="561" t="s">
        <v>1231</v>
      </c>
      <c r="F114" s="1733">
        <f>SUM(F111:F113)</f>
        <v>0</v>
      </c>
      <c r="G114" s="1733">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3897242</v>
      </c>
      <c r="D117" s="481">
        <v>83000</v>
      </c>
      <c r="E117" s="466"/>
      <c r="F117" s="481">
        <v>67000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3" t="s">
        <v>509</v>
      </c>
      <c r="B121" s="1734"/>
      <c r="C121" s="1722">
        <f t="shared" ref="C121:H121" si="5">SUM(C117:C120)</f>
        <v>3897242</v>
      </c>
      <c r="D121" s="1722">
        <f t="shared" si="5"/>
        <v>83000</v>
      </c>
      <c r="E121" s="1722">
        <f t="shared" si="5"/>
        <v>0</v>
      </c>
      <c r="F121" s="1722">
        <f t="shared" si="5"/>
        <v>67000</v>
      </c>
      <c r="G121" s="1722">
        <f t="shared" si="5"/>
        <v>0</v>
      </c>
      <c r="H121" s="1722">
        <f t="shared" si="5"/>
        <v>0</v>
      </c>
      <c r="I121" s="468"/>
      <c r="J121" s="1722">
        <f>SUM(J117:J120)</f>
        <v>0</v>
      </c>
      <c r="K121" s="1703">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59584</v>
      </c>
      <c r="D125" s="561"/>
      <c r="E125" s="468"/>
      <c r="F125" s="466"/>
      <c r="G125" s="468"/>
      <c r="H125" s="468"/>
      <c r="I125" s="468"/>
      <c r="J125" s="468"/>
      <c r="K125" s="468"/>
    </row>
    <row r="126" spans="1:11" ht="12.75" customHeight="1" x14ac:dyDescent="0.2">
      <c r="A126" s="463" t="s">
        <v>922</v>
      </c>
      <c r="B126" s="562">
        <v>3110</v>
      </c>
      <c r="C126" s="551">
        <v>76418</v>
      </c>
      <c r="D126" s="466"/>
      <c r="E126" s="468"/>
      <c r="F126" s="466"/>
      <c r="G126" s="468"/>
      <c r="H126" s="468"/>
      <c r="I126" s="468"/>
      <c r="J126" s="468"/>
      <c r="K126" s="468"/>
    </row>
    <row r="127" spans="1:11" ht="12.75" customHeight="1" x14ac:dyDescent="0.2">
      <c r="A127" s="463" t="s">
        <v>107</v>
      </c>
      <c r="B127" s="562">
        <v>3120</v>
      </c>
      <c r="C127" s="466">
        <v>19132</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3" t="s">
        <v>1092</v>
      </c>
      <c r="B131" s="1735"/>
      <c r="C131" s="1722">
        <f>SUM(C124:C130)</f>
        <v>155134</v>
      </c>
      <c r="D131" s="1722">
        <f>SUM(D124:D130)</f>
        <v>0</v>
      </c>
      <c r="E131" s="469" t="s">
        <v>1231</v>
      </c>
      <c r="F131" s="1722">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14590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3" t="s">
        <v>624</v>
      </c>
      <c r="B140" s="1735"/>
      <c r="C140" s="1722">
        <f>SUM(C133:C139)</f>
        <v>14590</v>
      </c>
      <c r="D140" s="1722">
        <f>SUM(D133:D139)</f>
        <v>0</v>
      </c>
      <c r="E140" s="561" t="s">
        <v>1231</v>
      </c>
      <c r="F140" s="477"/>
      <c r="G140" s="1722">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3" t="s">
        <v>414</v>
      </c>
      <c r="B144" s="1735"/>
      <c r="C144" s="1703">
        <f>SUM(C142:C143)</f>
        <v>0</v>
      </c>
      <c r="D144" s="468"/>
      <c r="E144" s="509"/>
      <c r="F144" s="468"/>
      <c r="G144" s="1736">
        <f>SUM(G142:G143)</f>
        <v>0</v>
      </c>
      <c r="H144" s="468"/>
      <c r="I144" s="468"/>
      <c r="J144" s="468"/>
      <c r="K144" s="468"/>
    </row>
    <row r="145" spans="1:11" s="202" customFormat="1" ht="12.75" customHeight="1" thickTop="1" x14ac:dyDescent="0.2">
      <c r="A145" s="1520" t="s">
        <v>1116</v>
      </c>
      <c r="B145" s="568">
        <v>3360</v>
      </c>
      <c r="C145" s="569">
        <v>2696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13623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294202</v>
      </c>
      <c r="G151" s="467"/>
      <c r="H151" s="468"/>
      <c r="I151" s="468"/>
      <c r="J151" s="468"/>
      <c r="K151" s="468"/>
    </row>
    <row r="152" spans="1:11" ht="12.75" customHeight="1" x14ac:dyDescent="0.2">
      <c r="A152" s="463" t="s">
        <v>1117</v>
      </c>
      <c r="B152" s="562">
        <v>3510</v>
      </c>
      <c r="C152" s="551"/>
      <c r="D152" s="466"/>
      <c r="E152" s="561"/>
      <c r="F152" s="466">
        <v>151769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3" t="s">
        <v>96</v>
      </c>
      <c r="B154" s="1735"/>
      <c r="C154" s="1722">
        <f>SUM(C151:C153)</f>
        <v>0</v>
      </c>
      <c r="D154" s="1722">
        <f>SUM(D151:D153)</f>
        <v>0</v>
      </c>
      <c r="E154" s="561"/>
      <c r="F154" s="1722">
        <f>SUM(F151:F153)</f>
        <v>445971</v>
      </c>
      <c r="G154" s="1722">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v>79239</v>
      </c>
      <c r="D157" s="468"/>
      <c r="E157" s="561"/>
      <c r="F157" s="576"/>
      <c r="G157" s="576"/>
      <c r="H157" s="468"/>
      <c r="I157" s="468"/>
      <c r="J157" s="468"/>
      <c r="K157" s="468"/>
    </row>
    <row r="158" spans="1:11" ht="12.75" customHeight="1" thickTop="1" thickBot="1" x14ac:dyDescent="0.25">
      <c r="A158" s="1522" t="s">
        <v>1111</v>
      </c>
      <c r="B158" s="574">
        <v>3705</v>
      </c>
      <c r="C158" s="576">
        <v>138162</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53" t="s">
        <v>418</v>
      </c>
      <c r="B172" s="2154"/>
      <c r="C172" s="1737">
        <f t="shared" ref="C172:K172" si="6">SUM(C131,C140,C144,C145:C149,C154,C155:C170,C171)</f>
        <v>404944</v>
      </c>
      <c r="D172" s="1737">
        <f t="shared" si="6"/>
        <v>0</v>
      </c>
      <c r="E172" s="1737">
        <f t="shared" si="6"/>
        <v>0</v>
      </c>
      <c r="F172" s="1737">
        <f t="shared" si="6"/>
        <v>445971</v>
      </c>
      <c r="G172" s="1737">
        <f t="shared" si="6"/>
        <v>0</v>
      </c>
      <c r="H172" s="1737">
        <f t="shared" si="6"/>
        <v>0</v>
      </c>
      <c r="I172" s="1737">
        <f t="shared" si="6"/>
        <v>0</v>
      </c>
      <c r="J172" s="1737">
        <f t="shared" si="6"/>
        <v>0</v>
      </c>
      <c r="K172" s="1718">
        <f t="shared" si="6"/>
        <v>0</v>
      </c>
    </row>
    <row r="173" spans="1:11" ht="12.75" customHeight="1" thickTop="1" thickBot="1" x14ac:dyDescent="0.25">
      <c r="A173" s="1723" t="s">
        <v>419</v>
      </c>
      <c r="B173" s="1729" t="s">
        <v>596</v>
      </c>
      <c r="C173" s="1730">
        <f>SUM(C121,C172)</f>
        <v>4302186</v>
      </c>
      <c r="D173" s="1730">
        <f>SUM(D121,D172)</f>
        <v>83000</v>
      </c>
      <c r="E173" s="1730">
        <f>SUM(E121,E172)</f>
        <v>0</v>
      </c>
      <c r="F173" s="1730">
        <f t="shared" ref="F173:K173" si="7">SUM(F121,F172)</f>
        <v>512971</v>
      </c>
      <c r="G173" s="1730">
        <f t="shared" si="7"/>
        <v>0</v>
      </c>
      <c r="H173" s="1730">
        <f t="shared" si="7"/>
        <v>0</v>
      </c>
      <c r="I173" s="1730">
        <f t="shared" si="7"/>
        <v>0</v>
      </c>
      <c r="J173" s="1730">
        <f t="shared" si="7"/>
        <v>0</v>
      </c>
      <c r="K173" s="1717">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55" t="s">
        <v>1572</v>
      </c>
      <c r="B175" s="215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59" t="s">
        <v>1764</v>
      </c>
      <c r="B178" s="2160"/>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163" t="s">
        <v>1763</v>
      </c>
      <c r="B179" s="216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1" t="s">
        <v>818</v>
      </c>
      <c r="B184" s="2162"/>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57" t="s">
        <v>1906</v>
      </c>
      <c r="B185" s="215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3" t="s">
        <v>1697</v>
      </c>
      <c r="B191" s="1724"/>
      <c r="C191" s="1722">
        <f>SUM(C187:C190)</f>
        <v>0</v>
      </c>
      <c r="D191" s="1722">
        <f>SUM(D187:D190)</f>
        <v>0</v>
      </c>
      <c r="E191" s="561"/>
      <c r="F191" s="1722">
        <f>SUM(F187:F190)</f>
        <v>0</v>
      </c>
      <c r="G191" s="1722">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167584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31291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3" t="s">
        <v>569</v>
      </c>
      <c r="B201" s="1724"/>
      <c r="C201" s="1703">
        <f>SUM(C193:C200)</f>
        <v>198875</v>
      </c>
      <c r="D201" s="468"/>
      <c r="E201" s="468"/>
      <c r="F201" s="468"/>
      <c r="G201" s="1703">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182735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3" t="s">
        <v>420</v>
      </c>
      <c r="B211" s="1724"/>
      <c r="C211" s="1722">
        <f>SUM(C203:C210)</f>
        <v>182735</v>
      </c>
      <c r="D211" s="1722">
        <f>SUM(D203:D210)</f>
        <v>0</v>
      </c>
      <c r="E211" s="468"/>
      <c r="F211" s="1722">
        <f>SUM(F203:F210)</f>
        <v>0</v>
      </c>
      <c r="G211" s="1722">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3" t="s">
        <v>944</v>
      </c>
      <c r="B216" s="1724"/>
      <c r="C216" s="1722">
        <f>SUM(C213:C215)</f>
        <v>0</v>
      </c>
      <c r="D216" s="1722">
        <f>SUM(D213:D215)</f>
        <v>0</v>
      </c>
      <c r="E216" s="468" t="s">
        <v>1231</v>
      </c>
      <c r="F216" s="1722">
        <f>SUM(F213:F215)</f>
        <v>0</v>
      </c>
      <c r="G216" s="1722">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1282</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3" t="s">
        <v>467</v>
      </c>
      <c r="B224" s="1724"/>
      <c r="C224" s="1722">
        <f>SUM(C218:C223)</f>
        <v>1282</v>
      </c>
      <c r="D224" s="1722">
        <f>SUM(D218:D223)</f>
        <v>0</v>
      </c>
      <c r="E224" s="468"/>
      <c r="F224" s="1722">
        <f>SUM(F218:F223)</f>
        <v>0</v>
      </c>
      <c r="G224" s="1722">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8" t="s">
        <v>1145</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0" t="s">
        <v>798</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34417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14344</v>
      </c>
      <c r="D270" s="576"/>
      <c r="E270" s="468"/>
      <c r="F270" s="576"/>
      <c r="G270" s="576"/>
      <c r="H270" s="468"/>
      <c r="I270" s="468"/>
      <c r="J270" s="468"/>
      <c r="K270" s="468"/>
    </row>
    <row r="271" spans="1:11" ht="12.75" customHeight="1" thickTop="1" thickBot="1" x14ac:dyDescent="0.25">
      <c r="A271" s="463" t="s">
        <v>395</v>
      </c>
      <c r="B271" s="470">
        <v>4992</v>
      </c>
      <c r="C271" s="575">
        <v>84862</v>
      </c>
      <c r="D271" s="576"/>
      <c r="E271" s="468"/>
      <c r="F271" s="576"/>
      <c r="G271" s="576"/>
      <c r="H271" s="468"/>
      <c r="I271" s="468"/>
      <c r="J271" s="468"/>
      <c r="K271" s="468"/>
    </row>
    <row r="272" spans="1:11" s="594" customFormat="1" ht="12.75" customHeight="1" thickTop="1" thickBot="1" x14ac:dyDescent="0.25">
      <c r="A272" s="563" t="s">
        <v>77</v>
      </c>
      <c r="B272" s="557">
        <v>4999</v>
      </c>
      <c r="C272" s="575">
        <v>4500</v>
      </c>
      <c r="D272" s="576"/>
      <c r="E272" s="468"/>
      <c r="F272" s="576"/>
      <c r="G272" s="576"/>
      <c r="H272" s="530"/>
      <c r="I272" s="468"/>
      <c r="J272" s="468"/>
      <c r="K272" s="530"/>
    </row>
    <row r="273" spans="1:11" ht="14.25" thickTop="1" thickBot="1" x14ac:dyDescent="0.25">
      <c r="A273" s="1723" t="s">
        <v>1765</v>
      </c>
      <c r="B273" s="1742"/>
      <c r="C273" s="1730">
        <f t="shared" ref="C273:H273" si="10">SUM(C191,C201,C211,C216,C224,C228,C229,C259:C272)</f>
        <v>521015</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1147</v>
      </c>
      <c r="B274" s="1744" t="s">
        <v>915</v>
      </c>
      <c r="C274" s="1730">
        <f>SUM(C178,C184,C273)</f>
        <v>521015</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6626581</v>
      </c>
      <c r="D275" s="1730">
        <f t="shared" si="12"/>
        <v>591643</v>
      </c>
      <c r="E275" s="1730">
        <f t="shared" si="12"/>
        <v>407581</v>
      </c>
      <c r="F275" s="1730">
        <f t="shared" si="12"/>
        <v>674621</v>
      </c>
      <c r="G275" s="1730">
        <f t="shared" si="12"/>
        <v>309668</v>
      </c>
      <c r="H275" s="1730">
        <f t="shared" si="12"/>
        <v>300877</v>
      </c>
      <c r="I275" s="1730">
        <f t="shared" si="12"/>
        <v>39856</v>
      </c>
      <c r="J275" s="1730">
        <f t="shared" si="12"/>
        <v>212139</v>
      </c>
      <c r="K275" s="1717">
        <f t="shared" si="12"/>
        <v>1292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69" firstPageNumber="9" fitToHeight="0" orientation="landscape" useFirstPageNumber="1" r:id="rId1"/>
  <headerFooter alignWithMargins="0">
    <oddHeader>&amp;L&amp;8Page &amp;P&amp;C&amp;"Arial,Bold"&amp;9STATEMENT OF REVENUES RECEIVED/REVENUES
FOR THE YEAR ENDING JUNE 30, 2018&amp;R&amp;8Page &amp;P</oddHeader>
    <oddFooter>&amp;LThe notes to the financial statements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88" activePane="bottomLeft" state="frozen"/>
      <selection activeCell="A2" sqref="A2:F2"/>
      <selection pane="bottomLeft" activeCell="A2" sqref="A2:F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6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1" t="s">
        <v>315</v>
      </c>
      <c r="B3" s="217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2189471</v>
      </c>
      <c r="D5" s="466">
        <v>480661</v>
      </c>
      <c r="E5" s="466">
        <v>1639</v>
      </c>
      <c r="F5" s="466">
        <v>109302</v>
      </c>
      <c r="G5" s="466">
        <v>17057</v>
      </c>
      <c r="H5" s="466"/>
      <c r="I5" s="467"/>
      <c r="J5" s="467"/>
      <c r="K5" s="1686">
        <f>SUM(C5:J5)</f>
        <v>2798130</v>
      </c>
      <c r="L5" s="466">
        <v>2876702</v>
      </c>
    </row>
    <row r="6" spans="1:14" x14ac:dyDescent="0.2">
      <c r="A6" s="1526" t="s">
        <v>1508</v>
      </c>
      <c r="B6" s="615" t="s">
        <v>1506</v>
      </c>
      <c r="C6" s="477"/>
      <c r="D6" s="477"/>
      <c r="E6" s="466"/>
      <c r="F6" s="477"/>
      <c r="G6" s="477"/>
      <c r="H6" s="477"/>
      <c r="I6" s="477"/>
      <c r="J6" s="477"/>
      <c r="K6" s="1686">
        <f>SUM(C6,E6)</f>
        <v>0</v>
      </c>
      <c r="L6" s="466"/>
    </row>
    <row r="7" spans="1:14" x14ac:dyDescent="0.2">
      <c r="A7" s="1526" t="s">
        <v>165</v>
      </c>
      <c r="B7" s="615" t="s">
        <v>1024</v>
      </c>
      <c r="C7" s="467">
        <v>64147</v>
      </c>
      <c r="D7" s="467">
        <v>8906</v>
      </c>
      <c r="E7" s="467">
        <v>1497</v>
      </c>
      <c r="F7" s="467">
        <v>13633</v>
      </c>
      <c r="G7" s="467"/>
      <c r="H7" s="467"/>
      <c r="I7" s="467"/>
      <c r="J7" s="467"/>
      <c r="K7" s="1686">
        <f t="shared" ref="K7:K32" si="0">SUM(C7:J7)</f>
        <v>88183</v>
      </c>
      <c r="L7" s="466">
        <v>102523</v>
      </c>
    </row>
    <row r="8" spans="1:14" x14ac:dyDescent="0.2">
      <c r="A8" s="1526" t="s">
        <v>166</v>
      </c>
      <c r="B8" s="615">
        <v>1200</v>
      </c>
      <c r="C8" s="466">
        <v>697201</v>
      </c>
      <c r="D8" s="466">
        <v>169845</v>
      </c>
      <c r="E8" s="466">
        <v>9717</v>
      </c>
      <c r="F8" s="466">
        <v>8828</v>
      </c>
      <c r="G8" s="466"/>
      <c r="H8" s="466"/>
      <c r="I8" s="467"/>
      <c r="J8" s="467"/>
      <c r="K8" s="1686">
        <f t="shared" si="0"/>
        <v>885591</v>
      </c>
      <c r="L8" s="466">
        <v>978352</v>
      </c>
    </row>
    <row r="9" spans="1:14" x14ac:dyDescent="0.2">
      <c r="A9" s="1526" t="s">
        <v>745</v>
      </c>
      <c r="B9" s="615" t="s">
        <v>1025</v>
      </c>
      <c r="C9" s="467"/>
      <c r="D9" s="467"/>
      <c r="E9" s="467"/>
      <c r="F9" s="467"/>
      <c r="G9" s="467"/>
      <c r="H9" s="467"/>
      <c r="I9" s="467"/>
      <c r="J9" s="467"/>
      <c r="K9" s="1686">
        <f t="shared" si="0"/>
        <v>0</v>
      </c>
      <c r="L9" s="466"/>
    </row>
    <row r="10" spans="1:14" x14ac:dyDescent="0.2">
      <c r="A10" s="1526" t="s">
        <v>746</v>
      </c>
      <c r="B10" s="615">
        <v>1250</v>
      </c>
      <c r="C10" s="466">
        <v>127963</v>
      </c>
      <c r="D10" s="466">
        <v>29235</v>
      </c>
      <c r="E10" s="466">
        <v>1214</v>
      </c>
      <c r="F10" s="466">
        <v>5478</v>
      </c>
      <c r="G10" s="466"/>
      <c r="H10" s="466"/>
      <c r="I10" s="467"/>
      <c r="J10" s="467"/>
      <c r="K10" s="1686">
        <f t="shared" si="0"/>
        <v>163890</v>
      </c>
      <c r="L10" s="466">
        <v>170423</v>
      </c>
    </row>
    <row r="11" spans="1:14" x14ac:dyDescent="0.2">
      <c r="A11" s="1526" t="s">
        <v>1192</v>
      </c>
      <c r="B11" s="615" t="s">
        <v>163</v>
      </c>
      <c r="C11" s="467">
        <v>57409</v>
      </c>
      <c r="D11" s="467">
        <v>12886</v>
      </c>
      <c r="E11" s="467"/>
      <c r="F11" s="467">
        <v>1306</v>
      </c>
      <c r="G11" s="467"/>
      <c r="H11" s="467"/>
      <c r="I11" s="467"/>
      <c r="J11" s="467"/>
      <c r="K11" s="1686">
        <f t="shared" si="0"/>
        <v>71601</v>
      </c>
      <c r="L11" s="466"/>
    </row>
    <row r="12" spans="1:14" x14ac:dyDescent="0.2">
      <c r="A12" s="1526" t="s">
        <v>1019</v>
      </c>
      <c r="B12" s="615">
        <v>1300</v>
      </c>
      <c r="C12" s="466"/>
      <c r="D12" s="466"/>
      <c r="E12" s="466"/>
      <c r="F12" s="466"/>
      <c r="G12" s="466"/>
      <c r="H12" s="466"/>
      <c r="I12" s="467"/>
      <c r="J12" s="467"/>
      <c r="K12" s="1686">
        <f t="shared" si="0"/>
        <v>0</v>
      </c>
      <c r="L12" s="466"/>
    </row>
    <row r="13" spans="1:14" x14ac:dyDescent="0.2">
      <c r="A13" s="1526" t="s">
        <v>747</v>
      </c>
      <c r="B13" s="615">
        <v>1400</v>
      </c>
      <c r="C13" s="466">
        <v>203736</v>
      </c>
      <c r="D13" s="466">
        <v>43960</v>
      </c>
      <c r="E13" s="466">
        <v>105</v>
      </c>
      <c r="F13" s="466">
        <v>7688</v>
      </c>
      <c r="G13" s="466">
        <v>3977</v>
      </c>
      <c r="H13" s="466"/>
      <c r="I13" s="467"/>
      <c r="J13" s="467"/>
      <c r="K13" s="1686">
        <f t="shared" si="0"/>
        <v>259466</v>
      </c>
      <c r="L13" s="466">
        <v>256085</v>
      </c>
    </row>
    <row r="14" spans="1:14" x14ac:dyDescent="0.2">
      <c r="A14" s="1526" t="s">
        <v>1020</v>
      </c>
      <c r="B14" s="615">
        <v>1500</v>
      </c>
      <c r="C14" s="466">
        <v>237183</v>
      </c>
      <c r="D14" s="466">
        <v>47729</v>
      </c>
      <c r="E14" s="466">
        <v>22356</v>
      </c>
      <c r="F14" s="466">
        <v>4073</v>
      </c>
      <c r="G14" s="466"/>
      <c r="H14" s="466">
        <v>2405</v>
      </c>
      <c r="I14" s="467"/>
      <c r="J14" s="467"/>
      <c r="K14" s="1686">
        <f t="shared" si="0"/>
        <v>313746</v>
      </c>
      <c r="L14" s="466">
        <v>312719</v>
      </c>
    </row>
    <row r="15" spans="1:14" x14ac:dyDescent="0.2">
      <c r="A15" s="1526" t="s">
        <v>1021</v>
      </c>
      <c r="B15" s="615">
        <v>1600</v>
      </c>
      <c r="C15" s="466"/>
      <c r="D15" s="466"/>
      <c r="E15" s="466"/>
      <c r="F15" s="466"/>
      <c r="G15" s="466"/>
      <c r="H15" s="466"/>
      <c r="I15" s="467"/>
      <c r="J15" s="467"/>
      <c r="K15" s="1686">
        <f t="shared" si="0"/>
        <v>0</v>
      </c>
      <c r="L15" s="466"/>
    </row>
    <row r="16" spans="1:14" x14ac:dyDescent="0.2">
      <c r="A16" s="1526" t="s">
        <v>1044</v>
      </c>
      <c r="B16" s="615" t="s">
        <v>444</v>
      </c>
      <c r="C16" s="466"/>
      <c r="D16" s="466"/>
      <c r="E16" s="466"/>
      <c r="F16" s="466"/>
      <c r="G16" s="466"/>
      <c r="H16" s="466"/>
      <c r="I16" s="467"/>
      <c r="J16" s="467"/>
      <c r="K16" s="1686">
        <f t="shared" si="0"/>
        <v>0</v>
      </c>
      <c r="L16" s="466"/>
    </row>
    <row r="17" spans="1:12" x14ac:dyDescent="0.2">
      <c r="A17" s="1526" t="s">
        <v>748</v>
      </c>
      <c r="B17" s="615" t="s">
        <v>164</v>
      </c>
      <c r="C17" s="467">
        <v>46569</v>
      </c>
      <c r="D17" s="467">
        <v>11463</v>
      </c>
      <c r="E17" s="467"/>
      <c r="F17" s="467">
        <v>1048</v>
      </c>
      <c r="G17" s="467"/>
      <c r="H17" s="467"/>
      <c r="I17" s="467"/>
      <c r="J17" s="467"/>
      <c r="K17" s="1686">
        <f t="shared" si="0"/>
        <v>59080</v>
      </c>
      <c r="L17" s="466">
        <v>56890</v>
      </c>
    </row>
    <row r="18" spans="1:12" x14ac:dyDescent="0.2">
      <c r="A18" s="1526" t="s">
        <v>1148</v>
      </c>
      <c r="B18" s="615">
        <v>1800</v>
      </c>
      <c r="C18" s="466"/>
      <c r="D18" s="466"/>
      <c r="E18" s="466"/>
      <c r="F18" s="466"/>
      <c r="G18" s="466"/>
      <c r="H18" s="466"/>
      <c r="I18" s="467"/>
      <c r="J18" s="467"/>
      <c r="K18" s="1686">
        <f t="shared" si="0"/>
        <v>0</v>
      </c>
      <c r="L18" s="466"/>
    </row>
    <row r="19" spans="1:12" x14ac:dyDescent="0.2">
      <c r="A19" s="1526" t="s">
        <v>136</v>
      </c>
      <c r="B19" s="615">
        <v>1900</v>
      </c>
      <c r="C19" s="466">
        <v>37848</v>
      </c>
      <c r="D19" s="466">
        <v>6158</v>
      </c>
      <c r="E19" s="466">
        <v>1396</v>
      </c>
      <c r="F19" s="466">
        <v>74</v>
      </c>
      <c r="G19" s="466"/>
      <c r="H19" s="466"/>
      <c r="I19" s="467"/>
      <c r="J19" s="467"/>
      <c r="K19" s="1686">
        <f t="shared" si="0"/>
        <v>45476</v>
      </c>
      <c r="L19" s="466">
        <v>47602</v>
      </c>
    </row>
    <row r="20" spans="1:12" x14ac:dyDescent="0.2">
      <c r="A20" s="1527" t="s">
        <v>762</v>
      </c>
      <c r="B20" s="603" t="s">
        <v>749</v>
      </c>
      <c r="C20" s="477"/>
      <c r="D20" s="477"/>
      <c r="E20" s="477"/>
      <c r="F20" s="477"/>
      <c r="G20" s="477"/>
      <c r="H20" s="474"/>
      <c r="I20" s="617"/>
      <c r="J20" s="475"/>
      <c r="K20" s="1686">
        <f t="shared" si="0"/>
        <v>0</v>
      </c>
      <c r="L20" s="471"/>
    </row>
    <row r="21" spans="1:12" x14ac:dyDescent="0.2">
      <c r="A21" s="1527" t="s">
        <v>763</v>
      </c>
      <c r="B21" s="603" t="s">
        <v>750</v>
      </c>
      <c r="C21" s="477"/>
      <c r="D21" s="477"/>
      <c r="E21" s="477"/>
      <c r="F21" s="477"/>
      <c r="G21" s="477"/>
      <c r="H21" s="474"/>
      <c r="I21" s="617"/>
      <c r="J21" s="477"/>
      <c r="K21" s="1686">
        <f t="shared" si="0"/>
        <v>0</v>
      </c>
      <c r="L21" s="471"/>
    </row>
    <row r="22" spans="1:12" x14ac:dyDescent="0.2">
      <c r="A22" s="1527" t="s">
        <v>764</v>
      </c>
      <c r="B22" s="603" t="s">
        <v>751</v>
      </c>
      <c r="C22" s="477"/>
      <c r="D22" s="477"/>
      <c r="E22" s="477"/>
      <c r="F22" s="477"/>
      <c r="G22" s="477"/>
      <c r="H22" s="474"/>
      <c r="I22" s="617"/>
      <c r="J22" s="477"/>
      <c r="K22" s="1686">
        <f t="shared" si="0"/>
        <v>0</v>
      </c>
      <c r="L22" s="471"/>
    </row>
    <row r="23" spans="1:12" x14ac:dyDescent="0.2">
      <c r="A23" s="1527" t="s">
        <v>765</v>
      </c>
      <c r="B23" s="603" t="s">
        <v>752</v>
      </c>
      <c r="C23" s="477"/>
      <c r="D23" s="477"/>
      <c r="E23" s="477"/>
      <c r="F23" s="477"/>
      <c r="G23" s="477"/>
      <c r="H23" s="474"/>
      <c r="I23" s="617"/>
      <c r="J23" s="477"/>
      <c r="K23" s="1686">
        <f t="shared" si="0"/>
        <v>0</v>
      </c>
      <c r="L23" s="471"/>
    </row>
    <row r="24" spans="1:12" ht="12.75" customHeight="1" x14ac:dyDescent="0.2">
      <c r="A24" s="1527" t="s">
        <v>766</v>
      </c>
      <c r="B24" s="603" t="s">
        <v>753</v>
      </c>
      <c r="C24" s="477"/>
      <c r="D24" s="477"/>
      <c r="E24" s="477"/>
      <c r="F24" s="477"/>
      <c r="G24" s="477"/>
      <c r="H24" s="474"/>
      <c r="I24" s="617"/>
      <c r="J24" s="477"/>
      <c r="K24" s="1686">
        <f t="shared" si="0"/>
        <v>0</v>
      </c>
      <c r="L24" s="471"/>
    </row>
    <row r="25" spans="1:12" ht="12.75" customHeight="1" x14ac:dyDescent="0.2">
      <c r="A25" s="1527" t="s">
        <v>835</v>
      </c>
      <c r="B25" s="603" t="s">
        <v>754</v>
      </c>
      <c r="C25" s="477"/>
      <c r="D25" s="477"/>
      <c r="E25" s="477"/>
      <c r="F25" s="477"/>
      <c r="G25" s="477"/>
      <c r="H25" s="474"/>
      <c r="I25" s="617"/>
      <c r="J25" s="477"/>
      <c r="K25" s="1686">
        <f t="shared" si="0"/>
        <v>0</v>
      </c>
      <c r="L25" s="471"/>
    </row>
    <row r="26" spans="1:12" x14ac:dyDescent="0.2">
      <c r="A26" s="1527" t="s">
        <v>643</v>
      </c>
      <c r="B26" s="603" t="s">
        <v>755</v>
      </c>
      <c r="C26" s="477"/>
      <c r="D26" s="477"/>
      <c r="E26" s="477"/>
      <c r="F26" s="477"/>
      <c r="G26" s="477"/>
      <c r="H26" s="474"/>
      <c r="I26" s="617"/>
      <c r="J26" s="477"/>
      <c r="K26" s="1686">
        <f t="shared" si="0"/>
        <v>0</v>
      </c>
      <c r="L26" s="471"/>
    </row>
    <row r="27" spans="1:12" x14ac:dyDescent="0.2">
      <c r="A27" s="1527" t="s">
        <v>644</v>
      </c>
      <c r="B27" s="603" t="s">
        <v>756</v>
      </c>
      <c r="C27" s="477"/>
      <c r="D27" s="477"/>
      <c r="E27" s="477"/>
      <c r="F27" s="477"/>
      <c r="G27" s="477"/>
      <c r="H27" s="474"/>
      <c r="I27" s="617"/>
      <c r="J27" s="477"/>
      <c r="K27" s="1686">
        <f t="shared" si="0"/>
        <v>0</v>
      </c>
      <c r="L27" s="471"/>
    </row>
    <row r="28" spans="1:12" x14ac:dyDescent="0.2">
      <c r="A28" s="1527" t="s">
        <v>152</v>
      </c>
      <c r="B28" s="603" t="s">
        <v>757</v>
      </c>
      <c r="C28" s="477"/>
      <c r="D28" s="477"/>
      <c r="E28" s="477"/>
      <c r="F28" s="477"/>
      <c r="G28" s="477"/>
      <c r="H28" s="474"/>
      <c r="I28" s="617"/>
      <c r="J28" s="477"/>
      <c r="K28" s="1686">
        <f t="shared" si="0"/>
        <v>0</v>
      </c>
      <c r="L28" s="471"/>
    </row>
    <row r="29" spans="1:12" x14ac:dyDescent="0.2">
      <c r="A29" s="1527" t="s">
        <v>153</v>
      </c>
      <c r="B29" s="603" t="s">
        <v>758</v>
      </c>
      <c r="C29" s="477"/>
      <c r="D29" s="477"/>
      <c r="E29" s="477"/>
      <c r="F29" s="477"/>
      <c r="G29" s="477"/>
      <c r="H29" s="474"/>
      <c r="I29" s="617"/>
      <c r="J29" s="477"/>
      <c r="K29" s="1686">
        <f t="shared" si="0"/>
        <v>0</v>
      </c>
      <c r="L29" s="471"/>
    </row>
    <row r="30" spans="1:12" x14ac:dyDescent="0.2">
      <c r="A30" s="1527" t="s">
        <v>154</v>
      </c>
      <c r="B30" s="603" t="s">
        <v>759</v>
      </c>
      <c r="C30" s="477"/>
      <c r="D30" s="477"/>
      <c r="E30" s="477"/>
      <c r="F30" s="477"/>
      <c r="G30" s="477"/>
      <c r="H30" s="474"/>
      <c r="I30" s="617"/>
      <c r="J30" s="477"/>
      <c r="K30" s="1686">
        <f t="shared" si="0"/>
        <v>0</v>
      </c>
      <c r="L30" s="471"/>
    </row>
    <row r="31" spans="1:12" x14ac:dyDescent="0.2">
      <c r="A31" s="1527" t="s">
        <v>155</v>
      </c>
      <c r="B31" s="603" t="s">
        <v>760</v>
      </c>
      <c r="C31" s="477"/>
      <c r="D31" s="477"/>
      <c r="E31" s="477"/>
      <c r="F31" s="477"/>
      <c r="G31" s="477"/>
      <c r="H31" s="474"/>
      <c r="I31" s="617"/>
      <c r="J31" s="477"/>
      <c r="K31" s="1686">
        <f t="shared" si="0"/>
        <v>0</v>
      </c>
      <c r="L31" s="471"/>
    </row>
    <row r="32" spans="1:12" x14ac:dyDescent="0.2">
      <c r="A32" s="1528" t="s">
        <v>1191</v>
      </c>
      <c r="B32" s="615" t="s">
        <v>761</v>
      </c>
      <c r="C32" s="477"/>
      <c r="D32" s="477"/>
      <c r="E32" s="477"/>
      <c r="F32" s="477"/>
      <c r="G32" s="477"/>
      <c r="H32" s="474"/>
      <c r="I32" s="617"/>
      <c r="J32" s="480"/>
      <c r="K32" s="1686">
        <f t="shared" si="0"/>
        <v>0</v>
      </c>
      <c r="L32" s="471"/>
    </row>
    <row r="33" spans="1:14" ht="12.75" customHeight="1" thickBot="1" x14ac:dyDescent="0.25">
      <c r="A33" s="1683" t="s">
        <v>1767</v>
      </c>
      <c r="B33" s="1684" t="s">
        <v>591</v>
      </c>
      <c r="C33" s="1685">
        <f>SUM(C5:C32)</f>
        <v>3661527</v>
      </c>
      <c r="D33" s="1685">
        <f t="shared" ref="D33:L33" si="1">SUM(D5:D32)</f>
        <v>810843</v>
      </c>
      <c r="E33" s="1685">
        <f t="shared" si="1"/>
        <v>37924</v>
      </c>
      <c r="F33" s="1685">
        <f t="shared" si="1"/>
        <v>151430</v>
      </c>
      <c r="G33" s="1685">
        <f t="shared" si="1"/>
        <v>21034</v>
      </c>
      <c r="H33" s="1685">
        <f t="shared" si="1"/>
        <v>2405</v>
      </c>
      <c r="I33" s="1685">
        <f t="shared" si="1"/>
        <v>0</v>
      </c>
      <c r="J33" s="1685">
        <f t="shared" si="1"/>
        <v>0</v>
      </c>
      <c r="K33" s="1685">
        <f t="shared" si="1"/>
        <v>4685163</v>
      </c>
      <c r="L33" s="1685">
        <f t="shared" si="1"/>
        <v>4801296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86">
        <f t="shared" ref="K36:K41" si="2">SUM(C36:J36)</f>
        <v>0</v>
      </c>
      <c r="L36" s="466"/>
    </row>
    <row r="37" spans="1:14" x14ac:dyDescent="0.2">
      <c r="A37" s="1526" t="s">
        <v>1151</v>
      </c>
      <c r="B37" s="615">
        <v>2120</v>
      </c>
      <c r="C37" s="466">
        <v>58494</v>
      </c>
      <c r="D37" s="466">
        <v>12940</v>
      </c>
      <c r="E37" s="466">
        <v>10980</v>
      </c>
      <c r="F37" s="466">
        <v>132</v>
      </c>
      <c r="G37" s="466"/>
      <c r="H37" s="466"/>
      <c r="I37" s="467"/>
      <c r="J37" s="467"/>
      <c r="K37" s="1686">
        <f t="shared" si="2"/>
        <v>82546</v>
      </c>
      <c r="L37" s="466">
        <v>83230</v>
      </c>
    </row>
    <row r="38" spans="1:14" x14ac:dyDescent="0.2">
      <c r="A38" s="1526" t="s">
        <v>207</v>
      </c>
      <c r="B38" s="615">
        <v>2130</v>
      </c>
      <c r="C38" s="466">
        <v>72823</v>
      </c>
      <c r="D38" s="466">
        <v>13134</v>
      </c>
      <c r="E38" s="466">
        <v>421</v>
      </c>
      <c r="F38" s="466">
        <v>786</v>
      </c>
      <c r="G38" s="466"/>
      <c r="H38" s="466"/>
      <c r="I38" s="467"/>
      <c r="J38" s="467"/>
      <c r="K38" s="1686">
        <f t="shared" si="2"/>
        <v>87164</v>
      </c>
      <c r="L38" s="466">
        <v>91086</v>
      </c>
    </row>
    <row r="39" spans="1:14" x14ac:dyDescent="0.2">
      <c r="A39" s="1526" t="s">
        <v>208</v>
      </c>
      <c r="B39" s="615">
        <v>2140</v>
      </c>
      <c r="C39" s="466"/>
      <c r="D39" s="466"/>
      <c r="E39" s="466"/>
      <c r="F39" s="466"/>
      <c r="G39" s="466"/>
      <c r="H39" s="466"/>
      <c r="I39" s="467"/>
      <c r="J39" s="467"/>
      <c r="K39" s="1686">
        <f t="shared" si="2"/>
        <v>0</v>
      </c>
      <c r="L39" s="466"/>
    </row>
    <row r="40" spans="1:14" x14ac:dyDescent="0.2">
      <c r="A40" s="1526" t="s">
        <v>209</v>
      </c>
      <c r="B40" s="615">
        <v>2150</v>
      </c>
      <c r="C40" s="466">
        <v>100886</v>
      </c>
      <c r="D40" s="466">
        <v>23991</v>
      </c>
      <c r="E40" s="466">
        <v>630</v>
      </c>
      <c r="F40" s="466">
        <v>451</v>
      </c>
      <c r="G40" s="466"/>
      <c r="H40" s="466"/>
      <c r="I40" s="467"/>
      <c r="J40" s="467"/>
      <c r="K40" s="1686">
        <f t="shared" si="2"/>
        <v>125958</v>
      </c>
      <c r="L40" s="466">
        <v>124826</v>
      </c>
    </row>
    <row r="41" spans="1:14" x14ac:dyDescent="0.2">
      <c r="A41" s="1526" t="s">
        <v>1768</v>
      </c>
      <c r="B41" s="615">
        <v>2190</v>
      </c>
      <c r="C41" s="466"/>
      <c r="D41" s="466"/>
      <c r="E41" s="466"/>
      <c r="F41" s="466">
        <v>2428</v>
      </c>
      <c r="G41" s="466"/>
      <c r="H41" s="466"/>
      <c r="I41" s="467"/>
      <c r="J41" s="467"/>
      <c r="K41" s="1686">
        <f t="shared" si="2"/>
        <v>2428</v>
      </c>
      <c r="L41" s="466">
        <v>2550</v>
      </c>
    </row>
    <row r="42" spans="1:14" ht="12.75" customHeight="1" thickBot="1" x14ac:dyDescent="0.25">
      <c r="A42" s="1683" t="s">
        <v>581</v>
      </c>
      <c r="B42" s="1684" t="s">
        <v>740</v>
      </c>
      <c r="C42" s="1685">
        <f>SUM(C36:C41)</f>
        <v>232203</v>
      </c>
      <c r="D42" s="1685">
        <f t="shared" ref="D42:L42" si="3">SUM(D36:D41)</f>
        <v>50065</v>
      </c>
      <c r="E42" s="1685">
        <f t="shared" si="3"/>
        <v>12031</v>
      </c>
      <c r="F42" s="1685">
        <f t="shared" si="3"/>
        <v>3797</v>
      </c>
      <c r="G42" s="1685">
        <f t="shared" si="3"/>
        <v>0</v>
      </c>
      <c r="H42" s="1685">
        <f t="shared" si="3"/>
        <v>0</v>
      </c>
      <c r="I42" s="1685">
        <f t="shared" si="3"/>
        <v>0</v>
      </c>
      <c r="J42" s="1685">
        <f t="shared" si="3"/>
        <v>0</v>
      </c>
      <c r="K42" s="1685">
        <f t="shared" si="3"/>
        <v>298096</v>
      </c>
      <c r="L42" s="1685">
        <f t="shared" si="3"/>
        <v>301692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87">
        <f>SUM(C44:J44)</f>
        <v>0</v>
      </c>
      <c r="L44" s="481"/>
    </row>
    <row r="45" spans="1:14" x14ac:dyDescent="0.2">
      <c r="A45" s="1526" t="s">
        <v>869</v>
      </c>
      <c r="B45" s="615">
        <v>2220</v>
      </c>
      <c r="C45" s="466">
        <v>75404</v>
      </c>
      <c r="D45" s="466">
        <v>16290</v>
      </c>
      <c r="E45" s="466"/>
      <c r="F45" s="466">
        <v>4345</v>
      </c>
      <c r="G45" s="466"/>
      <c r="H45" s="466"/>
      <c r="I45" s="467"/>
      <c r="J45" s="467"/>
      <c r="K45" s="1687">
        <f>SUM(C45:J45)</f>
        <v>96039</v>
      </c>
      <c r="L45" s="466">
        <v>100182</v>
      </c>
    </row>
    <row r="46" spans="1:14" x14ac:dyDescent="0.2">
      <c r="A46" s="1526" t="s">
        <v>870</v>
      </c>
      <c r="B46" s="615">
        <v>2230</v>
      </c>
      <c r="C46" s="466"/>
      <c r="D46" s="466"/>
      <c r="E46" s="466"/>
      <c r="F46" s="466"/>
      <c r="G46" s="466"/>
      <c r="H46" s="466"/>
      <c r="I46" s="467"/>
      <c r="J46" s="467"/>
      <c r="K46" s="1687">
        <f>SUM(C46:J46)</f>
        <v>0</v>
      </c>
      <c r="L46" s="466"/>
    </row>
    <row r="47" spans="1:14" ht="12.75" customHeight="1" thickBot="1" x14ac:dyDescent="0.25">
      <c r="A47" s="1683" t="s">
        <v>582</v>
      </c>
      <c r="B47" s="1684" t="s">
        <v>32</v>
      </c>
      <c r="C47" s="1685">
        <f>SUM(C44:C46)</f>
        <v>75404</v>
      </c>
      <c r="D47" s="1685">
        <f t="shared" ref="D47:K47" si="4">SUM(D44:D46)</f>
        <v>16290</v>
      </c>
      <c r="E47" s="1685">
        <f t="shared" si="4"/>
        <v>0</v>
      </c>
      <c r="F47" s="1685">
        <f t="shared" si="4"/>
        <v>4345</v>
      </c>
      <c r="G47" s="1685">
        <f t="shared" si="4"/>
        <v>0</v>
      </c>
      <c r="H47" s="1685">
        <f t="shared" si="4"/>
        <v>0</v>
      </c>
      <c r="I47" s="1685">
        <f t="shared" si="4"/>
        <v>0</v>
      </c>
      <c r="J47" s="1685">
        <f t="shared" si="4"/>
        <v>0</v>
      </c>
      <c r="K47" s="1685">
        <f t="shared" si="4"/>
        <v>96039</v>
      </c>
      <c r="L47" s="1685">
        <f>SUM(L44:L46)</f>
        <v>100182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44915</v>
      </c>
      <c r="D49" s="481"/>
      <c r="E49" s="481"/>
      <c r="F49" s="481">
        <v>1297</v>
      </c>
      <c r="G49" s="481"/>
      <c r="H49" s="481">
        <v>4085</v>
      </c>
      <c r="I49" s="467"/>
      <c r="J49" s="467"/>
      <c r="K49" s="1687">
        <f>SUM(C49:J49)</f>
        <v>50297</v>
      </c>
      <c r="L49" s="481">
        <v>49950</v>
      </c>
    </row>
    <row r="50" spans="1:14" x14ac:dyDescent="0.2">
      <c r="A50" s="1526" t="s">
        <v>872</v>
      </c>
      <c r="B50" s="615">
        <v>2320</v>
      </c>
      <c r="C50" s="466">
        <v>128693</v>
      </c>
      <c r="D50" s="466">
        <v>21341</v>
      </c>
      <c r="E50" s="466"/>
      <c r="F50" s="466">
        <v>77</v>
      </c>
      <c r="G50" s="466"/>
      <c r="H50" s="466">
        <v>1008</v>
      </c>
      <c r="I50" s="467"/>
      <c r="J50" s="467"/>
      <c r="K50" s="1687">
        <f>SUM(C50:J50)</f>
        <v>151119</v>
      </c>
      <c r="L50" s="466">
        <v>155540</v>
      </c>
    </row>
    <row r="51" spans="1:14" x14ac:dyDescent="0.2">
      <c r="A51" s="1526" t="s">
        <v>44</v>
      </c>
      <c r="B51" s="615">
        <v>2330</v>
      </c>
      <c r="C51" s="466"/>
      <c r="D51" s="466"/>
      <c r="E51" s="466"/>
      <c r="F51" s="466"/>
      <c r="G51" s="466"/>
      <c r="H51" s="466"/>
      <c r="I51" s="467"/>
      <c r="J51" s="467"/>
      <c r="K51" s="1687">
        <f>SUM(C51:J51)</f>
        <v>0</v>
      </c>
      <c r="L51" s="466"/>
    </row>
    <row r="52" spans="1:14" ht="22.5" x14ac:dyDescent="0.2">
      <c r="A52" s="1527" t="s">
        <v>316</v>
      </c>
      <c r="B52" s="628" t="s">
        <v>384</v>
      </c>
      <c r="C52" s="474"/>
      <c r="D52" s="474"/>
      <c r="E52" s="474"/>
      <c r="F52" s="474"/>
      <c r="G52" s="474"/>
      <c r="H52" s="474"/>
      <c r="I52" s="474"/>
      <c r="J52" s="474"/>
      <c r="K52" s="1687">
        <f>SUM(C52:J52)</f>
        <v>0</v>
      </c>
      <c r="L52" s="474"/>
    </row>
    <row r="53" spans="1:14" ht="12.75" customHeight="1" thickBot="1" x14ac:dyDescent="0.25">
      <c r="A53" s="1683" t="s">
        <v>741</v>
      </c>
      <c r="B53" s="1684" t="s">
        <v>33</v>
      </c>
      <c r="C53" s="1685">
        <f>SUM(C49:C52)</f>
        <v>173608</v>
      </c>
      <c r="D53" s="1685">
        <f t="shared" ref="D53:L53" si="5">SUM(D49:D52)</f>
        <v>21341</v>
      </c>
      <c r="E53" s="1685">
        <f t="shared" si="5"/>
        <v>0</v>
      </c>
      <c r="F53" s="1685">
        <f t="shared" si="5"/>
        <v>1374</v>
      </c>
      <c r="G53" s="1685">
        <f t="shared" si="5"/>
        <v>0</v>
      </c>
      <c r="H53" s="1685">
        <f t="shared" si="5"/>
        <v>5093</v>
      </c>
      <c r="I53" s="1685">
        <f t="shared" si="5"/>
        <v>0</v>
      </c>
      <c r="J53" s="1685">
        <f t="shared" si="5"/>
        <v>0</v>
      </c>
      <c r="K53" s="1685">
        <f t="shared" si="5"/>
        <v>201416</v>
      </c>
      <c r="L53" s="1685">
        <f t="shared" si="5"/>
        <v>205490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277851</v>
      </c>
      <c r="D55" s="481">
        <v>56333</v>
      </c>
      <c r="E55" s="481">
        <v>36675</v>
      </c>
      <c r="F55" s="481">
        <v>3533</v>
      </c>
      <c r="G55" s="481"/>
      <c r="H55" s="481">
        <v>1487</v>
      </c>
      <c r="I55" s="467"/>
      <c r="J55" s="467"/>
      <c r="K55" s="1687">
        <f>SUM(C55:J55)</f>
        <v>375879</v>
      </c>
      <c r="L55" s="481">
        <v>370816</v>
      </c>
    </row>
    <row r="56" spans="1:14" ht="12.75" customHeight="1" x14ac:dyDescent="0.2">
      <c r="A56" s="1530" t="s">
        <v>394</v>
      </c>
      <c r="B56" s="629">
        <v>2490</v>
      </c>
      <c r="C56" s="466"/>
      <c r="D56" s="466"/>
      <c r="E56" s="466"/>
      <c r="F56" s="466"/>
      <c r="G56" s="466"/>
      <c r="H56" s="466"/>
      <c r="I56" s="467"/>
      <c r="J56" s="467"/>
      <c r="K56" s="1687">
        <f>SUM(C56:J56)</f>
        <v>0</v>
      </c>
      <c r="L56" s="466"/>
    </row>
    <row r="57" spans="1:14" s="343" customFormat="1" ht="12.75" customHeight="1" thickBot="1" x14ac:dyDescent="0.25">
      <c r="A57" s="1683" t="s">
        <v>281</v>
      </c>
      <c r="B57" s="1688" t="s">
        <v>34</v>
      </c>
      <c r="C57" s="1689">
        <f>SUM(C55:C56)</f>
        <v>277851</v>
      </c>
      <c r="D57" s="1689">
        <f t="shared" ref="D57:K57" si="6">SUM(D55:D56)</f>
        <v>56333</v>
      </c>
      <c r="E57" s="1689">
        <f t="shared" si="6"/>
        <v>36675</v>
      </c>
      <c r="F57" s="1689">
        <f t="shared" si="6"/>
        <v>3533</v>
      </c>
      <c r="G57" s="1689">
        <f t="shared" si="6"/>
        <v>0</v>
      </c>
      <c r="H57" s="1689">
        <f t="shared" si="6"/>
        <v>1487</v>
      </c>
      <c r="I57" s="1689">
        <f t="shared" si="6"/>
        <v>0</v>
      </c>
      <c r="J57" s="1689">
        <f t="shared" si="6"/>
        <v>0</v>
      </c>
      <c r="K57" s="1689">
        <f t="shared" si="6"/>
        <v>375879</v>
      </c>
      <c r="L57" s="1685">
        <f>SUM(L55:L56)</f>
        <v>370816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87">
        <f t="shared" ref="K59:K64" si="7">SUM(C59:J59)</f>
        <v>0</v>
      </c>
      <c r="L59" s="481"/>
      <c r="M59" s="610"/>
      <c r="N59" s="610"/>
    </row>
    <row r="60" spans="1:14" s="343" customFormat="1" x14ac:dyDescent="0.2">
      <c r="A60" s="1526" t="s">
        <v>483</v>
      </c>
      <c r="B60" s="615">
        <v>2520</v>
      </c>
      <c r="C60" s="466">
        <v>27410</v>
      </c>
      <c r="D60" s="466">
        <v>4506</v>
      </c>
      <c r="E60" s="466">
        <v>15660</v>
      </c>
      <c r="F60" s="466"/>
      <c r="G60" s="466"/>
      <c r="H60" s="466"/>
      <c r="I60" s="467"/>
      <c r="J60" s="467"/>
      <c r="K60" s="1687">
        <f t="shared" si="7"/>
        <v>47576</v>
      </c>
      <c r="L60" s="466">
        <v>47988</v>
      </c>
      <c r="M60" s="610"/>
      <c r="N60" s="610"/>
    </row>
    <row r="61" spans="1:14" s="343" customFormat="1" x14ac:dyDescent="0.2">
      <c r="A61" s="1526" t="s">
        <v>206</v>
      </c>
      <c r="B61" s="615">
        <v>2540</v>
      </c>
      <c r="C61" s="466"/>
      <c r="D61" s="466"/>
      <c r="E61" s="466"/>
      <c r="F61" s="466"/>
      <c r="G61" s="466"/>
      <c r="H61" s="466"/>
      <c r="I61" s="467"/>
      <c r="J61" s="467"/>
      <c r="K61" s="1687">
        <f t="shared" si="7"/>
        <v>0</v>
      </c>
      <c r="L61" s="466"/>
      <c r="M61" s="610"/>
      <c r="N61" s="610"/>
    </row>
    <row r="62" spans="1:14" s="343" customFormat="1" x14ac:dyDescent="0.2">
      <c r="A62" s="1526" t="s">
        <v>1010</v>
      </c>
      <c r="B62" s="615">
        <v>2550</v>
      </c>
      <c r="C62" s="466"/>
      <c r="D62" s="466"/>
      <c r="E62" s="466"/>
      <c r="F62" s="466"/>
      <c r="G62" s="466"/>
      <c r="H62" s="466"/>
      <c r="I62" s="467"/>
      <c r="J62" s="467"/>
      <c r="K62" s="1687">
        <f t="shared" si="7"/>
        <v>0</v>
      </c>
      <c r="L62" s="466"/>
      <c r="M62" s="610"/>
      <c r="N62" s="610"/>
    </row>
    <row r="63" spans="1:14" s="610" customFormat="1" x14ac:dyDescent="0.2">
      <c r="A63" s="1526" t="s">
        <v>102</v>
      </c>
      <c r="B63" s="615">
        <v>2560</v>
      </c>
      <c r="C63" s="466">
        <v>154595</v>
      </c>
      <c r="D63" s="466">
        <v>37911</v>
      </c>
      <c r="E63" s="466">
        <v>7016</v>
      </c>
      <c r="F63" s="466">
        <v>153835</v>
      </c>
      <c r="G63" s="466"/>
      <c r="H63" s="466"/>
      <c r="I63" s="467"/>
      <c r="J63" s="467"/>
      <c r="K63" s="1687">
        <f t="shared" si="7"/>
        <v>353357</v>
      </c>
      <c r="L63" s="466">
        <v>351035</v>
      </c>
    </row>
    <row r="64" spans="1:14" s="610" customFormat="1" x14ac:dyDescent="0.2">
      <c r="A64" s="1531" t="s">
        <v>103</v>
      </c>
      <c r="B64" s="631">
        <v>2570</v>
      </c>
      <c r="C64" s="481"/>
      <c r="D64" s="481"/>
      <c r="E64" s="481"/>
      <c r="F64" s="481"/>
      <c r="G64" s="481"/>
      <c r="H64" s="481"/>
      <c r="I64" s="467"/>
      <c r="J64" s="467"/>
      <c r="K64" s="1687">
        <f t="shared" si="7"/>
        <v>0</v>
      </c>
      <c r="L64" s="481"/>
    </row>
    <row r="65" spans="1:14" s="343" customFormat="1" ht="12.75" customHeight="1" thickBot="1" x14ac:dyDescent="0.25">
      <c r="A65" s="1683" t="s">
        <v>743</v>
      </c>
      <c r="B65" s="1684" t="s">
        <v>35</v>
      </c>
      <c r="C65" s="1685">
        <f>SUM(C59:C64)</f>
        <v>182005</v>
      </c>
      <c r="D65" s="1685">
        <f t="shared" ref="D65:L65" si="8">SUM(D59:D64)</f>
        <v>42417</v>
      </c>
      <c r="E65" s="1685">
        <f t="shared" si="8"/>
        <v>22676</v>
      </c>
      <c r="F65" s="1685">
        <f t="shared" si="8"/>
        <v>153835</v>
      </c>
      <c r="G65" s="1685">
        <f t="shared" si="8"/>
        <v>0</v>
      </c>
      <c r="H65" s="1685">
        <f t="shared" si="8"/>
        <v>0</v>
      </c>
      <c r="I65" s="1685">
        <f t="shared" si="8"/>
        <v>0</v>
      </c>
      <c r="J65" s="1685">
        <f t="shared" si="8"/>
        <v>0</v>
      </c>
      <c r="K65" s="1685">
        <f t="shared" si="8"/>
        <v>400933</v>
      </c>
      <c r="L65" s="1685">
        <f t="shared" si="8"/>
        <v>399023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87">
        <f>SUM(C67:J67)</f>
        <v>0</v>
      </c>
      <c r="L67" s="481"/>
      <c r="M67" s="610"/>
      <c r="N67" s="610"/>
    </row>
    <row r="68" spans="1:14" s="343" customFormat="1" x14ac:dyDescent="0.2">
      <c r="A68" s="1526" t="s">
        <v>628</v>
      </c>
      <c r="B68" s="615">
        <v>2620</v>
      </c>
      <c r="C68" s="466"/>
      <c r="D68" s="466"/>
      <c r="E68" s="466"/>
      <c r="F68" s="466"/>
      <c r="G68" s="466"/>
      <c r="H68" s="466"/>
      <c r="I68" s="467"/>
      <c r="J68" s="467"/>
      <c r="K68" s="1687">
        <f>SUM(C68:J68)</f>
        <v>0</v>
      </c>
      <c r="L68" s="466"/>
      <c r="M68" s="610"/>
      <c r="N68" s="610"/>
    </row>
    <row r="69" spans="1:14" s="343" customFormat="1" x14ac:dyDescent="0.2">
      <c r="A69" s="1526" t="s">
        <v>1121</v>
      </c>
      <c r="B69" s="615">
        <v>2630</v>
      </c>
      <c r="C69" s="466"/>
      <c r="D69" s="466"/>
      <c r="E69" s="466"/>
      <c r="F69" s="466"/>
      <c r="G69" s="466"/>
      <c r="H69" s="466"/>
      <c r="I69" s="467"/>
      <c r="J69" s="467"/>
      <c r="K69" s="1687">
        <f>SUM(C69:J69)</f>
        <v>0</v>
      </c>
      <c r="L69" s="466"/>
      <c r="M69" s="610"/>
      <c r="N69" s="610"/>
    </row>
    <row r="70" spans="1:14" s="343" customFormat="1" x14ac:dyDescent="0.2">
      <c r="A70" s="1526" t="s">
        <v>423</v>
      </c>
      <c r="B70" s="615">
        <v>2640</v>
      </c>
      <c r="C70" s="466"/>
      <c r="D70" s="466"/>
      <c r="E70" s="466"/>
      <c r="F70" s="466"/>
      <c r="G70" s="466"/>
      <c r="H70" s="466"/>
      <c r="I70" s="467"/>
      <c r="J70" s="467"/>
      <c r="K70" s="1687">
        <f>SUM(C70:J70)</f>
        <v>0</v>
      </c>
      <c r="L70" s="466"/>
      <c r="M70" s="610"/>
      <c r="N70" s="610"/>
    </row>
    <row r="71" spans="1:14" s="343" customFormat="1" x14ac:dyDescent="0.2">
      <c r="A71" s="1526" t="s">
        <v>424</v>
      </c>
      <c r="B71" s="615">
        <v>2660</v>
      </c>
      <c r="C71" s="466"/>
      <c r="D71" s="466"/>
      <c r="E71" s="466"/>
      <c r="F71" s="466"/>
      <c r="G71" s="466"/>
      <c r="H71" s="466"/>
      <c r="I71" s="467"/>
      <c r="J71" s="467"/>
      <c r="K71" s="1687">
        <f>SUM(C71:J71)</f>
        <v>0</v>
      </c>
      <c r="L71" s="466"/>
      <c r="M71" s="610"/>
      <c r="N71" s="610"/>
    </row>
    <row r="72" spans="1:14" s="343" customFormat="1" ht="12.75" customHeight="1" thickBot="1" x14ac:dyDescent="0.25">
      <c r="A72" s="1683" t="s">
        <v>37</v>
      </c>
      <c r="B72" s="1690" t="s">
        <v>36</v>
      </c>
      <c r="C72" s="1685">
        <f>SUM(C67:C71)</f>
        <v>0</v>
      </c>
      <c r="D72" s="1685">
        <f t="shared" ref="D72:K72" si="9">SUM(D67:D71)</f>
        <v>0</v>
      </c>
      <c r="E72" s="1685">
        <f t="shared" si="9"/>
        <v>0</v>
      </c>
      <c r="F72" s="1685">
        <f t="shared" si="9"/>
        <v>0</v>
      </c>
      <c r="G72" s="1685">
        <f t="shared" si="9"/>
        <v>0</v>
      </c>
      <c r="H72" s="1685">
        <f t="shared" si="9"/>
        <v>0</v>
      </c>
      <c r="I72" s="1685">
        <f t="shared" si="9"/>
        <v>0</v>
      </c>
      <c r="J72" s="1685">
        <f t="shared" si="9"/>
        <v>0</v>
      </c>
      <c r="K72" s="1685">
        <f t="shared" si="9"/>
        <v>0</v>
      </c>
      <c r="L72" s="1685">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85">
        <f>SUM(C73:J73)</f>
        <v>0</v>
      </c>
      <c r="L73" s="576"/>
      <c r="M73" s="610"/>
      <c r="N73" s="610"/>
    </row>
    <row r="74" spans="1:14" ht="12.75" customHeight="1" thickTop="1" thickBot="1" x14ac:dyDescent="0.25">
      <c r="A74" s="1683" t="s">
        <v>865</v>
      </c>
      <c r="B74" s="1691">
        <v>2000</v>
      </c>
      <c r="C74" s="1692">
        <f>SUM(C42,C47,C53,C57,C65,C72,C73)</f>
        <v>941071</v>
      </c>
      <c r="D74" s="1692">
        <f t="shared" ref="D74:K74" si="10">SUM(D42,D47,D53,D57,D65,D72,D73)</f>
        <v>186446</v>
      </c>
      <c r="E74" s="1692">
        <f t="shared" si="10"/>
        <v>71382</v>
      </c>
      <c r="F74" s="1692">
        <f t="shared" si="10"/>
        <v>166884</v>
      </c>
      <c r="G74" s="1692">
        <f t="shared" si="10"/>
        <v>0</v>
      </c>
      <c r="H74" s="1692">
        <f t="shared" si="10"/>
        <v>6580</v>
      </c>
      <c r="I74" s="1692">
        <f t="shared" si="10"/>
        <v>0</v>
      </c>
      <c r="J74" s="1692">
        <f t="shared" si="10"/>
        <v>0</v>
      </c>
      <c r="K74" s="1692">
        <f t="shared" si="10"/>
        <v>1372363</v>
      </c>
      <c r="L74" s="1692">
        <f>SUM(L42,L47,L53,L57,L65,L72,L73)</f>
        <v>1377203</v>
      </c>
    </row>
    <row r="75" spans="1:14" s="259" customFormat="1" ht="15.75" customHeight="1" thickTop="1" thickBot="1" x14ac:dyDescent="0.25">
      <c r="A75" s="1632" t="s">
        <v>49</v>
      </c>
      <c r="B75" s="1633" t="s">
        <v>596</v>
      </c>
      <c r="C75" s="573"/>
      <c r="D75" s="573"/>
      <c r="E75" s="573"/>
      <c r="F75" s="573"/>
      <c r="G75" s="573"/>
      <c r="H75" s="573"/>
      <c r="I75" s="531"/>
      <c r="J75" s="531"/>
      <c r="K75" s="1685">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86">
        <f t="shared" ref="K78:K83" si="11">SUM(C78:J78)</f>
        <v>0</v>
      </c>
      <c r="L78" s="481"/>
    </row>
    <row r="79" spans="1:14" x14ac:dyDescent="0.2">
      <c r="A79" s="1526" t="s">
        <v>322</v>
      </c>
      <c r="B79" s="615">
        <v>4120</v>
      </c>
      <c r="C79" s="617"/>
      <c r="D79" s="617"/>
      <c r="E79" s="466">
        <v>199043</v>
      </c>
      <c r="F79" s="617"/>
      <c r="G79" s="617"/>
      <c r="H79" s="466"/>
      <c r="I79" s="477"/>
      <c r="J79" s="477"/>
      <c r="K79" s="1686">
        <f t="shared" si="11"/>
        <v>199043</v>
      </c>
      <c r="L79" s="466">
        <v>253235</v>
      </c>
    </row>
    <row r="80" spans="1:14" x14ac:dyDescent="0.2">
      <c r="A80" s="1526" t="s">
        <v>323</v>
      </c>
      <c r="B80" s="615">
        <v>4130</v>
      </c>
      <c r="C80" s="617"/>
      <c r="D80" s="617"/>
      <c r="E80" s="466"/>
      <c r="F80" s="617"/>
      <c r="G80" s="617"/>
      <c r="H80" s="466"/>
      <c r="I80" s="477"/>
      <c r="J80" s="477"/>
      <c r="K80" s="1686">
        <f t="shared" si="11"/>
        <v>0</v>
      </c>
      <c r="L80" s="466"/>
    </row>
    <row r="81" spans="1:12" x14ac:dyDescent="0.2">
      <c r="A81" s="1526" t="s">
        <v>721</v>
      </c>
      <c r="B81" s="615">
        <v>4140</v>
      </c>
      <c r="C81" s="617"/>
      <c r="D81" s="617"/>
      <c r="E81" s="466"/>
      <c r="F81" s="617"/>
      <c r="G81" s="617"/>
      <c r="H81" s="466"/>
      <c r="I81" s="477"/>
      <c r="J81" s="477"/>
      <c r="K81" s="1686">
        <f t="shared" si="11"/>
        <v>0</v>
      </c>
      <c r="L81" s="466"/>
    </row>
    <row r="82" spans="1:12" x14ac:dyDescent="0.2">
      <c r="A82" s="1526" t="s">
        <v>88</v>
      </c>
      <c r="B82" s="615">
        <v>4170</v>
      </c>
      <c r="C82" s="617"/>
      <c r="D82" s="617"/>
      <c r="E82" s="466"/>
      <c r="F82" s="617"/>
      <c r="G82" s="617"/>
      <c r="H82" s="466"/>
      <c r="I82" s="477"/>
      <c r="J82" s="477"/>
      <c r="K82" s="1686">
        <f t="shared" si="11"/>
        <v>0</v>
      </c>
      <c r="L82" s="466"/>
    </row>
    <row r="83" spans="1:12" x14ac:dyDescent="0.2">
      <c r="A83" s="1530" t="s">
        <v>722</v>
      </c>
      <c r="B83" s="629">
        <v>4190</v>
      </c>
      <c r="C83" s="617"/>
      <c r="D83" s="617"/>
      <c r="E83" s="466"/>
      <c r="F83" s="617"/>
      <c r="G83" s="617"/>
      <c r="H83" s="466"/>
      <c r="I83" s="477"/>
      <c r="J83" s="477"/>
      <c r="K83" s="1686">
        <f t="shared" si="11"/>
        <v>0</v>
      </c>
      <c r="L83" s="466"/>
    </row>
    <row r="84" spans="1:12" ht="13.5" thickBot="1" x14ac:dyDescent="0.25">
      <c r="A84" s="1683" t="s">
        <v>1565</v>
      </c>
      <c r="B84" s="1693">
        <v>4100</v>
      </c>
      <c r="C84" s="617"/>
      <c r="D84" s="617"/>
      <c r="E84" s="1685">
        <f>SUM(E78:E83)</f>
        <v>199043</v>
      </c>
      <c r="F84" s="617"/>
      <c r="G84" s="617"/>
      <c r="H84" s="1685">
        <f>SUM(H78:H83)</f>
        <v>0</v>
      </c>
      <c r="I84" s="477"/>
      <c r="J84" s="477"/>
      <c r="K84" s="1685">
        <f>SUM(K78:K83)</f>
        <v>199043</v>
      </c>
      <c r="L84" s="1685">
        <f>SUM(L78:L83)</f>
        <v>253235</v>
      </c>
    </row>
    <row r="85" spans="1:12" ht="12.75" customHeight="1" thickTop="1" thickBot="1" x14ac:dyDescent="0.25">
      <c r="A85" s="1533" t="s">
        <v>273</v>
      </c>
      <c r="B85" s="636">
        <v>4210</v>
      </c>
      <c r="C85" s="617"/>
      <c r="D85" s="617"/>
      <c r="E85" s="637"/>
      <c r="F85" s="617"/>
      <c r="G85" s="617"/>
      <c r="H85" s="535"/>
      <c r="I85" s="477"/>
      <c r="J85" s="477"/>
      <c r="K85" s="1692">
        <f>H85</f>
        <v>0</v>
      </c>
      <c r="L85" s="530"/>
    </row>
    <row r="86" spans="1:12" ht="12.75" customHeight="1" thickTop="1" thickBot="1" x14ac:dyDescent="0.25">
      <c r="A86" s="1534" t="s">
        <v>723</v>
      </c>
      <c r="B86" s="638">
        <v>4220</v>
      </c>
      <c r="C86" s="617"/>
      <c r="D86" s="617"/>
      <c r="E86" s="639"/>
      <c r="F86" s="617"/>
      <c r="G86" s="617"/>
      <c r="H86" s="467"/>
      <c r="I86" s="477"/>
      <c r="J86" s="477"/>
      <c r="K86" s="1692">
        <f t="shared" ref="K86:K98" si="12">H86</f>
        <v>0</v>
      </c>
      <c r="L86" s="530"/>
    </row>
    <row r="87" spans="1:12" ht="14.25" thickTop="1" thickBot="1" x14ac:dyDescent="0.25">
      <c r="A87" s="1535" t="s">
        <v>724</v>
      </c>
      <c r="B87" s="640">
        <v>4230</v>
      </c>
      <c r="C87" s="617"/>
      <c r="D87" s="617"/>
      <c r="E87" s="639"/>
      <c r="F87" s="617"/>
      <c r="G87" s="617"/>
      <c r="H87" s="467"/>
      <c r="I87" s="477"/>
      <c r="J87" s="477"/>
      <c r="K87" s="1692">
        <f t="shared" si="12"/>
        <v>0</v>
      </c>
      <c r="L87" s="530"/>
    </row>
    <row r="88" spans="1:12" ht="12.75" customHeight="1" thickTop="1" thickBot="1" x14ac:dyDescent="0.25">
      <c r="A88" s="1535" t="s">
        <v>789</v>
      </c>
      <c r="B88" s="640">
        <v>4240</v>
      </c>
      <c r="C88" s="617"/>
      <c r="D88" s="617"/>
      <c r="E88" s="639"/>
      <c r="F88" s="617"/>
      <c r="G88" s="617"/>
      <c r="H88" s="467"/>
      <c r="I88" s="477"/>
      <c r="J88" s="477"/>
      <c r="K88" s="1692">
        <f t="shared" si="12"/>
        <v>0</v>
      </c>
      <c r="L88" s="530"/>
    </row>
    <row r="89" spans="1:12" ht="12.75" customHeight="1" thickTop="1" thickBot="1" x14ac:dyDescent="0.25">
      <c r="A89" s="1535" t="s">
        <v>725</v>
      </c>
      <c r="B89" s="640">
        <v>4270</v>
      </c>
      <c r="C89" s="617"/>
      <c r="D89" s="617"/>
      <c r="E89" s="639"/>
      <c r="F89" s="617"/>
      <c r="G89" s="617"/>
      <c r="H89" s="467"/>
      <c r="I89" s="477"/>
      <c r="J89" s="477"/>
      <c r="K89" s="1692">
        <f t="shared" si="12"/>
        <v>0</v>
      </c>
      <c r="L89" s="530"/>
    </row>
    <row r="90" spans="1:12" ht="12.75" customHeight="1" thickTop="1" thickBot="1" x14ac:dyDescent="0.25">
      <c r="A90" s="1535" t="s">
        <v>710</v>
      </c>
      <c r="B90" s="640">
        <v>4280</v>
      </c>
      <c r="C90" s="617"/>
      <c r="D90" s="617"/>
      <c r="E90" s="639"/>
      <c r="F90" s="617"/>
      <c r="G90" s="617"/>
      <c r="H90" s="467"/>
      <c r="I90" s="477"/>
      <c r="J90" s="477"/>
      <c r="K90" s="1692">
        <f t="shared" si="12"/>
        <v>0</v>
      </c>
      <c r="L90" s="530"/>
    </row>
    <row r="91" spans="1:12" ht="12.75" customHeight="1" thickTop="1" thickBot="1" x14ac:dyDescent="0.25">
      <c r="A91" s="1535" t="s">
        <v>711</v>
      </c>
      <c r="B91" s="640">
        <v>4290</v>
      </c>
      <c r="C91" s="617"/>
      <c r="D91" s="617"/>
      <c r="E91" s="639"/>
      <c r="F91" s="617"/>
      <c r="G91" s="617"/>
      <c r="H91" s="467"/>
      <c r="I91" s="477"/>
      <c r="J91" s="477"/>
      <c r="K91" s="1692">
        <f t="shared" si="12"/>
        <v>0</v>
      </c>
      <c r="L91" s="530"/>
    </row>
    <row r="92" spans="1:12" ht="14.25" thickTop="1" thickBot="1" x14ac:dyDescent="0.25">
      <c r="A92" s="1695" t="s">
        <v>1641</v>
      </c>
      <c r="B92" s="1693">
        <v>4200</v>
      </c>
      <c r="C92" s="617"/>
      <c r="D92" s="617"/>
      <c r="E92" s="639"/>
      <c r="F92" s="617"/>
      <c r="G92" s="617"/>
      <c r="H92" s="1685">
        <f>SUM(H85:H91)</f>
        <v>0</v>
      </c>
      <c r="I92" s="477"/>
      <c r="J92" s="477"/>
      <c r="K92" s="1692">
        <f t="shared" si="12"/>
        <v>0</v>
      </c>
      <c r="L92" s="1685">
        <f>SUM(L85:L91)</f>
        <v>0</v>
      </c>
    </row>
    <row r="93" spans="1:12" ht="14.25" thickTop="1" thickBot="1" x14ac:dyDescent="0.25">
      <c r="A93" s="1534" t="s">
        <v>712</v>
      </c>
      <c r="B93" s="641">
        <v>4310</v>
      </c>
      <c r="C93" s="617"/>
      <c r="D93" s="617"/>
      <c r="E93" s="639"/>
      <c r="F93" s="617"/>
      <c r="G93" s="617"/>
      <c r="H93" s="642"/>
      <c r="I93" s="477"/>
      <c r="J93" s="477"/>
      <c r="K93" s="1692">
        <f t="shared" si="12"/>
        <v>0</v>
      </c>
      <c r="L93" s="532"/>
    </row>
    <row r="94" spans="1:12" ht="12.75" customHeight="1" thickTop="1" thickBot="1" x14ac:dyDescent="0.25">
      <c r="A94" s="1535" t="s">
        <v>713</v>
      </c>
      <c r="B94" s="640">
        <v>4320</v>
      </c>
      <c r="C94" s="617"/>
      <c r="D94" s="617"/>
      <c r="E94" s="639"/>
      <c r="F94" s="617"/>
      <c r="G94" s="617"/>
      <c r="H94" s="467"/>
      <c r="I94" s="477"/>
      <c r="J94" s="477"/>
      <c r="K94" s="1692">
        <f t="shared" si="12"/>
        <v>0</v>
      </c>
      <c r="L94" s="530"/>
    </row>
    <row r="95" spans="1:12" ht="15" customHeight="1" thickTop="1" thickBot="1" x14ac:dyDescent="0.25">
      <c r="A95" s="1535" t="s">
        <v>1568</v>
      </c>
      <c r="B95" s="640">
        <v>4330</v>
      </c>
      <c r="C95" s="617"/>
      <c r="D95" s="617"/>
      <c r="E95" s="639"/>
      <c r="F95" s="617"/>
      <c r="G95" s="617"/>
      <c r="H95" s="467"/>
      <c r="I95" s="477"/>
      <c r="J95" s="477"/>
      <c r="K95" s="1692">
        <f t="shared" si="12"/>
        <v>0</v>
      </c>
      <c r="L95" s="530"/>
    </row>
    <row r="96" spans="1:12" ht="14.25" thickTop="1" thickBot="1" x14ac:dyDescent="0.25">
      <c r="A96" s="1535" t="s">
        <v>714</v>
      </c>
      <c r="B96" s="640">
        <v>4340</v>
      </c>
      <c r="C96" s="617"/>
      <c r="D96" s="617"/>
      <c r="E96" s="639"/>
      <c r="F96" s="617"/>
      <c r="G96" s="617"/>
      <c r="H96" s="467"/>
      <c r="I96" s="477"/>
      <c r="J96" s="477"/>
      <c r="K96" s="1692">
        <f t="shared" si="12"/>
        <v>0</v>
      </c>
      <c r="L96" s="530"/>
    </row>
    <row r="97" spans="1:14" ht="12.75" customHeight="1" thickTop="1" thickBot="1" x14ac:dyDescent="0.25">
      <c r="A97" s="1535" t="s">
        <v>787</v>
      </c>
      <c r="B97" s="640">
        <v>4370</v>
      </c>
      <c r="C97" s="617"/>
      <c r="D97" s="617"/>
      <c r="E97" s="639"/>
      <c r="F97" s="617"/>
      <c r="G97" s="617"/>
      <c r="H97" s="467"/>
      <c r="I97" s="477"/>
      <c r="J97" s="477"/>
      <c r="K97" s="1692">
        <f t="shared" si="12"/>
        <v>0</v>
      </c>
      <c r="L97" s="530"/>
    </row>
    <row r="98" spans="1:14" ht="14.25" thickTop="1" thickBot="1" x14ac:dyDescent="0.25">
      <c r="A98" s="1535" t="s">
        <v>788</v>
      </c>
      <c r="B98" s="640">
        <v>4380</v>
      </c>
      <c r="C98" s="617"/>
      <c r="D98" s="617"/>
      <c r="E98" s="643"/>
      <c r="F98" s="617"/>
      <c r="G98" s="617"/>
      <c r="H98" s="467"/>
      <c r="I98" s="477"/>
      <c r="J98" s="477"/>
      <c r="K98" s="1692">
        <f t="shared" si="12"/>
        <v>0</v>
      </c>
      <c r="L98" s="530"/>
    </row>
    <row r="99" spans="1:14" ht="14.25" thickTop="1" thickBot="1" x14ac:dyDescent="0.25">
      <c r="A99" s="1535" t="s">
        <v>385</v>
      </c>
      <c r="B99" s="640">
        <v>4390</v>
      </c>
      <c r="C99" s="617"/>
      <c r="D99" s="617"/>
      <c r="E99" s="532"/>
      <c r="F99" s="617"/>
      <c r="G99" s="617"/>
      <c r="H99" s="467"/>
      <c r="I99" s="477"/>
      <c r="J99" s="477"/>
      <c r="K99" s="1692">
        <f>SUM(E99,H99)</f>
        <v>0</v>
      </c>
      <c r="L99" s="530"/>
    </row>
    <row r="100" spans="1:14" ht="14.25" thickTop="1" thickBot="1" x14ac:dyDescent="0.25">
      <c r="A100" s="1695" t="s">
        <v>1566</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32" t="s">
        <v>1569</v>
      </c>
      <c r="B101" s="644" t="s">
        <v>988</v>
      </c>
      <c r="C101" s="617"/>
      <c r="D101" s="617"/>
      <c r="E101" s="531"/>
      <c r="F101" s="617"/>
      <c r="G101" s="617"/>
      <c r="H101" s="531"/>
      <c r="I101" s="477"/>
      <c r="J101" s="477"/>
      <c r="K101" s="1694">
        <f>SUM(C101:J101)</f>
        <v>0</v>
      </c>
      <c r="L101" s="530"/>
    </row>
    <row r="102" spans="1:14" ht="12.75" customHeight="1" thickTop="1" thickBot="1" x14ac:dyDescent="0.25">
      <c r="A102" s="1683" t="s">
        <v>1567</v>
      </c>
      <c r="B102" s="1693">
        <v>4000</v>
      </c>
      <c r="C102" s="617"/>
      <c r="D102" s="617"/>
      <c r="E102" s="1692">
        <f>SUM(E84,E92,E100,E101)</f>
        <v>199043</v>
      </c>
      <c r="F102" s="617"/>
      <c r="G102" s="617"/>
      <c r="H102" s="1692">
        <f>SUM(H84,H92,H100,H101)</f>
        <v>0</v>
      </c>
      <c r="I102" s="477"/>
      <c r="J102" s="477"/>
      <c r="K102" s="1692">
        <f>SUM(K84,K92,K100,K101)</f>
        <v>199043</v>
      </c>
      <c r="L102" s="1692">
        <f>SUM(L84,L92,L100,L101)</f>
        <v>253235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86">
        <f>H105</f>
        <v>0</v>
      </c>
      <c r="L105" s="481"/>
      <c r="M105" s="210"/>
      <c r="N105" s="210"/>
    </row>
    <row r="106" spans="1:14" s="598" customFormat="1" x14ac:dyDescent="0.2">
      <c r="A106" s="1526" t="s">
        <v>90</v>
      </c>
      <c r="B106" s="615">
        <v>5120</v>
      </c>
      <c r="C106" s="617"/>
      <c r="D106" s="617"/>
      <c r="E106" s="617"/>
      <c r="F106" s="617"/>
      <c r="G106" s="617"/>
      <c r="H106" s="466"/>
      <c r="I106" s="468"/>
      <c r="J106" s="468"/>
      <c r="K106" s="1686">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86">
        <f>H107</f>
        <v>0</v>
      </c>
      <c r="L107" s="466"/>
      <c r="M107" s="210"/>
      <c r="N107" s="210"/>
    </row>
    <row r="108" spans="1:14" s="598" customFormat="1" x14ac:dyDescent="0.2">
      <c r="A108" s="1526" t="s">
        <v>91</v>
      </c>
      <c r="B108" s="615" t="s">
        <v>610</v>
      </c>
      <c r="C108" s="617"/>
      <c r="D108" s="617"/>
      <c r="E108" s="617"/>
      <c r="F108" s="617"/>
      <c r="G108" s="617"/>
      <c r="H108" s="466"/>
      <c r="I108" s="468"/>
      <c r="J108" s="468"/>
      <c r="K108" s="1686">
        <f>H108</f>
        <v>0</v>
      </c>
      <c r="L108" s="466"/>
      <c r="M108" s="210"/>
      <c r="N108" s="210"/>
    </row>
    <row r="109" spans="1:14" s="598" customFormat="1" x14ac:dyDescent="0.2">
      <c r="A109" s="1526" t="s">
        <v>272</v>
      </c>
      <c r="B109" s="629">
        <v>5150</v>
      </c>
      <c r="C109" s="617"/>
      <c r="D109" s="617"/>
      <c r="E109" s="617"/>
      <c r="F109" s="617"/>
      <c r="G109" s="617"/>
      <c r="H109" s="466"/>
      <c r="I109" s="468"/>
      <c r="J109" s="468"/>
      <c r="K109" s="1686">
        <f>H109</f>
        <v>0</v>
      </c>
      <c r="L109" s="466"/>
      <c r="M109" s="210"/>
      <c r="N109" s="210"/>
    </row>
    <row r="110" spans="1:14" s="598" customFormat="1" ht="12.75" customHeight="1" thickBot="1" x14ac:dyDescent="0.25">
      <c r="A110" s="1683" t="s">
        <v>1164</v>
      </c>
      <c r="B110" s="1690" t="s">
        <v>742</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698">
        <f>H111</f>
        <v>0</v>
      </c>
      <c r="L111" s="532"/>
      <c r="M111" s="210"/>
      <c r="N111" s="210"/>
    </row>
    <row r="112" spans="1:14" s="598" customFormat="1" ht="12.75" customHeight="1" thickTop="1" thickBot="1" x14ac:dyDescent="0.25">
      <c r="A112" s="1683" t="s">
        <v>659</v>
      </c>
      <c r="B112" s="1684" t="s">
        <v>513</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3" t="s">
        <v>50</v>
      </c>
      <c r="B114" s="1697"/>
      <c r="C114" s="1685">
        <f>SUM(C33,C74,C75,C102,C112,C113)</f>
        <v>4602598</v>
      </c>
      <c r="D114" s="1685">
        <f t="shared" ref="D114:K114" si="13">SUM(D33,D74,D75,D102,D112,D113)</f>
        <v>997289</v>
      </c>
      <c r="E114" s="1685">
        <f t="shared" si="13"/>
        <v>308349</v>
      </c>
      <c r="F114" s="1685">
        <f t="shared" si="13"/>
        <v>318314</v>
      </c>
      <c r="G114" s="1685">
        <f t="shared" si="13"/>
        <v>21034</v>
      </c>
      <c r="H114" s="1685">
        <f>SUM(H33,H74,H75,H102,H112,H113)</f>
        <v>8985</v>
      </c>
      <c r="I114" s="1685">
        <f t="shared" si="13"/>
        <v>0</v>
      </c>
      <c r="J114" s="1685">
        <f t="shared" si="13"/>
        <v>0</v>
      </c>
      <c r="K114" s="1685">
        <f t="shared" si="13"/>
        <v>6256569</v>
      </c>
      <c r="L114" s="1685">
        <f>SUM(L33,L74,L75,L102,L112,L113)</f>
        <v>6431734</v>
      </c>
    </row>
    <row r="115" spans="1:14" ht="13.5" thickTop="1" x14ac:dyDescent="0.2">
      <c r="A115" s="2190" t="s">
        <v>1053</v>
      </c>
      <c r="B115" s="2191"/>
      <c r="C115" s="619"/>
      <c r="D115" s="619"/>
      <c r="E115" s="619"/>
      <c r="F115" s="619"/>
      <c r="G115" s="619"/>
      <c r="H115" s="619"/>
      <c r="I115" s="619"/>
      <c r="J115" s="619"/>
      <c r="K115" s="1699">
        <f>'Revenues 9-14'!C275-'Expenditures 15-22'!K114</f>
        <v>370012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68" t="s">
        <v>314</v>
      </c>
      <c r="B117" s="216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86">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5">
        <f>SUM(C122:J122)</f>
        <v>0</v>
      </c>
      <c r="L122" s="466"/>
    </row>
    <row r="123" spans="1:14" ht="14.25" thickTop="1" thickBot="1" x14ac:dyDescent="0.25">
      <c r="A123" s="1526" t="s">
        <v>4</v>
      </c>
      <c r="B123" s="615">
        <v>2530</v>
      </c>
      <c r="C123" s="466"/>
      <c r="D123" s="466"/>
      <c r="E123" s="466"/>
      <c r="F123" s="466"/>
      <c r="G123" s="466"/>
      <c r="H123" s="466"/>
      <c r="I123" s="467"/>
      <c r="J123" s="467"/>
      <c r="K123" s="1685">
        <f>SUM(C123:J123)</f>
        <v>0</v>
      </c>
      <c r="L123" s="466"/>
    </row>
    <row r="124" spans="1:14" ht="14.25" thickTop="1" thickBot="1" x14ac:dyDescent="0.25">
      <c r="A124" s="1526" t="s">
        <v>206</v>
      </c>
      <c r="B124" s="615">
        <v>2540</v>
      </c>
      <c r="C124" s="466">
        <v>282675</v>
      </c>
      <c r="D124" s="466">
        <v>44954</v>
      </c>
      <c r="E124" s="466">
        <v>126713</v>
      </c>
      <c r="F124" s="466">
        <v>135966</v>
      </c>
      <c r="G124" s="466"/>
      <c r="H124" s="466"/>
      <c r="I124" s="467"/>
      <c r="J124" s="467"/>
      <c r="K124" s="1685">
        <f>SUM(C124:J124)</f>
        <v>590308</v>
      </c>
      <c r="L124" s="466">
        <v>602688</v>
      </c>
    </row>
    <row r="125" spans="1:14" ht="14.25" thickTop="1" thickBot="1" x14ac:dyDescent="0.25">
      <c r="A125" s="1526" t="s">
        <v>1010</v>
      </c>
      <c r="B125" s="615">
        <v>2550</v>
      </c>
      <c r="C125" s="466"/>
      <c r="D125" s="466"/>
      <c r="E125" s="466"/>
      <c r="F125" s="466"/>
      <c r="G125" s="466"/>
      <c r="H125" s="466"/>
      <c r="I125" s="467"/>
      <c r="J125" s="467"/>
      <c r="K125" s="1685">
        <f>SUM(C125:J125)</f>
        <v>0</v>
      </c>
      <c r="L125" s="466"/>
    </row>
    <row r="126" spans="1:14" ht="14.25" thickTop="1" thickBot="1" x14ac:dyDescent="0.25">
      <c r="A126" s="1526" t="s">
        <v>102</v>
      </c>
      <c r="B126" s="615">
        <v>2560</v>
      </c>
      <c r="C126" s="655"/>
      <c r="D126" s="655"/>
      <c r="E126" s="655"/>
      <c r="F126" s="655"/>
      <c r="G126" s="466"/>
      <c r="H126" s="655"/>
      <c r="I126" s="474"/>
      <c r="J126" s="617"/>
      <c r="K126" s="1685">
        <f>SUM(C126:J126)</f>
        <v>0</v>
      </c>
      <c r="L126" s="466"/>
    </row>
    <row r="127" spans="1:14" ht="12.75" customHeight="1" thickTop="1" thickBot="1" x14ac:dyDescent="0.25">
      <c r="A127" s="1683" t="s">
        <v>743</v>
      </c>
      <c r="B127" s="1684" t="s">
        <v>35</v>
      </c>
      <c r="C127" s="1685">
        <f>SUM(C122:C126)</f>
        <v>282675</v>
      </c>
      <c r="D127" s="1685">
        <f t="shared" ref="D127:L127" si="14">SUM(D122:D126)</f>
        <v>44954</v>
      </c>
      <c r="E127" s="1685">
        <f t="shared" si="14"/>
        <v>126713</v>
      </c>
      <c r="F127" s="1685">
        <f t="shared" si="14"/>
        <v>135966</v>
      </c>
      <c r="G127" s="1685">
        <f t="shared" si="14"/>
        <v>0</v>
      </c>
      <c r="H127" s="1685">
        <f t="shared" si="14"/>
        <v>0</v>
      </c>
      <c r="I127" s="1685">
        <f t="shared" si="14"/>
        <v>0</v>
      </c>
      <c r="J127" s="1685">
        <f t="shared" si="14"/>
        <v>0</v>
      </c>
      <c r="K127" s="1685">
        <f t="shared" si="14"/>
        <v>590308</v>
      </c>
      <c r="L127" s="1685">
        <f t="shared" si="14"/>
        <v>602688</v>
      </c>
    </row>
    <row r="128" spans="1:14" ht="12.75" customHeight="1" thickTop="1" x14ac:dyDescent="0.2">
      <c r="A128" s="1533" t="s">
        <v>1037</v>
      </c>
      <c r="B128" s="656" t="s">
        <v>595</v>
      </c>
      <c r="C128" s="657"/>
      <c r="D128" s="657"/>
      <c r="E128" s="657"/>
      <c r="F128" s="657"/>
      <c r="G128" s="657"/>
      <c r="H128" s="657"/>
      <c r="I128" s="535"/>
      <c r="J128" s="535"/>
      <c r="K128" s="1700">
        <f>SUM(C128:J128)</f>
        <v>0</v>
      </c>
      <c r="L128" s="657"/>
    </row>
    <row r="129" spans="1:14" ht="12.75" customHeight="1" thickBot="1" x14ac:dyDescent="0.25">
      <c r="A129" s="1701" t="s">
        <v>865</v>
      </c>
      <c r="B129" s="1702" t="s">
        <v>590</v>
      </c>
      <c r="C129" s="1692">
        <f>SUM(C120,C127,C128)</f>
        <v>282675</v>
      </c>
      <c r="D129" s="1692">
        <f t="shared" ref="D129:L129" si="15">SUM(D120,D127,D128)</f>
        <v>44954</v>
      </c>
      <c r="E129" s="1692">
        <f t="shared" si="15"/>
        <v>126713</v>
      </c>
      <c r="F129" s="1692">
        <f t="shared" si="15"/>
        <v>135966</v>
      </c>
      <c r="G129" s="1692">
        <f t="shared" si="15"/>
        <v>0</v>
      </c>
      <c r="H129" s="1692">
        <f t="shared" si="15"/>
        <v>0</v>
      </c>
      <c r="I129" s="1692">
        <f t="shared" si="15"/>
        <v>0</v>
      </c>
      <c r="J129" s="1692">
        <f t="shared" si="15"/>
        <v>0</v>
      </c>
      <c r="K129" s="1692">
        <f t="shared" si="15"/>
        <v>590308</v>
      </c>
      <c r="L129" s="1692">
        <f t="shared" si="15"/>
        <v>602688</v>
      </c>
    </row>
    <row r="130" spans="1:14" ht="15.75" customHeight="1" thickTop="1" thickBot="1" x14ac:dyDescent="0.25">
      <c r="A130" s="1632" t="s">
        <v>1096</v>
      </c>
      <c r="B130" s="1633" t="s">
        <v>596</v>
      </c>
      <c r="C130" s="576"/>
      <c r="D130" s="576"/>
      <c r="E130" s="576"/>
      <c r="F130" s="576"/>
      <c r="G130" s="576"/>
      <c r="H130" s="576"/>
      <c r="I130" s="531"/>
      <c r="J130" s="531"/>
      <c r="K130" s="1685">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56" t="s">
        <v>1957</v>
      </c>
      <c r="C133" s="468"/>
      <c r="D133" s="468"/>
      <c r="E133" s="642"/>
      <c r="F133" s="468"/>
      <c r="G133" s="468"/>
      <c r="H133" s="642"/>
      <c r="I133" s="468"/>
      <c r="J133" s="468"/>
      <c r="K133" s="1837">
        <f>SUM(E133,H133)</f>
        <v>0</v>
      </c>
      <c r="L133" s="642"/>
      <c r="M133" s="206"/>
      <c r="N133" s="206"/>
    </row>
    <row r="134" spans="1:14" x14ac:dyDescent="0.2">
      <c r="A134" s="1526" t="s">
        <v>322</v>
      </c>
      <c r="B134" s="615">
        <v>4120</v>
      </c>
      <c r="C134" s="617"/>
      <c r="D134" s="617"/>
      <c r="E134" s="478"/>
      <c r="F134" s="617"/>
      <c r="G134" s="617"/>
      <c r="H134" s="481"/>
      <c r="I134" s="477"/>
      <c r="J134" s="617"/>
      <c r="K134" s="1687">
        <f>SUM(E134,H134)</f>
        <v>0</v>
      </c>
      <c r="L134" s="481"/>
    </row>
    <row r="135" spans="1:14" x14ac:dyDescent="0.2">
      <c r="A135" s="1526" t="s">
        <v>721</v>
      </c>
      <c r="B135" s="615">
        <v>4140</v>
      </c>
      <c r="C135" s="617"/>
      <c r="D135" s="617"/>
      <c r="E135" s="467"/>
      <c r="F135" s="617"/>
      <c r="G135" s="617"/>
      <c r="H135" s="466"/>
      <c r="I135" s="477"/>
      <c r="J135" s="617"/>
      <c r="K135" s="1687">
        <f>SUM(E135,H135)</f>
        <v>0</v>
      </c>
      <c r="L135" s="466"/>
    </row>
    <row r="136" spans="1:14" x14ac:dyDescent="0.2">
      <c r="A136" s="1530" t="s">
        <v>722</v>
      </c>
      <c r="B136" s="629">
        <v>4190</v>
      </c>
      <c r="C136" s="617"/>
      <c r="D136" s="617"/>
      <c r="E136" s="467"/>
      <c r="F136" s="617"/>
      <c r="G136" s="617"/>
      <c r="H136" s="466"/>
      <c r="I136" s="477"/>
      <c r="J136" s="617"/>
      <c r="K136" s="1687">
        <f>SUM(E136,H136)</f>
        <v>0</v>
      </c>
      <c r="L136" s="466"/>
    </row>
    <row r="137" spans="1:14" ht="12.75" customHeight="1" thickBot="1" x14ac:dyDescent="0.25">
      <c r="A137" s="1683" t="s">
        <v>501</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x14ac:dyDescent="0.25">
      <c r="A138" s="1532" t="s">
        <v>98</v>
      </c>
      <c r="B138" s="644" t="s">
        <v>988</v>
      </c>
      <c r="C138" s="617"/>
      <c r="D138" s="617"/>
      <c r="E138" s="479"/>
      <c r="F138" s="617"/>
      <c r="G138" s="617"/>
      <c r="H138" s="576"/>
      <c r="I138" s="477"/>
      <c r="J138" s="617"/>
      <c r="K138" s="1687">
        <f>SUM(E138,H138)</f>
        <v>0</v>
      </c>
      <c r="L138" s="576"/>
    </row>
    <row r="139" spans="1:14" ht="12.75" customHeight="1" thickTop="1" thickBot="1" x14ac:dyDescent="0.25">
      <c r="A139" s="1683" t="s">
        <v>1567</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87">
        <f>SUM(H142)</f>
        <v>0</v>
      </c>
      <c r="L142" s="481"/>
    </row>
    <row r="143" spans="1:14" x14ac:dyDescent="0.2">
      <c r="A143" s="1526" t="s">
        <v>90</v>
      </c>
      <c r="B143" s="615">
        <v>5120</v>
      </c>
      <c r="C143" s="617"/>
      <c r="D143" s="617"/>
      <c r="E143" s="617"/>
      <c r="F143" s="617"/>
      <c r="G143" s="617"/>
      <c r="H143" s="466"/>
      <c r="I143" s="468"/>
      <c r="J143" s="617"/>
      <c r="K143" s="1687">
        <f>SUM(H143)</f>
        <v>0</v>
      </c>
      <c r="L143" s="466"/>
    </row>
    <row r="144" spans="1:14" ht="12.75" customHeight="1" x14ac:dyDescent="0.2">
      <c r="A144" s="1526" t="s">
        <v>1232</v>
      </c>
      <c r="B144" s="629" t="s">
        <v>638</v>
      </c>
      <c r="C144" s="617"/>
      <c r="D144" s="617"/>
      <c r="E144" s="617"/>
      <c r="F144" s="617"/>
      <c r="G144" s="617"/>
      <c r="H144" s="466"/>
      <c r="I144" s="468"/>
      <c r="J144" s="617"/>
      <c r="K144" s="1687">
        <f>SUM(H144)</f>
        <v>0</v>
      </c>
      <c r="L144" s="466"/>
    </row>
    <row r="145" spans="1:14" x14ac:dyDescent="0.2">
      <c r="A145" s="1526" t="s">
        <v>91</v>
      </c>
      <c r="B145" s="615" t="s">
        <v>610</v>
      </c>
      <c r="C145" s="617"/>
      <c r="D145" s="617"/>
      <c r="E145" s="617"/>
      <c r="F145" s="617"/>
      <c r="G145" s="617"/>
      <c r="H145" s="466"/>
      <c r="I145" s="468"/>
      <c r="J145" s="617"/>
      <c r="K145" s="1687">
        <f>SUM(H145)</f>
        <v>0</v>
      </c>
      <c r="L145" s="466"/>
    </row>
    <row r="146" spans="1:14" ht="12.75" customHeight="1" x14ac:dyDescent="0.2">
      <c r="A146" s="1526" t="s">
        <v>640</v>
      </c>
      <c r="B146" s="615" t="s">
        <v>639</v>
      </c>
      <c r="C146" s="617"/>
      <c r="D146" s="617"/>
      <c r="E146" s="617"/>
      <c r="F146" s="617"/>
      <c r="G146" s="617"/>
      <c r="H146" s="466"/>
      <c r="I146" s="468"/>
      <c r="J146" s="617"/>
      <c r="K146" s="1687">
        <f>SUM(H146)</f>
        <v>0</v>
      </c>
      <c r="L146" s="466"/>
    </row>
    <row r="147" spans="1:14" ht="12.75" customHeight="1" thickBot="1" x14ac:dyDescent="0.25">
      <c r="A147" s="1537" t="s">
        <v>647</v>
      </c>
      <c r="B147" s="660" t="s">
        <v>742</v>
      </c>
      <c r="C147" s="617"/>
      <c r="D147" s="617"/>
      <c r="E147" s="617"/>
      <c r="F147" s="617"/>
      <c r="G147" s="617"/>
      <c r="H147" s="1703">
        <f>SUM(H142:H146)</f>
        <v>0</v>
      </c>
      <c r="I147" s="468"/>
      <c r="J147" s="617"/>
      <c r="K147" s="1685">
        <f>SUM(K142:K146)</f>
        <v>0</v>
      </c>
      <c r="L147" s="1703">
        <f>SUM(L142:L146)</f>
        <v>0</v>
      </c>
    </row>
    <row r="148" spans="1:14" ht="15.75" customHeight="1" thickTop="1" x14ac:dyDescent="0.2">
      <c r="A148" s="661" t="s">
        <v>1165</v>
      </c>
      <c r="B148" s="662" t="s">
        <v>38</v>
      </c>
      <c r="C148" s="617"/>
      <c r="D148" s="617"/>
      <c r="E148" s="617"/>
      <c r="F148" s="617"/>
      <c r="G148" s="617"/>
      <c r="H148" s="479"/>
      <c r="I148" s="468"/>
      <c r="J148" s="617"/>
      <c r="K148" s="1687">
        <f>SUM(H148)</f>
        <v>0</v>
      </c>
      <c r="L148" s="492"/>
    </row>
    <row r="149" spans="1:14" ht="12.75" customHeight="1" thickBot="1" x14ac:dyDescent="0.25">
      <c r="A149" s="1529" t="s">
        <v>659</v>
      </c>
      <c r="B149" s="618" t="s">
        <v>513</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0" t="s">
        <v>641</v>
      </c>
      <c r="B151" s="2162"/>
      <c r="C151" s="1685">
        <f>SUM(C129,C130,C139,C149,C150)</f>
        <v>282675</v>
      </c>
      <c r="D151" s="1685">
        <f t="shared" ref="D151:K151" si="16">SUM(D129,D130,D139,D149,D150)</f>
        <v>44954</v>
      </c>
      <c r="E151" s="1685">
        <f t="shared" si="16"/>
        <v>126713</v>
      </c>
      <c r="F151" s="1685">
        <f t="shared" si="16"/>
        <v>135966</v>
      </c>
      <c r="G151" s="1685">
        <f t="shared" si="16"/>
        <v>0</v>
      </c>
      <c r="H151" s="1685">
        <f t="shared" si="16"/>
        <v>0</v>
      </c>
      <c r="I151" s="1685">
        <f t="shared" si="16"/>
        <v>0</v>
      </c>
      <c r="J151" s="1685">
        <f t="shared" si="16"/>
        <v>0</v>
      </c>
      <c r="K151" s="1685">
        <f t="shared" si="16"/>
        <v>590308</v>
      </c>
      <c r="L151" s="1685">
        <f>SUM(L129,L130,L139,L149,L150)</f>
        <v>602688</v>
      </c>
    </row>
    <row r="152" spans="1:14" ht="12.75" customHeight="1" thickTop="1" x14ac:dyDescent="0.2">
      <c r="A152" s="2183" t="s">
        <v>1240</v>
      </c>
      <c r="B152" s="2184"/>
      <c r="C152" s="619"/>
      <c r="D152" s="619"/>
      <c r="E152" s="619"/>
      <c r="F152" s="619"/>
      <c r="G152" s="619"/>
      <c r="H152" s="619"/>
      <c r="I152" s="619"/>
      <c r="J152" s="617"/>
      <c r="K152" s="1699">
        <f>'Revenues 9-14'!D275-'Expenditures 15-22'!K151</f>
        <v>1335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68" t="s">
        <v>642</v>
      </c>
      <c r="B154" s="217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57"/>
      <c r="I155" s="617"/>
      <c r="J155" s="617"/>
      <c r="K155" s="1841"/>
      <c r="L155" s="1857"/>
      <c r="M155" s="620"/>
      <c r="N155" s="620"/>
    </row>
    <row r="156" spans="1:14" s="621" customFormat="1" ht="15.75" customHeight="1" thickTop="1" x14ac:dyDescent="0.2">
      <c r="A156" s="1838" t="s">
        <v>1958</v>
      </c>
      <c r="B156" s="1839"/>
      <c r="C156" s="617"/>
      <c r="D156" s="617"/>
      <c r="E156" s="617"/>
      <c r="F156" s="617"/>
      <c r="G156" s="617"/>
      <c r="H156" s="1858"/>
      <c r="I156" s="617"/>
      <c r="J156" s="617"/>
      <c r="K156" s="1840"/>
      <c r="L156" s="1858"/>
      <c r="M156" s="620"/>
      <c r="N156" s="620"/>
    </row>
    <row r="157" spans="1:14" s="621" customFormat="1" ht="12" x14ac:dyDescent="0.2">
      <c r="A157" s="1842" t="s">
        <v>517</v>
      </c>
      <c r="B157" s="1843" t="s">
        <v>1957</v>
      </c>
      <c r="C157" s="617"/>
      <c r="D157" s="617"/>
      <c r="E157" s="617"/>
      <c r="F157" s="617"/>
      <c r="G157" s="617"/>
      <c r="H157" s="642"/>
      <c r="I157" s="617"/>
      <c r="J157" s="617"/>
      <c r="K157" s="1686">
        <f>H157</f>
        <v>0</v>
      </c>
      <c r="L157" s="467"/>
      <c r="M157" s="620"/>
      <c r="N157" s="620"/>
    </row>
    <row r="158" spans="1:14" s="621" customFormat="1" ht="12" x14ac:dyDescent="0.2">
      <c r="A158" s="1842" t="s">
        <v>322</v>
      </c>
      <c r="B158" s="1843" t="s">
        <v>1959</v>
      </c>
      <c r="C158" s="617"/>
      <c r="D158" s="617"/>
      <c r="E158" s="617"/>
      <c r="F158" s="617"/>
      <c r="G158" s="617"/>
      <c r="H158" s="467"/>
      <c r="I158" s="617"/>
      <c r="J158" s="617"/>
      <c r="K158" s="1686">
        <f>H158</f>
        <v>0</v>
      </c>
      <c r="L158" s="467"/>
      <c r="M158" s="620"/>
      <c r="N158" s="620"/>
    </row>
    <row r="159" spans="1:14" s="621" customFormat="1" ht="12" x14ac:dyDescent="0.2">
      <c r="A159" s="1842" t="s">
        <v>1960</v>
      </c>
      <c r="B159" s="1843" t="s">
        <v>579</v>
      </c>
      <c r="C159" s="617"/>
      <c r="D159" s="617"/>
      <c r="E159" s="617"/>
      <c r="F159" s="617"/>
      <c r="G159" s="617"/>
      <c r="H159" s="467"/>
      <c r="I159" s="617"/>
      <c r="J159" s="617"/>
      <c r="K159" s="1686">
        <f>H159</f>
        <v>0</v>
      </c>
      <c r="L159" s="467"/>
      <c r="M159" s="620"/>
      <c r="N159" s="620"/>
    </row>
    <row r="160" spans="1:14" s="621" customFormat="1" ht="15.75" customHeight="1" thickBot="1" x14ac:dyDescent="0.25">
      <c r="A160" s="1844" t="s">
        <v>1961</v>
      </c>
      <c r="B160" s="1845" t="s">
        <v>915</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86">
        <f>SUM(C163:J163)</f>
        <v>0</v>
      </c>
      <c r="L163" s="466"/>
    </row>
    <row r="164" spans="1:14" x14ac:dyDescent="0.2">
      <c r="A164" s="1526" t="s">
        <v>90</v>
      </c>
      <c r="B164" s="615">
        <v>5120</v>
      </c>
      <c r="C164" s="617"/>
      <c r="D164" s="617"/>
      <c r="E164" s="617"/>
      <c r="F164" s="617"/>
      <c r="G164" s="617"/>
      <c r="H164" s="466"/>
      <c r="I164" s="617"/>
      <c r="J164" s="617"/>
      <c r="K164" s="1686">
        <f>SUM(C164:J164)</f>
        <v>0</v>
      </c>
      <c r="L164" s="466"/>
    </row>
    <row r="165" spans="1:14" ht="12.75" customHeight="1" x14ac:dyDescent="0.2">
      <c r="A165" s="1526" t="s">
        <v>1232</v>
      </c>
      <c r="B165" s="615" t="s">
        <v>638</v>
      </c>
      <c r="C165" s="617"/>
      <c r="D165" s="617"/>
      <c r="E165" s="617"/>
      <c r="F165" s="617"/>
      <c r="G165" s="617"/>
      <c r="H165" s="466"/>
      <c r="I165" s="617"/>
      <c r="J165" s="617"/>
      <c r="K165" s="1686">
        <f>SUM(C165:J165)</f>
        <v>0</v>
      </c>
      <c r="L165" s="466"/>
    </row>
    <row r="166" spans="1:14" x14ac:dyDescent="0.2">
      <c r="A166" s="1526" t="s">
        <v>91</v>
      </c>
      <c r="B166" s="629" t="s">
        <v>610</v>
      </c>
      <c r="C166" s="617"/>
      <c r="D166" s="617"/>
      <c r="E166" s="617"/>
      <c r="F166" s="617"/>
      <c r="G166" s="617"/>
      <c r="H166" s="466"/>
      <c r="I166" s="617"/>
      <c r="J166" s="617"/>
      <c r="K166" s="1686">
        <f>SUM(C166:J166)</f>
        <v>0</v>
      </c>
      <c r="L166" s="466"/>
    </row>
    <row r="167" spans="1:14" ht="12.75" customHeight="1" x14ac:dyDescent="0.2">
      <c r="A167" s="1526" t="s">
        <v>640</v>
      </c>
      <c r="B167" s="615" t="s">
        <v>639</v>
      </c>
      <c r="C167" s="617"/>
      <c r="D167" s="617"/>
      <c r="E167" s="617"/>
      <c r="F167" s="617"/>
      <c r="G167" s="617"/>
      <c r="H167" s="466"/>
      <c r="I167" s="617"/>
      <c r="J167" s="617"/>
      <c r="K167" s="1686">
        <f>SUM(C167:J167)</f>
        <v>0</v>
      </c>
      <c r="L167" s="466"/>
    </row>
    <row r="168" spans="1:14" ht="13.5" thickBot="1" x14ac:dyDescent="0.25">
      <c r="A168" s="1683" t="s">
        <v>294</v>
      </c>
      <c r="B168" s="1690" t="s">
        <v>742</v>
      </c>
      <c r="C168" s="617"/>
      <c r="D168" s="617"/>
      <c r="E168" s="617"/>
      <c r="F168" s="617"/>
      <c r="G168" s="617"/>
      <c r="H168" s="1685">
        <f>SUM(H163:H167)</f>
        <v>0</v>
      </c>
      <c r="I168" s="617"/>
      <c r="J168" s="617"/>
      <c r="K168" s="1685">
        <f>SUM(K163:K167)</f>
        <v>0</v>
      </c>
      <c r="L168" s="1685">
        <f>SUM(L163:L167)</f>
        <v>0</v>
      </c>
    </row>
    <row r="169" spans="1:14" ht="15.75" customHeight="1" thickTop="1" x14ac:dyDescent="0.2">
      <c r="A169" s="670" t="s">
        <v>85</v>
      </c>
      <c r="B169" s="671" t="s">
        <v>38</v>
      </c>
      <c r="C169" s="617"/>
      <c r="D169" s="617"/>
      <c r="E169" s="617"/>
      <c r="F169" s="617"/>
      <c r="G169" s="617"/>
      <c r="H169" s="657">
        <v>17691</v>
      </c>
      <c r="I169" s="617"/>
      <c r="J169" s="617"/>
      <c r="K169" s="1686">
        <f>SUM(C169:H169)</f>
        <v>17691</v>
      </c>
      <c r="L169" s="657">
        <v>20328</v>
      </c>
    </row>
    <row r="170" spans="1:14" ht="33.75" customHeight="1" x14ac:dyDescent="0.2">
      <c r="A170" s="670" t="s">
        <v>1769</v>
      </c>
      <c r="B170" s="672" t="s">
        <v>31</v>
      </c>
      <c r="C170" s="617"/>
      <c r="D170" s="617"/>
      <c r="E170" s="617"/>
      <c r="F170" s="617"/>
      <c r="G170" s="617"/>
      <c r="H170" s="569">
        <v>285000</v>
      </c>
      <c r="I170" s="617"/>
      <c r="J170" s="617"/>
      <c r="K170" s="1686">
        <f>SUM(C170:J170)</f>
        <v>285000</v>
      </c>
      <c r="L170" s="569">
        <v>381132</v>
      </c>
    </row>
    <row r="171" spans="1:14" ht="15.75" customHeight="1" x14ac:dyDescent="0.2">
      <c r="A171" s="622" t="s">
        <v>790</v>
      </c>
      <c r="B171" s="673" t="s">
        <v>86</v>
      </c>
      <c r="C171" s="617"/>
      <c r="D171" s="617"/>
      <c r="E171" s="466"/>
      <c r="F171" s="617"/>
      <c r="G171" s="617"/>
      <c r="H171" s="569">
        <v>371</v>
      </c>
      <c r="I171" s="477"/>
      <c r="J171" s="617"/>
      <c r="K171" s="1686">
        <f>SUM(C171:J171)</f>
        <v>371</v>
      </c>
      <c r="L171" s="569"/>
    </row>
    <row r="172" spans="1:14" ht="12.75" customHeight="1" thickBot="1" x14ac:dyDescent="0.25">
      <c r="A172" s="1683" t="s">
        <v>659</v>
      </c>
      <c r="B172" s="1684" t="s">
        <v>513</v>
      </c>
      <c r="C172" s="617"/>
      <c r="D172" s="617"/>
      <c r="E172" s="1692">
        <f>SUM(E168,E169,E170,E171)</f>
        <v>0</v>
      </c>
      <c r="F172" s="617"/>
      <c r="G172" s="617"/>
      <c r="H172" s="1692">
        <f>SUM(H168,H169,H170,H171)</f>
        <v>303062</v>
      </c>
      <c r="I172" s="639"/>
      <c r="J172" s="617"/>
      <c r="K172" s="1692">
        <f>SUM(K168,K169,K170,K171)</f>
        <v>303062</v>
      </c>
      <c r="L172" s="1692">
        <f>SUM(L168,L169,L170,L171)</f>
        <v>401460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4" t="s">
        <v>92</v>
      </c>
      <c r="B174" s="1705"/>
      <c r="C174" s="617"/>
      <c r="D174" s="617"/>
      <c r="E174" s="1692">
        <f>SUM(E155,E172,E173)</f>
        <v>0</v>
      </c>
      <c r="F174" s="617"/>
      <c r="G174" s="617"/>
      <c r="H174" s="1692">
        <f>SUM(H160,H172,H173)</f>
        <v>303062</v>
      </c>
      <c r="I174" s="639"/>
      <c r="J174" s="617"/>
      <c r="K174" s="1692">
        <f>SUM(K160,K172,K173)</f>
        <v>303062</v>
      </c>
      <c r="L174" s="1692">
        <f>SUM(L160,L172,L173)</f>
        <v>401460</v>
      </c>
    </row>
    <row r="175" spans="1:14" ht="13.5" thickTop="1" x14ac:dyDescent="0.2">
      <c r="A175" s="2190" t="s">
        <v>1053</v>
      </c>
      <c r="B175" s="2191"/>
      <c r="C175" s="617"/>
      <c r="D175" s="617"/>
      <c r="E175" s="617"/>
      <c r="F175" s="617"/>
      <c r="G175" s="617"/>
      <c r="H175" s="619"/>
      <c r="I175" s="617"/>
      <c r="J175" s="617"/>
      <c r="K175" s="1699">
        <f>'Revenues 9-14'!E275-'Expenditures 15-22'!K174</f>
        <v>104519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86">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337852</v>
      </c>
      <c r="D182" s="466">
        <v>25733</v>
      </c>
      <c r="E182" s="466">
        <v>13077</v>
      </c>
      <c r="F182" s="466">
        <v>136688</v>
      </c>
      <c r="G182" s="466">
        <v>176346</v>
      </c>
      <c r="H182" s="466">
        <v>103</v>
      </c>
      <c r="I182" s="467"/>
      <c r="J182" s="467"/>
      <c r="K182" s="1686">
        <f>SUM(C182:J182)</f>
        <v>689799</v>
      </c>
      <c r="L182" s="466">
        <v>694559</v>
      </c>
    </row>
    <row r="183" spans="1:14" ht="12.75" customHeight="1" thickBot="1" x14ac:dyDescent="0.25">
      <c r="A183" s="1531" t="s">
        <v>1037</v>
      </c>
      <c r="B183" s="678">
        <v>2900</v>
      </c>
      <c r="C183" s="573"/>
      <c r="D183" s="573"/>
      <c r="E183" s="573"/>
      <c r="F183" s="573"/>
      <c r="G183" s="573"/>
      <c r="H183" s="573"/>
      <c r="I183" s="532"/>
      <c r="J183" s="532"/>
      <c r="K183" s="1692">
        <f>SUM(C183:J183)</f>
        <v>0</v>
      </c>
      <c r="L183" s="573"/>
    </row>
    <row r="184" spans="1:14" ht="12.75" customHeight="1" thickTop="1" thickBot="1" x14ac:dyDescent="0.25">
      <c r="A184" s="1706" t="s">
        <v>865</v>
      </c>
      <c r="B184" s="1684" t="s">
        <v>590</v>
      </c>
      <c r="C184" s="1692">
        <f>SUM(C180,C182,C183)</f>
        <v>337852</v>
      </c>
      <c r="D184" s="1692">
        <f t="shared" ref="D184:J184" si="17">SUM(D180,D182,D183)</f>
        <v>25733</v>
      </c>
      <c r="E184" s="1692">
        <f t="shared" si="17"/>
        <v>13077</v>
      </c>
      <c r="F184" s="1692">
        <f t="shared" si="17"/>
        <v>136688</v>
      </c>
      <c r="G184" s="1692">
        <f t="shared" si="17"/>
        <v>176346</v>
      </c>
      <c r="H184" s="1692">
        <f t="shared" si="17"/>
        <v>103</v>
      </c>
      <c r="I184" s="1692">
        <f t="shared" si="17"/>
        <v>0</v>
      </c>
      <c r="J184" s="1692">
        <f t="shared" si="17"/>
        <v>0</v>
      </c>
      <c r="K184" s="1692">
        <f>SUM(K180,K182,K183)</f>
        <v>689799</v>
      </c>
      <c r="L184" s="1692">
        <f>SUM(L180, L182:L183)</f>
        <v>694559</v>
      </c>
    </row>
    <row r="185" spans="1:14" ht="15.75" customHeight="1" thickTop="1" thickBot="1" x14ac:dyDescent="0.25">
      <c r="A185" s="1644" t="s">
        <v>996</v>
      </c>
      <c r="B185" s="1633">
        <v>3000</v>
      </c>
      <c r="C185" s="576"/>
      <c r="D185" s="576"/>
      <c r="E185" s="576"/>
      <c r="F185" s="576"/>
      <c r="G185" s="576"/>
      <c r="H185" s="576"/>
      <c r="I185" s="531"/>
      <c r="J185" s="531"/>
      <c r="K185" s="1685">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86">
        <f t="shared" ref="K188:K193" si="18">SUM(E188,H188)</f>
        <v>0</v>
      </c>
      <c r="L188" s="466"/>
    </row>
    <row r="189" spans="1:14" x14ac:dyDescent="0.2">
      <c r="A189" s="1526" t="s">
        <v>322</v>
      </c>
      <c r="B189" s="615">
        <v>4120</v>
      </c>
      <c r="C189" s="617"/>
      <c r="D189" s="617"/>
      <c r="E189" s="466"/>
      <c r="F189" s="617"/>
      <c r="G189" s="617"/>
      <c r="H189" s="466"/>
      <c r="I189" s="477"/>
      <c r="J189" s="617"/>
      <c r="K189" s="1686">
        <f t="shared" si="18"/>
        <v>0</v>
      </c>
      <c r="L189" s="466"/>
    </row>
    <row r="190" spans="1:14" x14ac:dyDescent="0.2">
      <c r="A190" s="1526" t="s">
        <v>323</v>
      </c>
      <c r="B190" s="629">
        <v>4130</v>
      </c>
      <c r="C190" s="617"/>
      <c r="D190" s="617"/>
      <c r="E190" s="466"/>
      <c r="F190" s="617"/>
      <c r="G190" s="617"/>
      <c r="H190" s="466"/>
      <c r="I190" s="477"/>
      <c r="J190" s="617"/>
      <c r="K190" s="1686">
        <f t="shared" si="18"/>
        <v>0</v>
      </c>
      <c r="L190" s="466"/>
    </row>
    <row r="191" spans="1:14" x14ac:dyDescent="0.2">
      <c r="A191" s="1526" t="s">
        <v>721</v>
      </c>
      <c r="B191" s="615">
        <v>4140</v>
      </c>
      <c r="C191" s="617"/>
      <c r="D191" s="617"/>
      <c r="E191" s="466"/>
      <c r="F191" s="617"/>
      <c r="G191" s="617"/>
      <c r="H191" s="466"/>
      <c r="I191" s="477"/>
      <c r="J191" s="617"/>
      <c r="K191" s="1686">
        <f t="shared" si="18"/>
        <v>0</v>
      </c>
      <c r="L191" s="466"/>
    </row>
    <row r="192" spans="1:14" x14ac:dyDescent="0.2">
      <c r="A192" s="1526" t="s">
        <v>88</v>
      </c>
      <c r="B192" s="615">
        <v>4170</v>
      </c>
      <c r="C192" s="617"/>
      <c r="D192" s="617"/>
      <c r="E192" s="466"/>
      <c r="F192" s="617"/>
      <c r="G192" s="617"/>
      <c r="H192" s="466"/>
      <c r="I192" s="477"/>
      <c r="J192" s="617"/>
      <c r="K192" s="1686">
        <f t="shared" si="18"/>
        <v>0</v>
      </c>
      <c r="L192" s="466"/>
    </row>
    <row r="193" spans="1:14" x14ac:dyDescent="0.2">
      <c r="A193" s="1530" t="s">
        <v>722</v>
      </c>
      <c r="B193" s="629">
        <v>4190</v>
      </c>
      <c r="C193" s="617"/>
      <c r="D193" s="617"/>
      <c r="E193" s="466"/>
      <c r="F193" s="617"/>
      <c r="G193" s="617"/>
      <c r="H193" s="466"/>
      <c r="I193" s="477"/>
      <c r="J193" s="617"/>
      <c r="K193" s="1686">
        <f t="shared" si="18"/>
        <v>0</v>
      </c>
      <c r="L193" s="466"/>
    </row>
    <row r="194" spans="1:14" ht="12.75" customHeight="1" thickBot="1" x14ac:dyDescent="0.25">
      <c r="A194" s="1683" t="s">
        <v>1202</v>
      </c>
      <c r="B194" s="1684" t="s">
        <v>580</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70" t="s">
        <v>94</v>
      </c>
      <c r="B195" s="679" t="s">
        <v>988</v>
      </c>
      <c r="C195" s="617"/>
      <c r="D195" s="617"/>
      <c r="E195" s="657"/>
      <c r="F195" s="617"/>
      <c r="G195" s="617"/>
      <c r="H195" s="657"/>
      <c r="I195" s="477"/>
      <c r="J195" s="617"/>
      <c r="K195" s="1700">
        <f>SUM(E195,H195)</f>
        <v>0</v>
      </c>
      <c r="L195" s="657"/>
    </row>
    <row r="196" spans="1:14" ht="12.75" customHeight="1" thickBot="1" x14ac:dyDescent="0.25">
      <c r="A196" s="1683" t="s">
        <v>1567</v>
      </c>
      <c r="B196" s="1684" t="s">
        <v>915</v>
      </c>
      <c r="C196" s="617"/>
      <c r="D196" s="617"/>
      <c r="E196" s="1692">
        <f>SUM(E194,E195)</f>
        <v>0</v>
      </c>
      <c r="F196" s="617"/>
      <c r="G196" s="617"/>
      <c r="H196" s="1692">
        <f>SUM(H194,H195)</f>
        <v>0</v>
      </c>
      <c r="I196" s="477"/>
      <c r="J196" s="617"/>
      <c r="K196" s="1692">
        <f>SUM(K194,K195)</f>
        <v>0</v>
      </c>
      <c r="L196" s="1692">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86">
        <f>SUM(H199)</f>
        <v>0</v>
      </c>
      <c r="L199" s="466"/>
    </row>
    <row r="200" spans="1:14" x14ac:dyDescent="0.2">
      <c r="A200" s="1526" t="s">
        <v>90</v>
      </c>
      <c r="B200" s="615">
        <v>5120</v>
      </c>
      <c r="C200" s="617"/>
      <c r="D200" s="617"/>
      <c r="E200" s="617"/>
      <c r="F200" s="617"/>
      <c r="G200" s="617"/>
      <c r="H200" s="466"/>
      <c r="I200" s="617"/>
      <c r="J200" s="617"/>
      <c r="K200" s="1686">
        <f>SUM(H200)</f>
        <v>0</v>
      </c>
      <c r="L200" s="466"/>
    </row>
    <row r="201" spans="1:14" ht="12.75" customHeight="1" x14ac:dyDescent="0.2">
      <c r="A201" s="1526" t="s">
        <v>1232</v>
      </c>
      <c r="B201" s="629" t="s">
        <v>638</v>
      </c>
      <c r="C201" s="617"/>
      <c r="D201" s="617"/>
      <c r="E201" s="617"/>
      <c r="F201" s="617"/>
      <c r="G201" s="617"/>
      <c r="H201" s="466"/>
      <c r="I201" s="617"/>
      <c r="J201" s="617"/>
      <c r="K201" s="1686">
        <f>SUM(H201)</f>
        <v>0</v>
      </c>
      <c r="L201" s="466"/>
    </row>
    <row r="202" spans="1:14" x14ac:dyDescent="0.2">
      <c r="A202" s="1526" t="s">
        <v>91</v>
      </c>
      <c r="B202" s="615" t="s">
        <v>610</v>
      </c>
      <c r="C202" s="617"/>
      <c r="D202" s="617"/>
      <c r="E202" s="617"/>
      <c r="F202" s="617"/>
      <c r="G202" s="617"/>
      <c r="H202" s="466"/>
      <c r="I202" s="617"/>
      <c r="J202" s="617"/>
      <c r="K202" s="1686">
        <f>SUM(H202)</f>
        <v>0</v>
      </c>
      <c r="L202" s="466"/>
    </row>
    <row r="203" spans="1:14" x14ac:dyDescent="0.2">
      <c r="A203" s="1538" t="s">
        <v>640</v>
      </c>
      <c r="B203" s="615" t="s">
        <v>639</v>
      </c>
      <c r="C203" s="617"/>
      <c r="D203" s="617"/>
      <c r="E203" s="617"/>
      <c r="F203" s="617"/>
      <c r="G203" s="617"/>
      <c r="H203" s="471"/>
      <c r="I203" s="617"/>
      <c r="J203" s="617"/>
      <c r="K203" s="1686">
        <f>SUM(H203)</f>
        <v>0</v>
      </c>
      <c r="L203" s="471"/>
    </row>
    <row r="204" spans="1:14" ht="13.5" thickBot="1" x14ac:dyDescent="0.25">
      <c r="A204" s="1683" t="s">
        <v>294</v>
      </c>
      <c r="B204" s="1684" t="s">
        <v>742</v>
      </c>
      <c r="C204" s="617"/>
      <c r="D204" s="617"/>
      <c r="E204" s="617"/>
      <c r="F204" s="617"/>
      <c r="G204" s="617"/>
      <c r="H204" s="1685">
        <f>SUM(H199:H203)</f>
        <v>0</v>
      </c>
      <c r="I204" s="617"/>
      <c r="J204" s="617"/>
      <c r="K204" s="1685">
        <f>SUM(K199:K203)</f>
        <v>0</v>
      </c>
      <c r="L204" s="1685">
        <f>SUM(L199:L203)</f>
        <v>0</v>
      </c>
    </row>
    <row r="205" spans="1:14" ht="15.75" customHeight="1" thickTop="1" x14ac:dyDescent="0.2">
      <c r="A205" s="680" t="s">
        <v>85</v>
      </c>
      <c r="B205" s="681" t="s">
        <v>38</v>
      </c>
      <c r="C205" s="617"/>
      <c r="D205" s="617"/>
      <c r="E205" s="617"/>
      <c r="F205" s="617"/>
      <c r="G205" s="617"/>
      <c r="H205" s="535"/>
      <c r="I205" s="617"/>
      <c r="J205" s="617"/>
      <c r="K205" s="1700">
        <f>SUM(H205)</f>
        <v>0</v>
      </c>
      <c r="L205" s="535"/>
    </row>
    <row r="206" spans="1:14" ht="30" customHeight="1" x14ac:dyDescent="0.2">
      <c r="A206" s="682" t="s">
        <v>1770</v>
      </c>
      <c r="B206" s="673" t="s">
        <v>31</v>
      </c>
      <c r="C206" s="617"/>
      <c r="D206" s="617"/>
      <c r="E206" s="617"/>
      <c r="F206" s="617"/>
      <c r="G206" s="617"/>
      <c r="H206" s="466"/>
      <c r="I206" s="617"/>
      <c r="J206" s="617"/>
      <c r="K206" s="1686">
        <f>SUM(H206)</f>
        <v>0</v>
      </c>
      <c r="L206" s="466"/>
    </row>
    <row r="207" spans="1:14" ht="15.75" customHeight="1" x14ac:dyDescent="0.2">
      <c r="A207" s="622" t="s">
        <v>790</v>
      </c>
      <c r="B207" s="673" t="s">
        <v>86</v>
      </c>
      <c r="C207" s="617"/>
      <c r="D207" s="617"/>
      <c r="E207" s="617"/>
      <c r="F207" s="617"/>
      <c r="G207" s="617"/>
      <c r="H207" s="467"/>
      <c r="I207" s="617"/>
      <c r="J207" s="617"/>
      <c r="K207" s="1686">
        <f>H207</f>
        <v>0</v>
      </c>
      <c r="L207" s="466"/>
    </row>
    <row r="208" spans="1:14" ht="12.75" customHeight="1" thickBot="1" x14ac:dyDescent="0.25">
      <c r="A208" s="1701" t="s">
        <v>659</v>
      </c>
      <c r="B208" s="1702" t="s">
        <v>513</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07" t="s">
        <v>295</v>
      </c>
      <c r="B210" s="1708"/>
      <c r="C210" s="1685">
        <f>SUM(C184,C185)</f>
        <v>337852</v>
      </c>
      <c r="D210" s="1685">
        <f>SUM(D184,D185)</f>
        <v>25733</v>
      </c>
      <c r="E210" s="1685">
        <f>SUM(E184,E185,E196)</f>
        <v>13077</v>
      </c>
      <c r="F210" s="1685">
        <f>SUM(F184,F185)</f>
        <v>136688</v>
      </c>
      <c r="G210" s="1685">
        <f>SUM(G184,G185)</f>
        <v>176346</v>
      </c>
      <c r="H210" s="1685">
        <f>SUM(H184,H185,H196,H208,H209)</f>
        <v>103</v>
      </c>
      <c r="I210" s="1685">
        <f>SUM(I184,I185)</f>
        <v>0</v>
      </c>
      <c r="J210" s="1685">
        <f>SUM(J184,J185)</f>
        <v>0</v>
      </c>
      <c r="K210" s="1686">
        <f>SUM(K184,K185,K196,K208,K209)</f>
        <v>689799</v>
      </c>
      <c r="L210" s="1685">
        <f>SUM(L184,L185,L196,L208,L209)</f>
        <v>694559</v>
      </c>
    </row>
    <row r="211" spans="1:14" ht="13.5" thickTop="1" x14ac:dyDescent="0.2">
      <c r="A211" s="2190" t="s">
        <v>1053</v>
      </c>
      <c r="B211" s="2191"/>
      <c r="C211" s="619"/>
      <c r="D211" s="619"/>
      <c r="E211" s="619"/>
      <c r="F211" s="619"/>
      <c r="G211" s="619"/>
      <c r="H211" s="619"/>
      <c r="I211" s="617"/>
      <c r="J211" s="617"/>
      <c r="K211" s="1699">
        <f>'Revenues 9-14'!F275-'Expenditures 15-22'!K210</f>
        <v>-15178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85" t="s">
        <v>1022</v>
      </c>
      <c r="B213" s="218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49494</v>
      </c>
      <c r="E215" s="617"/>
      <c r="F215" s="617"/>
      <c r="G215" s="617"/>
      <c r="H215" s="617"/>
      <c r="I215" s="617"/>
      <c r="J215" s="617"/>
      <c r="K215" s="1686">
        <f>D215</f>
        <v>49494</v>
      </c>
      <c r="L215" s="466">
        <v>54650</v>
      </c>
    </row>
    <row r="216" spans="1:14" x14ac:dyDescent="0.2">
      <c r="A216" s="1526" t="s">
        <v>165</v>
      </c>
      <c r="B216" s="615" t="s">
        <v>1024</v>
      </c>
      <c r="C216" s="617"/>
      <c r="D216" s="467">
        <v>3753</v>
      </c>
      <c r="E216" s="617"/>
      <c r="F216" s="617"/>
      <c r="G216" s="617"/>
      <c r="H216" s="617"/>
      <c r="I216" s="617"/>
      <c r="J216" s="617"/>
      <c r="K216" s="1686">
        <f t="shared" ref="K216:K228" si="19">D216</f>
        <v>3753</v>
      </c>
      <c r="L216" s="466">
        <v>6000</v>
      </c>
    </row>
    <row r="217" spans="1:14" x14ac:dyDescent="0.2">
      <c r="A217" s="1526" t="s">
        <v>166</v>
      </c>
      <c r="B217" s="615">
        <v>1200</v>
      </c>
      <c r="C217" s="617"/>
      <c r="D217" s="466">
        <v>44764</v>
      </c>
      <c r="E217" s="617"/>
      <c r="F217" s="617"/>
      <c r="G217" s="617"/>
      <c r="H217" s="617"/>
      <c r="I217" s="617"/>
      <c r="J217" s="617"/>
      <c r="K217" s="1686">
        <f t="shared" si="19"/>
        <v>44764</v>
      </c>
      <c r="L217" s="466">
        <v>53515</v>
      </c>
    </row>
    <row r="218" spans="1:14" x14ac:dyDescent="0.2">
      <c r="A218" s="1526" t="s">
        <v>296</v>
      </c>
      <c r="B218" s="615" t="s">
        <v>1025</v>
      </c>
      <c r="C218" s="617"/>
      <c r="D218" s="467"/>
      <c r="E218" s="617"/>
      <c r="F218" s="617"/>
      <c r="G218" s="617"/>
      <c r="H218" s="617"/>
      <c r="I218" s="617"/>
      <c r="J218" s="617"/>
      <c r="K218" s="1686">
        <f t="shared" si="19"/>
        <v>0</v>
      </c>
      <c r="L218" s="466"/>
    </row>
    <row r="219" spans="1:14" x14ac:dyDescent="0.2">
      <c r="A219" s="1526" t="s">
        <v>297</v>
      </c>
      <c r="B219" s="615">
        <v>1250</v>
      </c>
      <c r="C219" s="617"/>
      <c r="D219" s="466">
        <v>6313</v>
      </c>
      <c r="E219" s="617"/>
      <c r="F219" s="617"/>
      <c r="G219" s="617"/>
      <c r="H219" s="617"/>
      <c r="I219" s="617"/>
      <c r="J219" s="617"/>
      <c r="K219" s="1686">
        <f t="shared" si="19"/>
        <v>6313</v>
      </c>
      <c r="L219" s="466">
        <v>8000</v>
      </c>
    </row>
    <row r="220" spans="1:14" x14ac:dyDescent="0.2">
      <c r="A220" s="1526" t="s">
        <v>298</v>
      </c>
      <c r="B220" s="615" t="s">
        <v>163</v>
      </c>
      <c r="C220" s="617"/>
      <c r="D220" s="467">
        <v>2631</v>
      </c>
      <c r="E220" s="617"/>
      <c r="F220" s="617"/>
      <c r="G220" s="617"/>
      <c r="H220" s="617"/>
      <c r="I220" s="617"/>
      <c r="J220" s="617"/>
      <c r="K220" s="1686">
        <f t="shared" si="19"/>
        <v>2631</v>
      </c>
      <c r="L220" s="466"/>
    </row>
    <row r="221" spans="1:14" x14ac:dyDescent="0.2">
      <c r="A221" s="1526" t="s">
        <v>1019</v>
      </c>
      <c r="B221" s="615">
        <v>1300</v>
      </c>
      <c r="C221" s="617"/>
      <c r="D221" s="466"/>
      <c r="E221" s="617"/>
      <c r="F221" s="617"/>
      <c r="G221" s="617"/>
      <c r="H221" s="617"/>
      <c r="I221" s="617"/>
      <c r="J221" s="617"/>
      <c r="K221" s="1686">
        <f t="shared" si="19"/>
        <v>0</v>
      </c>
      <c r="L221" s="466"/>
    </row>
    <row r="222" spans="1:14" x14ac:dyDescent="0.2">
      <c r="A222" s="1526" t="s">
        <v>747</v>
      </c>
      <c r="B222" s="615">
        <v>1400</v>
      </c>
      <c r="C222" s="617"/>
      <c r="D222" s="466">
        <v>2758</v>
      </c>
      <c r="E222" s="617"/>
      <c r="F222" s="617"/>
      <c r="G222" s="617"/>
      <c r="H222" s="617"/>
      <c r="I222" s="617"/>
      <c r="J222" s="617"/>
      <c r="K222" s="1686">
        <f t="shared" si="19"/>
        <v>2758</v>
      </c>
      <c r="L222" s="466">
        <v>4165</v>
      </c>
    </row>
    <row r="223" spans="1:14" x14ac:dyDescent="0.2">
      <c r="A223" s="1526" t="s">
        <v>1020</v>
      </c>
      <c r="B223" s="615">
        <v>1500</v>
      </c>
      <c r="C223" s="617"/>
      <c r="D223" s="466">
        <v>9271</v>
      </c>
      <c r="E223" s="617"/>
      <c r="F223" s="617"/>
      <c r="G223" s="617"/>
      <c r="H223" s="617"/>
      <c r="I223" s="617"/>
      <c r="J223" s="617"/>
      <c r="K223" s="1686">
        <f t="shared" si="19"/>
        <v>9271</v>
      </c>
      <c r="L223" s="466">
        <v>10900</v>
      </c>
    </row>
    <row r="224" spans="1:14" x14ac:dyDescent="0.2">
      <c r="A224" s="1526" t="s">
        <v>1021</v>
      </c>
      <c r="B224" s="615">
        <v>1600</v>
      </c>
      <c r="C224" s="617"/>
      <c r="D224" s="466"/>
      <c r="E224" s="617"/>
      <c r="F224" s="617"/>
      <c r="G224" s="617"/>
      <c r="H224" s="617"/>
      <c r="I224" s="617"/>
      <c r="J224" s="617"/>
      <c r="K224" s="1686">
        <f t="shared" si="19"/>
        <v>0</v>
      </c>
      <c r="L224" s="466"/>
    </row>
    <row r="225" spans="1:12" x14ac:dyDescent="0.2">
      <c r="A225" s="1526" t="s">
        <v>1044</v>
      </c>
      <c r="B225" s="615">
        <v>1650</v>
      </c>
      <c r="C225" s="617"/>
      <c r="D225" s="466"/>
      <c r="E225" s="617"/>
      <c r="F225" s="617"/>
      <c r="G225" s="617"/>
      <c r="H225" s="617"/>
      <c r="I225" s="617"/>
      <c r="J225" s="617"/>
      <c r="K225" s="1686">
        <f t="shared" si="19"/>
        <v>0</v>
      </c>
      <c r="L225" s="466"/>
    </row>
    <row r="226" spans="1:12" x14ac:dyDescent="0.2">
      <c r="A226" s="1526" t="s">
        <v>748</v>
      </c>
      <c r="B226" s="615" t="s">
        <v>164</v>
      </c>
      <c r="C226" s="617"/>
      <c r="D226" s="467">
        <v>524</v>
      </c>
      <c r="E226" s="617"/>
      <c r="F226" s="617"/>
      <c r="G226" s="617"/>
      <c r="H226" s="617"/>
      <c r="I226" s="617"/>
      <c r="J226" s="617"/>
      <c r="K226" s="1686">
        <f t="shared" si="19"/>
        <v>524</v>
      </c>
      <c r="L226" s="466">
        <v>700</v>
      </c>
    </row>
    <row r="227" spans="1:12" x14ac:dyDescent="0.2">
      <c r="A227" s="1526" t="s">
        <v>1148</v>
      </c>
      <c r="B227" s="615">
        <v>1800</v>
      </c>
      <c r="C227" s="617"/>
      <c r="D227" s="466"/>
      <c r="E227" s="617"/>
      <c r="F227" s="617"/>
      <c r="G227" s="617"/>
      <c r="H227" s="617"/>
      <c r="I227" s="617"/>
      <c r="J227" s="617"/>
      <c r="K227" s="1686">
        <f t="shared" si="19"/>
        <v>0</v>
      </c>
      <c r="L227" s="466"/>
    </row>
    <row r="228" spans="1:12" x14ac:dyDescent="0.2">
      <c r="A228" s="1526" t="s">
        <v>1149</v>
      </c>
      <c r="B228" s="615">
        <v>1900</v>
      </c>
      <c r="C228" s="617"/>
      <c r="D228" s="466">
        <v>6108</v>
      </c>
      <c r="E228" s="617"/>
      <c r="F228" s="617"/>
      <c r="G228" s="617"/>
      <c r="H228" s="617"/>
      <c r="I228" s="617"/>
      <c r="J228" s="617"/>
      <c r="K228" s="1686">
        <f t="shared" si="19"/>
        <v>6108</v>
      </c>
      <c r="L228" s="466">
        <v>6930</v>
      </c>
    </row>
    <row r="229" spans="1:12" ht="12.75" customHeight="1" thickBot="1" x14ac:dyDescent="0.25">
      <c r="A229" s="1683" t="s">
        <v>739</v>
      </c>
      <c r="B229" s="1690" t="s">
        <v>591</v>
      </c>
      <c r="C229" s="617"/>
      <c r="D229" s="1685">
        <f>SUM(D215:D228)</f>
        <v>125616</v>
      </c>
      <c r="E229" s="617"/>
      <c r="F229" s="617"/>
      <c r="G229" s="617"/>
      <c r="H229" s="617"/>
      <c r="I229" s="617"/>
      <c r="J229" s="617"/>
      <c r="K229" s="1685">
        <f>SUM(K215:K228)</f>
        <v>125616</v>
      </c>
      <c r="L229" s="1685">
        <f>SUM(L215:L228)</f>
        <v>144860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86">
        <f t="shared" ref="K232:K237" si="20">D232</f>
        <v>0</v>
      </c>
      <c r="L232" s="466">
        <v>0</v>
      </c>
    </row>
    <row r="233" spans="1:12" x14ac:dyDescent="0.2">
      <c r="A233" s="1526" t="s">
        <v>1151</v>
      </c>
      <c r="B233" s="615">
        <v>2120</v>
      </c>
      <c r="C233" s="617"/>
      <c r="D233" s="466">
        <v>666</v>
      </c>
      <c r="E233" s="617"/>
      <c r="F233" s="617"/>
      <c r="G233" s="617"/>
      <c r="H233" s="617"/>
      <c r="I233" s="617"/>
      <c r="J233" s="617"/>
      <c r="K233" s="1686">
        <f t="shared" si="20"/>
        <v>666</v>
      </c>
      <c r="L233" s="466">
        <v>900</v>
      </c>
    </row>
    <row r="234" spans="1:12" x14ac:dyDescent="0.2">
      <c r="A234" s="1526" t="s">
        <v>207</v>
      </c>
      <c r="B234" s="615">
        <v>2130</v>
      </c>
      <c r="C234" s="617"/>
      <c r="D234" s="466">
        <v>2691</v>
      </c>
      <c r="E234" s="617"/>
      <c r="F234" s="617"/>
      <c r="G234" s="617"/>
      <c r="H234" s="617"/>
      <c r="I234" s="617"/>
      <c r="J234" s="617"/>
      <c r="K234" s="1686">
        <f t="shared" si="20"/>
        <v>2691</v>
      </c>
      <c r="L234" s="466">
        <v>4400</v>
      </c>
    </row>
    <row r="235" spans="1:12" x14ac:dyDescent="0.2">
      <c r="A235" s="1526" t="s">
        <v>208</v>
      </c>
      <c r="B235" s="615">
        <v>2140</v>
      </c>
      <c r="C235" s="617"/>
      <c r="D235" s="466"/>
      <c r="E235" s="617"/>
      <c r="F235" s="617"/>
      <c r="G235" s="617"/>
      <c r="H235" s="617"/>
      <c r="I235" s="617"/>
      <c r="J235" s="617"/>
      <c r="K235" s="1686">
        <f t="shared" si="20"/>
        <v>0</v>
      </c>
      <c r="L235" s="466"/>
    </row>
    <row r="236" spans="1:12" x14ac:dyDescent="0.2">
      <c r="A236" s="1526" t="s">
        <v>209</v>
      </c>
      <c r="B236" s="615">
        <v>2150</v>
      </c>
      <c r="C236" s="617"/>
      <c r="D236" s="466">
        <v>1457</v>
      </c>
      <c r="E236" s="617"/>
      <c r="F236" s="617"/>
      <c r="G236" s="617"/>
      <c r="H236" s="617"/>
      <c r="I236" s="617"/>
      <c r="J236" s="617"/>
      <c r="K236" s="1686">
        <f t="shared" si="20"/>
        <v>1457</v>
      </c>
      <c r="L236" s="466">
        <v>1600</v>
      </c>
    </row>
    <row r="237" spans="1:12" x14ac:dyDescent="0.2">
      <c r="A237" s="1526" t="s">
        <v>167</v>
      </c>
      <c r="B237" s="615">
        <v>2190</v>
      </c>
      <c r="C237" s="617"/>
      <c r="D237" s="466"/>
      <c r="E237" s="617"/>
      <c r="F237" s="617"/>
      <c r="G237" s="617"/>
      <c r="H237" s="617"/>
      <c r="I237" s="617"/>
      <c r="J237" s="617"/>
      <c r="K237" s="1686">
        <f t="shared" si="20"/>
        <v>0</v>
      </c>
      <c r="L237" s="466"/>
    </row>
    <row r="238" spans="1:12" ht="12.75" customHeight="1" thickBot="1" x14ac:dyDescent="0.25">
      <c r="A238" s="1683" t="s">
        <v>581</v>
      </c>
      <c r="B238" s="1690" t="s">
        <v>740</v>
      </c>
      <c r="C238" s="617"/>
      <c r="D238" s="1685">
        <f>SUM(D232:D237)</f>
        <v>4814</v>
      </c>
      <c r="E238" s="617"/>
      <c r="F238" s="617"/>
      <c r="G238" s="617"/>
      <c r="H238" s="617"/>
      <c r="I238" s="617"/>
      <c r="J238" s="617"/>
      <c r="K238" s="1685">
        <f>SUM(K232:K237)</f>
        <v>4814</v>
      </c>
      <c r="L238" s="1685">
        <f>SUM(L232:L237)</f>
        <v>6900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87">
        <f>D240</f>
        <v>0</v>
      </c>
      <c r="L240" s="481"/>
    </row>
    <row r="241" spans="1:12" x14ac:dyDescent="0.2">
      <c r="A241" s="1526" t="s">
        <v>869</v>
      </c>
      <c r="B241" s="615">
        <v>2220</v>
      </c>
      <c r="C241" s="617"/>
      <c r="D241" s="466">
        <v>3446</v>
      </c>
      <c r="E241" s="617"/>
      <c r="F241" s="617"/>
      <c r="G241" s="617"/>
      <c r="H241" s="617"/>
      <c r="I241" s="617"/>
      <c r="J241" s="617"/>
      <c r="K241" s="1687">
        <f>D241</f>
        <v>3446</v>
      </c>
      <c r="L241" s="466">
        <v>4100</v>
      </c>
    </row>
    <row r="242" spans="1:12" x14ac:dyDescent="0.2">
      <c r="A242" s="1526" t="s">
        <v>870</v>
      </c>
      <c r="B242" s="615">
        <v>2230</v>
      </c>
      <c r="C242" s="617"/>
      <c r="D242" s="466"/>
      <c r="E242" s="617"/>
      <c r="F242" s="617"/>
      <c r="G242" s="617"/>
      <c r="H242" s="617"/>
      <c r="I242" s="617"/>
      <c r="J242" s="617"/>
      <c r="K242" s="1687">
        <f>D242</f>
        <v>0</v>
      </c>
      <c r="L242" s="466"/>
    </row>
    <row r="243" spans="1:12" ht="12.75" customHeight="1" thickBot="1" x14ac:dyDescent="0.25">
      <c r="A243" s="1709" t="s">
        <v>582</v>
      </c>
      <c r="B243" s="1710">
        <v>2200</v>
      </c>
      <c r="C243" s="617"/>
      <c r="D243" s="1685">
        <f>SUM(D240:D242)</f>
        <v>3446</v>
      </c>
      <c r="E243" s="617"/>
      <c r="F243" s="617"/>
      <c r="G243" s="617"/>
      <c r="H243" s="617"/>
      <c r="I243" s="617"/>
      <c r="J243" s="617"/>
      <c r="K243" s="1685">
        <f>SUM(K240:K242)</f>
        <v>3446</v>
      </c>
      <c r="L243" s="1685">
        <f>SUM(L240:L242)</f>
        <v>4100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87">
        <f>D245</f>
        <v>0</v>
      </c>
      <c r="L245" s="481"/>
    </row>
    <row r="246" spans="1:12" x14ac:dyDescent="0.2">
      <c r="A246" s="1526" t="s">
        <v>872</v>
      </c>
      <c r="B246" s="615">
        <v>2320</v>
      </c>
      <c r="C246" s="617"/>
      <c r="D246" s="466">
        <v>1855</v>
      </c>
      <c r="E246" s="617"/>
      <c r="F246" s="617"/>
      <c r="G246" s="617"/>
      <c r="H246" s="617"/>
      <c r="I246" s="617"/>
      <c r="J246" s="617"/>
      <c r="K246" s="1687">
        <f t="shared" ref="K246:K256" si="21">D246</f>
        <v>1855</v>
      </c>
      <c r="L246" s="466">
        <v>2200</v>
      </c>
    </row>
    <row r="247" spans="1:12" x14ac:dyDescent="0.2">
      <c r="A247" s="1526" t="s">
        <v>873</v>
      </c>
      <c r="B247" s="615">
        <v>2330</v>
      </c>
      <c r="C247" s="617"/>
      <c r="D247" s="466"/>
      <c r="E247" s="617"/>
      <c r="F247" s="617"/>
      <c r="G247" s="617"/>
      <c r="H247" s="617"/>
      <c r="I247" s="617"/>
      <c r="J247" s="617"/>
      <c r="K247" s="1687">
        <f t="shared" si="21"/>
        <v>0</v>
      </c>
      <c r="L247" s="466"/>
    </row>
    <row r="248" spans="1:12" x14ac:dyDescent="0.2">
      <c r="A248" s="1527" t="s">
        <v>317</v>
      </c>
      <c r="B248" s="603" t="s">
        <v>299</v>
      </c>
      <c r="C248" s="617"/>
      <c r="D248" s="474"/>
      <c r="E248" s="617"/>
      <c r="F248" s="617"/>
      <c r="G248" s="617"/>
      <c r="H248" s="617"/>
      <c r="I248" s="617"/>
      <c r="J248" s="617"/>
      <c r="K248" s="1687">
        <f t="shared" si="21"/>
        <v>0</v>
      </c>
      <c r="L248" s="466"/>
    </row>
    <row r="249" spans="1:12" x14ac:dyDescent="0.2">
      <c r="A249" s="1528" t="s">
        <v>1908</v>
      </c>
      <c r="B249" s="684" t="s">
        <v>300</v>
      </c>
      <c r="C249" s="617"/>
      <c r="D249" s="474"/>
      <c r="E249" s="617"/>
      <c r="F249" s="617"/>
      <c r="G249" s="617"/>
      <c r="H249" s="617"/>
      <c r="I249" s="617"/>
      <c r="J249" s="617"/>
      <c r="K249" s="1687">
        <f t="shared" si="21"/>
        <v>0</v>
      </c>
      <c r="L249" s="466"/>
    </row>
    <row r="250" spans="1:12" x14ac:dyDescent="0.2">
      <c r="A250" s="1527" t="s">
        <v>1909</v>
      </c>
      <c r="B250" s="603" t="s">
        <v>301</v>
      </c>
      <c r="C250" s="617"/>
      <c r="D250" s="474"/>
      <c r="E250" s="617"/>
      <c r="F250" s="617"/>
      <c r="G250" s="617"/>
      <c r="H250" s="617"/>
      <c r="I250" s="617"/>
      <c r="J250" s="617"/>
      <c r="K250" s="1687">
        <f t="shared" si="21"/>
        <v>0</v>
      </c>
      <c r="L250" s="466"/>
    </row>
    <row r="251" spans="1:12" x14ac:dyDescent="0.2">
      <c r="A251" s="1527" t="s">
        <v>256</v>
      </c>
      <c r="B251" s="603" t="s">
        <v>302</v>
      </c>
      <c r="C251" s="617"/>
      <c r="D251" s="474"/>
      <c r="E251" s="617"/>
      <c r="F251" s="617"/>
      <c r="G251" s="617"/>
      <c r="H251" s="617"/>
      <c r="I251" s="617"/>
      <c r="J251" s="617"/>
      <c r="K251" s="1687">
        <f t="shared" si="21"/>
        <v>0</v>
      </c>
      <c r="L251" s="466"/>
    </row>
    <row r="252" spans="1:12" x14ac:dyDescent="0.2">
      <c r="A252" s="1527" t="s">
        <v>726</v>
      </c>
      <c r="B252" s="603" t="s">
        <v>303</v>
      </c>
      <c r="C252" s="617"/>
      <c r="D252" s="474"/>
      <c r="E252" s="617"/>
      <c r="F252" s="617"/>
      <c r="G252" s="617"/>
      <c r="H252" s="617"/>
      <c r="I252" s="617"/>
      <c r="J252" s="617"/>
      <c r="K252" s="1687">
        <f t="shared" si="21"/>
        <v>0</v>
      </c>
      <c r="L252" s="466"/>
    </row>
    <row r="253" spans="1:12" x14ac:dyDescent="0.2">
      <c r="A253" s="1527" t="s">
        <v>257</v>
      </c>
      <c r="B253" s="603" t="s">
        <v>304</v>
      </c>
      <c r="C253" s="617"/>
      <c r="D253" s="474"/>
      <c r="E253" s="617"/>
      <c r="F253" s="617"/>
      <c r="G253" s="617"/>
      <c r="H253" s="617"/>
      <c r="I253" s="617"/>
      <c r="J253" s="617"/>
      <c r="K253" s="1687">
        <f t="shared" si="21"/>
        <v>0</v>
      </c>
      <c r="L253" s="466"/>
    </row>
    <row r="254" spans="1:12" ht="22.5" x14ac:dyDescent="0.2">
      <c r="A254" s="1527" t="s">
        <v>1087</v>
      </c>
      <c r="B254" s="684" t="s">
        <v>305</v>
      </c>
      <c r="C254" s="617"/>
      <c r="D254" s="474"/>
      <c r="E254" s="617"/>
      <c r="F254" s="617"/>
      <c r="G254" s="617"/>
      <c r="H254" s="617"/>
      <c r="I254" s="617"/>
      <c r="J254" s="617"/>
      <c r="K254" s="1687">
        <f t="shared" si="21"/>
        <v>0</v>
      </c>
      <c r="L254" s="466"/>
    </row>
    <row r="255" spans="1:12" x14ac:dyDescent="0.2">
      <c r="A255" s="1527" t="s">
        <v>1088</v>
      </c>
      <c r="B255" s="603" t="s">
        <v>306</v>
      </c>
      <c r="C255" s="617"/>
      <c r="D255" s="474"/>
      <c r="E255" s="617"/>
      <c r="F255" s="617"/>
      <c r="G255" s="617"/>
      <c r="H255" s="617"/>
      <c r="I255" s="617"/>
      <c r="J255" s="617"/>
      <c r="K255" s="1687">
        <f t="shared" si="21"/>
        <v>0</v>
      </c>
      <c r="L255" s="466"/>
    </row>
    <row r="256" spans="1:12" x14ac:dyDescent="0.2">
      <c r="A256" s="1527" t="s">
        <v>1028</v>
      </c>
      <c r="B256" s="615" t="s">
        <v>307</v>
      </c>
      <c r="C256" s="617"/>
      <c r="D256" s="474"/>
      <c r="E256" s="617"/>
      <c r="F256" s="617"/>
      <c r="G256" s="617"/>
      <c r="H256" s="617"/>
      <c r="I256" s="617"/>
      <c r="J256" s="617"/>
      <c r="K256" s="1687">
        <f t="shared" si="21"/>
        <v>0</v>
      </c>
      <c r="L256" s="466"/>
    </row>
    <row r="257" spans="1:14" ht="12.75" customHeight="1" thickBot="1" x14ac:dyDescent="0.25">
      <c r="A257" s="1683" t="s">
        <v>741</v>
      </c>
      <c r="B257" s="1711">
        <v>2300</v>
      </c>
      <c r="C257" s="617"/>
      <c r="D257" s="1685">
        <f>SUM(D245:D256)</f>
        <v>1855</v>
      </c>
      <c r="E257" s="617"/>
      <c r="F257" s="617"/>
      <c r="G257" s="617"/>
      <c r="H257" s="617"/>
      <c r="I257" s="617"/>
      <c r="J257" s="617"/>
      <c r="K257" s="1685">
        <f>SUM(K245:K256)</f>
        <v>1855</v>
      </c>
      <c r="L257" s="1685">
        <f>SUM(L245:L256)</f>
        <v>2200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21471</v>
      </c>
      <c r="E259" s="617"/>
      <c r="F259" s="617"/>
      <c r="G259" s="617"/>
      <c r="H259" s="617"/>
      <c r="I259" s="617"/>
      <c r="J259" s="617"/>
      <c r="K259" s="1687">
        <f>D259</f>
        <v>21471</v>
      </c>
      <c r="L259" s="481">
        <v>23700</v>
      </c>
    </row>
    <row r="260" spans="1:14" s="598" customFormat="1" x14ac:dyDescent="0.2">
      <c r="A260" s="1544" t="s">
        <v>1907</v>
      </c>
      <c r="B260" s="629">
        <v>2490</v>
      </c>
      <c r="C260" s="617"/>
      <c r="D260" s="466"/>
      <c r="E260" s="617"/>
      <c r="F260" s="617"/>
      <c r="G260" s="617"/>
      <c r="H260" s="617"/>
      <c r="I260" s="617"/>
      <c r="J260" s="617"/>
      <c r="K260" s="1687">
        <f>D260</f>
        <v>0</v>
      </c>
      <c r="L260" s="466"/>
      <c r="M260" s="210"/>
      <c r="N260" s="210"/>
    </row>
    <row r="261" spans="1:14" ht="12.75" customHeight="1" thickBot="1" x14ac:dyDescent="0.25">
      <c r="A261" s="1707" t="s">
        <v>281</v>
      </c>
      <c r="B261" s="1712" t="s">
        <v>34</v>
      </c>
      <c r="C261" s="617"/>
      <c r="D261" s="1685">
        <f>SUM(D259:D260)</f>
        <v>21471</v>
      </c>
      <c r="E261" s="617"/>
      <c r="F261" s="617"/>
      <c r="G261" s="617"/>
      <c r="H261" s="617"/>
      <c r="I261" s="617"/>
      <c r="J261" s="617"/>
      <c r="K261" s="1685">
        <f>SUM(K259:K260)</f>
        <v>21471</v>
      </c>
      <c r="L261" s="1685">
        <f>SUM(L259:L260)</f>
        <v>23700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87">
        <f>D263</f>
        <v>0</v>
      </c>
      <c r="L263" s="481"/>
    </row>
    <row r="264" spans="1:14" x14ac:dyDescent="0.2">
      <c r="A264" s="1526" t="s">
        <v>483</v>
      </c>
      <c r="B264" s="686">
        <v>2520</v>
      </c>
      <c r="C264" s="617"/>
      <c r="D264" s="466">
        <v>4333</v>
      </c>
      <c r="E264" s="617"/>
      <c r="F264" s="617"/>
      <c r="G264" s="617"/>
      <c r="H264" s="617"/>
      <c r="I264" s="617"/>
      <c r="J264" s="617"/>
      <c r="K264" s="1687">
        <f t="shared" ref="K264:K269" si="22">D264</f>
        <v>4333</v>
      </c>
      <c r="L264" s="466">
        <v>5000</v>
      </c>
    </row>
    <row r="265" spans="1:14" x14ac:dyDescent="0.2">
      <c r="A265" s="1526" t="s">
        <v>4</v>
      </c>
      <c r="B265" s="615">
        <v>2530</v>
      </c>
      <c r="C265" s="617"/>
      <c r="D265" s="466"/>
      <c r="E265" s="617"/>
      <c r="F265" s="617"/>
      <c r="G265" s="617"/>
      <c r="H265" s="617"/>
      <c r="I265" s="617"/>
      <c r="J265" s="617"/>
      <c r="K265" s="1687">
        <f t="shared" si="22"/>
        <v>0</v>
      </c>
      <c r="L265" s="466"/>
    </row>
    <row r="266" spans="1:14" x14ac:dyDescent="0.2">
      <c r="A266" s="1526" t="s">
        <v>206</v>
      </c>
      <c r="B266" s="615">
        <v>2540</v>
      </c>
      <c r="C266" s="617"/>
      <c r="D266" s="466">
        <v>49928</v>
      </c>
      <c r="E266" s="617"/>
      <c r="F266" s="617"/>
      <c r="G266" s="617"/>
      <c r="H266" s="617"/>
      <c r="I266" s="617"/>
      <c r="J266" s="617"/>
      <c r="K266" s="1687">
        <f t="shared" si="22"/>
        <v>49928</v>
      </c>
      <c r="L266" s="466">
        <v>55650</v>
      </c>
    </row>
    <row r="267" spans="1:14" x14ac:dyDescent="0.2">
      <c r="A267" s="1526" t="s">
        <v>1010</v>
      </c>
      <c r="B267" s="615">
        <v>2550</v>
      </c>
      <c r="C267" s="617"/>
      <c r="D267" s="466">
        <v>45387</v>
      </c>
      <c r="E267" s="617"/>
      <c r="F267" s="617"/>
      <c r="G267" s="617"/>
      <c r="H267" s="617"/>
      <c r="I267" s="617"/>
      <c r="J267" s="617"/>
      <c r="K267" s="1687">
        <f t="shared" si="22"/>
        <v>45387</v>
      </c>
      <c r="L267" s="466">
        <v>50250</v>
      </c>
    </row>
    <row r="268" spans="1:14" x14ac:dyDescent="0.2">
      <c r="A268" s="1526" t="s">
        <v>102</v>
      </c>
      <c r="B268" s="615">
        <v>2560</v>
      </c>
      <c r="C268" s="617"/>
      <c r="D268" s="466">
        <v>27022</v>
      </c>
      <c r="E268" s="617"/>
      <c r="F268" s="617"/>
      <c r="G268" s="617"/>
      <c r="H268" s="617"/>
      <c r="I268" s="617"/>
      <c r="J268" s="617"/>
      <c r="K268" s="1687">
        <f t="shared" si="22"/>
        <v>27022</v>
      </c>
      <c r="L268" s="466">
        <v>36000</v>
      </c>
    </row>
    <row r="269" spans="1:14" x14ac:dyDescent="0.2">
      <c r="A269" s="1526" t="s">
        <v>103</v>
      </c>
      <c r="B269" s="615">
        <v>2570</v>
      </c>
      <c r="C269" s="617"/>
      <c r="D269" s="466"/>
      <c r="E269" s="617"/>
      <c r="F269" s="617"/>
      <c r="G269" s="617"/>
      <c r="H269" s="617"/>
      <c r="I269" s="617"/>
      <c r="J269" s="617"/>
      <c r="K269" s="1687">
        <f t="shared" si="22"/>
        <v>0</v>
      </c>
      <c r="L269" s="466"/>
    </row>
    <row r="270" spans="1:14" ht="12.75" customHeight="1" thickBot="1" x14ac:dyDescent="0.25">
      <c r="A270" s="1683" t="s">
        <v>743</v>
      </c>
      <c r="B270" s="1690" t="s">
        <v>35</v>
      </c>
      <c r="C270" s="617"/>
      <c r="D270" s="1685">
        <f>SUM(D263:D269)</f>
        <v>126670</v>
      </c>
      <c r="E270" s="617"/>
      <c r="F270" s="617"/>
      <c r="G270" s="617"/>
      <c r="H270" s="617"/>
      <c r="I270" s="617"/>
      <c r="J270" s="617"/>
      <c r="K270" s="1685">
        <f>SUM(K263:K269)</f>
        <v>126670</v>
      </c>
      <c r="L270" s="1685">
        <f>SUM(L263:L269)</f>
        <v>146900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87">
        <f>D272</f>
        <v>0</v>
      </c>
      <c r="L272" s="481"/>
    </row>
    <row r="273" spans="1:12" x14ac:dyDescent="0.2">
      <c r="A273" s="1526" t="s">
        <v>628</v>
      </c>
      <c r="B273" s="629">
        <v>2620</v>
      </c>
      <c r="C273" s="617"/>
      <c r="D273" s="466"/>
      <c r="E273" s="617"/>
      <c r="F273" s="617"/>
      <c r="G273" s="617"/>
      <c r="H273" s="617"/>
      <c r="I273" s="617"/>
      <c r="J273" s="617"/>
      <c r="K273" s="1687">
        <f>D273</f>
        <v>0</v>
      </c>
      <c r="L273" s="466"/>
    </row>
    <row r="274" spans="1:12" ht="12" customHeight="1" x14ac:dyDescent="0.2">
      <c r="A274" s="1526" t="s">
        <v>1121</v>
      </c>
      <c r="B274" s="615">
        <v>2630</v>
      </c>
      <c r="C274" s="617"/>
      <c r="D274" s="466"/>
      <c r="E274" s="617"/>
      <c r="F274" s="617"/>
      <c r="G274" s="617"/>
      <c r="H274" s="617"/>
      <c r="I274" s="617"/>
      <c r="J274" s="617"/>
      <c r="K274" s="1687">
        <f>D274</f>
        <v>0</v>
      </c>
      <c r="L274" s="466"/>
    </row>
    <row r="275" spans="1:12" x14ac:dyDescent="0.2">
      <c r="A275" s="1526" t="s">
        <v>423</v>
      </c>
      <c r="B275" s="615">
        <v>2640</v>
      </c>
      <c r="C275" s="617"/>
      <c r="D275" s="466"/>
      <c r="E275" s="617"/>
      <c r="F275" s="617"/>
      <c r="G275" s="617"/>
      <c r="H275" s="617"/>
      <c r="I275" s="617"/>
      <c r="J275" s="617"/>
      <c r="K275" s="1687">
        <f>D275</f>
        <v>0</v>
      </c>
      <c r="L275" s="466"/>
    </row>
    <row r="276" spans="1:12" x14ac:dyDescent="0.2">
      <c r="A276" s="1526" t="s">
        <v>424</v>
      </c>
      <c r="B276" s="615">
        <v>2660</v>
      </c>
      <c r="C276" s="617"/>
      <c r="D276" s="466"/>
      <c r="E276" s="617"/>
      <c r="F276" s="617"/>
      <c r="G276" s="617"/>
      <c r="H276" s="617"/>
      <c r="I276" s="617"/>
      <c r="J276" s="617"/>
      <c r="K276" s="1687">
        <f>D276</f>
        <v>0</v>
      </c>
      <c r="L276" s="466"/>
    </row>
    <row r="277" spans="1:12" ht="12.75" customHeight="1" thickBot="1" x14ac:dyDescent="0.25">
      <c r="A277" s="1706" t="s">
        <v>37</v>
      </c>
      <c r="B277" s="1684" t="s">
        <v>36</v>
      </c>
      <c r="C277" s="617"/>
      <c r="D277" s="1685">
        <f>SUM(D272:D276)</f>
        <v>0</v>
      </c>
      <c r="E277" s="617"/>
      <c r="F277" s="617"/>
      <c r="G277" s="617"/>
      <c r="H277" s="617"/>
      <c r="I277" s="617"/>
      <c r="J277" s="617"/>
      <c r="K277" s="1685">
        <f>SUM(K272:K276)</f>
        <v>0</v>
      </c>
      <c r="L277" s="1685">
        <f>SUM(L272:L276)</f>
        <v>0</v>
      </c>
    </row>
    <row r="278" spans="1:12" ht="13.5" customHeight="1" thickTop="1" x14ac:dyDescent="0.2">
      <c r="A278" s="1532" t="s">
        <v>1037</v>
      </c>
      <c r="B278" s="656" t="s">
        <v>595</v>
      </c>
      <c r="C278" s="617"/>
      <c r="D278" s="657"/>
      <c r="E278" s="617"/>
      <c r="F278" s="617"/>
      <c r="G278" s="617"/>
      <c r="H278" s="617"/>
      <c r="I278" s="617"/>
      <c r="J278" s="617"/>
      <c r="K278" s="1700">
        <f>D278</f>
        <v>0</v>
      </c>
      <c r="L278" s="657"/>
    </row>
    <row r="279" spans="1:12" ht="12.75" customHeight="1" thickBot="1" x14ac:dyDescent="0.25">
      <c r="A279" s="1713" t="s">
        <v>865</v>
      </c>
      <c r="B279" s="1696">
        <v>2000</v>
      </c>
      <c r="C279" s="617"/>
      <c r="D279" s="1692">
        <f>SUM(D238,D243,D257,D261,D270,D277,D278)</f>
        <v>158256</v>
      </c>
      <c r="E279" s="617"/>
      <c r="F279" s="617"/>
      <c r="G279" s="617"/>
      <c r="H279" s="617"/>
      <c r="I279" s="617"/>
      <c r="J279" s="617"/>
      <c r="K279" s="1692">
        <f>SUM(K238,K243,K257,K261,K270,K277,K278)</f>
        <v>158256</v>
      </c>
      <c r="L279" s="1692">
        <f>SUM(L238,L243,L257,L261,L270,L277,L278)</f>
        <v>183800</v>
      </c>
    </row>
    <row r="280" spans="1:12" ht="15.75" customHeight="1" thickTop="1" thickBot="1" x14ac:dyDescent="0.25">
      <c r="A280" s="1646" t="s">
        <v>930</v>
      </c>
      <c r="B280" s="1635">
        <v>3000</v>
      </c>
      <c r="C280" s="617"/>
      <c r="D280" s="576"/>
      <c r="E280" s="617"/>
      <c r="F280" s="617"/>
      <c r="G280" s="617"/>
      <c r="H280" s="617"/>
      <c r="I280" s="617"/>
      <c r="J280" s="617"/>
      <c r="K280" s="1694">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46" t="s">
        <v>517</v>
      </c>
      <c r="B282" s="691" t="s">
        <v>1957</v>
      </c>
      <c r="C282" s="617"/>
      <c r="D282" s="467"/>
      <c r="E282" s="617"/>
      <c r="F282" s="617"/>
      <c r="G282" s="617"/>
      <c r="H282" s="617"/>
      <c r="I282" s="617"/>
      <c r="J282" s="617"/>
      <c r="K282" s="1686">
        <f>D282</f>
        <v>0</v>
      </c>
      <c r="L282" s="467"/>
    </row>
    <row r="283" spans="1:12" x14ac:dyDescent="0.2">
      <c r="A283" s="1526" t="s">
        <v>322</v>
      </c>
      <c r="B283" s="615">
        <v>4120</v>
      </c>
      <c r="C283" s="617"/>
      <c r="D283" s="466"/>
      <c r="E283" s="617"/>
      <c r="F283" s="617"/>
      <c r="G283" s="617"/>
      <c r="H283" s="617"/>
      <c r="I283" s="617"/>
      <c r="J283" s="617"/>
      <c r="K283" s="1686">
        <f>D283</f>
        <v>0</v>
      </c>
      <c r="L283" s="466"/>
    </row>
    <row r="284" spans="1:12" x14ac:dyDescent="0.2">
      <c r="A284" s="1526" t="s">
        <v>721</v>
      </c>
      <c r="B284" s="615">
        <v>4140</v>
      </c>
      <c r="C284" s="617"/>
      <c r="D284" s="467"/>
      <c r="E284" s="617"/>
      <c r="F284" s="617"/>
      <c r="G284" s="617"/>
      <c r="H284" s="617"/>
      <c r="I284" s="617"/>
      <c r="J284" s="617"/>
      <c r="K284" s="1686">
        <f>D284</f>
        <v>0</v>
      </c>
      <c r="L284" s="466"/>
    </row>
    <row r="285" spans="1:12" ht="12.75" customHeight="1" thickBot="1" x14ac:dyDescent="0.25">
      <c r="A285" s="1683" t="s">
        <v>1567</v>
      </c>
      <c r="B285" s="1684" t="s">
        <v>915</v>
      </c>
      <c r="C285" s="617"/>
      <c r="D285" s="1685">
        <f>SUM(D282:D284)</f>
        <v>0</v>
      </c>
      <c r="E285" s="617"/>
      <c r="F285" s="617"/>
      <c r="G285" s="617"/>
      <c r="H285" s="617"/>
      <c r="I285" s="617"/>
      <c r="J285" s="617"/>
      <c r="K285" s="1685">
        <f>SUM(K282:K284)</f>
        <v>0</v>
      </c>
      <c r="L285" s="1685">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86">
        <f>H288</f>
        <v>0</v>
      </c>
      <c r="L288" s="466"/>
    </row>
    <row r="289" spans="1:14" x14ac:dyDescent="0.2">
      <c r="A289" s="1526" t="s">
        <v>90</v>
      </c>
      <c r="B289" s="615">
        <v>5120</v>
      </c>
      <c r="C289" s="617"/>
      <c r="D289" s="617"/>
      <c r="E289" s="617"/>
      <c r="F289" s="617"/>
      <c r="G289" s="617"/>
      <c r="H289" s="466"/>
      <c r="I289" s="617"/>
      <c r="J289" s="617"/>
      <c r="K289" s="1686">
        <f>H289</f>
        <v>0</v>
      </c>
      <c r="L289" s="466"/>
    </row>
    <row r="290" spans="1:14" ht="12.75" customHeight="1" x14ac:dyDescent="0.2">
      <c r="A290" s="1526" t="s">
        <v>1232</v>
      </c>
      <c r="B290" s="629" t="s">
        <v>638</v>
      </c>
      <c r="C290" s="617"/>
      <c r="D290" s="617"/>
      <c r="E290" s="617"/>
      <c r="F290" s="617"/>
      <c r="G290" s="617"/>
      <c r="H290" s="466"/>
      <c r="I290" s="617"/>
      <c r="J290" s="617"/>
      <c r="K290" s="1686">
        <f>H290</f>
        <v>0</v>
      </c>
      <c r="L290" s="466"/>
    </row>
    <row r="291" spans="1:14" x14ac:dyDescent="0.2">
      <c r="A291" s="1526" t="s">
        <v>91</v>
      </c>
      <c r="B291" s="615" t="s">
        <v>610</v>
      </c>
      <c r="C291" s="617"/>
      <c r="D291" s="617"/>
      <c r="E291" s="617"/>
      <c r="F291" s="617"/>
      <c r="G291" s="617"/>
      <c r="H291" s="466"/>
      <c r="I291" s="617"/>
      <c r="J291" s="617"/>
      <c r="K291" s="1686">
        <f>H291</f>
        <v>0</v>
      </c>
      <c r="L291" s="466"/>
    </row>
    <row r="292" spans="1:14" x14ac:dyDescent="0.2">
      <c r="A292" s="1526" t="s">
        <v>786</v>
      </c>
      <c r="B292" s="615" t="s">
        <v>639</v>
      </c>
      <c r="C292" s="617"/>
      <c r="D292" s="617"/>
      <c r="E292" s="617"/>
      <c r="F292" s="617"/>
      <c r="G292" s="617"/>
      <c r="H292" s="466"/>
      <c r="I292" s="617"/>
      <c r="J292" s="617"/>
      <c r="K292" s="1686">
        <f>H292</f>
        <v>0</v>
      </c>
      <c r="L292" s="466"/>
    </row>
    <row r="293" spans="1:14" ht="12.75" customHeight="1" thickBot="1" x14ac:dyDescent="0.25">
      <c r="A293" s="1683" t="s">
        <v>505</v>
      </c>
      <c r="B293" s="1684" t="s">
        <v>513</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1" t="s">
        <v>526</v>
      </c>
      <c r="B295" s="2182"/>
      <c r="C295" s="617"/>
      <c r="D295" s="1685">
        <f>SUM(D229,D279,D280,D285)</f>
        <v>283872</v>
      </c>
      <c r="E295" s="617"/>
      <c r="F295" s="617"/>
      <c r="G295" s="617"/>
      <c r="H295" s="1685">
        <f>H293</f>
        <v>0</v>
      </c>
      <c r="I295" s="617"/>
      <c r="J295" s="617"/>
      <c r="K295" s="1685">
        <f>SUM(K229,K279,K280,K285,K293,K294)</f>
        <v>283872</v>
      </c>
      <c r="L295" s="1685">
        <f>SUM(L229,L279,L280,L285,L293,L294)</f>
        <v>328660</v>
      </c>
    </row>
    <row r="296" spans="1:14" ht="13.5" thickTop="1" x14ac:dyDescent="0.2">
      <c r="A296" s="2190" t="s">
        <v>1053</v>
      </c>
      <c r="B296" s="2191"/>
      <c r="C296" s="617"/>
      <c r="D296" s="619"/>
      <c r="E296" s="617"/>
      <c r="F296" s="617"/>
      <c r="G296" s="617"/>
      <c r="H296" s="688"/>
      <c r="I296" s="617"/>
      <c r="J296" s="617"/>
      <c r="K296" s="1699">
        <f>'Revenues 9-14'!G275-'Expenditures 15-22'!K295</f>
        <v>25796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3" t="s">
        <v>145</v>
      </c>
      <c r="B298" s="216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4134</v>
      </c>
      <c r="F301" s="466"/>
      <c r="G301" s="466">
        <v>254615</v>
      </c>
      <c r="H301" s="466"/>
      <c r="I301" s="467"/>
      <c r="J301" s="467"/>
      <c r="K301" s="1686">
        <f>SUM(C301:J301)</f>
        <v>258749</v>
      </c>
      <c r="L301" s="467">
        <v>266000</v>
      </c>
    </row>
    <row r="302" spans="1:14" ht="13.5" customHeight="1" x14ac:dyDescent="0.2">
      <c r="A302" s="1539" t="s">
        <v>1037</v>
      </c>
      <c r="B302" s="615" t="s">
        <v>595</v>
      </c>
      <c r="C302" s="466"/>
      <c r="D302" s="466"/>
      <c r="E302" s="466"/>
      <c r="F302" s="466"/>
      <c r="G302" s="466"/>
      <c r="H302" s="466"/>
      <c r="I302" s="467"/>
      <c r="J302" s="467"/>
      <c r="K302" s="1686">
        <f>SUM(C302:J302)</f>
        <v>0</v>
      </c>
      <c r="L302" s="466"/>
    </row>
    <row r="303" spans="1:14" ht="12.75" customHeight="1" thickBot="1" x14ac:dyDescent="0.25">
      <c r="A303" s="1683" t="s">
        <v>865</v>
      </c>
      <c r="B303" s="1684" t="s">
        <v>590</v>
      </c>
      <c r="C303" s="1692">
        <f>SUM(C301:C302)</f>
        <v>0</v>
      </c>
      <c r="D303" s="1692">
        <f t="shared" ref="D303:L303" si="23">SUM(D301:D302)</f>
        <v>0</v>
      </c>
      <c r="E303" s="1692">
        <f t="shared" si="23"/>
        <v>4134</v>
      </c>
      <c r="F303" s="1692">
        <f t="shared" si="23"/>
        <v>0</v>
      </c>
      <c r="G303" s="1692">
        <f t="shared" si="23"/>
        <v>254615</v>
      </c>
      <c r="H303" s="1692">
        <f t="shared" si="23"/>
        <v>0</v>
      </c>
      <c r="I303" s="1692">
        <f t="shared" si="23"/>
        <v>0</v>
      </c>
      <c r="J303" s="1692">
        <f t="shared" si="23"/>
        <v>0</v>
      </c>
      <c r="K303" s="1692">
        <f t="shared" si="23"/>
        <v>258749</v>
      </c>
      <c r="L303" s="1692">
        <f t="shared" si="23"/>
        <v>266000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86">
        <f>SUM(E306,H306)</f>
        <v>0</v>
      </c>
      <c r="L306" s="467"/>
    </row>
    <row r="307" spans="1:14" x14ac:dyDescent="0.2">
      <c r="A307" s="1526" t="s">
        <v>322</v>
      </c>
      <c r="B307" s="615">
        <v>4120</v>
      </c>
      <c r="C307" s="617"/>
      <c r="D307" s="617"/>
      <c r="E307" s="467"/>
      <c r="F307" s="617"/>
      <c r="G307" s="617"/>
      <c r="H307" s="467"/>
      <c r="I307" s="477"/>
      <c r="J307" s="617"/>
      <c r="K307" s="1686">
        <f>SUM(E307,H307)</f>
        <v>0</v>
      </c>
      <c r="L307" s="466"/>
    </row>
    <row r="308" spans="1:14" x14ac:dyDescent="0.2">
      <c r="A308" s="1526" t="s">
        <v>721</v>
      </c>
      <c r="B308" s="615">
        <v>4140</v>
      </c>
      <c r="C308" s="617"/>
      <c r="D308" s="617"/>
      <c r="E308" s="467"/>
      <c r="F308" s="617"/>
      <c r="G308" s="617"/>
      <c r="H308" s="467"/>
      <c r="I308" s="477"/>
      <c r="J308" s="617"/>
      <c r="K308" s="1686">
        <f>SUM(E308,H308)</f>
        <v>0</v>
      </c>
      <c r="L308" s="466"/>
    </row>
    <row r="309" spans="1:14" ht="12.75" customHeight="1" x14ac:dyDescent="0.2">
      <c r="A309" s="1530" t="s">
        <v>722</v>
      </c>
      <c r="B309" s="629">
        <v>4190</v>
      </c>
      <c r="C309" s="617"/>
      <c r="D309" s="617"/>
      <c r="E309" s="467"/>
      <c r="F309" s="617"/>
      <c r="G309" s="617"/>
      <c r="H309" s="467">
        <v>79891</v>
      </c>
      <c r="I309" s="477"/>
      <c r="J309" s="617"/>
      <c r="K309" s="1686">
        <f>SUM(E309,H309)</f>
        <v>79891</v>
      </c>
      <c r="L309" s="466"/>
    </row>
    <row r="310" spans="1:14" ht="12.75" customHeight="1" thickBot="1" x14ac:dyDescent="0.25">
      <c r="A310" s="1683" t="s">
        <v>1567</v>
      </c>
      <c r="B310" s="1690" t="s">
        <v>915</v>
      </c>
      <c r="C310" s="617"/>
      <c r="D310" s="617"/>
      <c r="E310" s="1685">
        <f>SUM(E306:E309)</f>
        <v>0</v>
      </c>
      <c r="F310" s="617"/>
      <c r="G310" s="617"/>
      <c r="H310" s="1685">
        <f>SUM(H306:H309)</f>
        <v>79891</v>
      </c>
      <c r="I310" s="477"/>
      <c r="J310" s="617"/>
      <c r="K310" s="1685">
        <f>SUM(K306:K309)</f>
        <v>79891</v>
      </c>
      <c r="L310" s="1692">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78" t="s">
        <v>295</v>
      </c>
      <c r="B312" s="2179"/>
      <c r="C312" s="1685">
        <f>SUM(C303)</f>
        <v>0</v>
      </c>
      <c r="D312" s="1685">
        <f>SUM(D303)</f>
        <v>0</v>
      </c>
      <c r="E312" s="1685">
        <f>SUM(E303,E310)</f>
        <v>4134</v>
      </c>
      <c r="F312" s="1685">
        <f>SUM(F303)</f>
        <v>0</v>
      </c>
      <c r="G312" s="1685">
        <f>SUM(G303)</f>
        <v>254615</v>
      </c>
      <c r="H312" s="1685">
        <f>SUM(H303,H310)</f>
        <v>79891</v>
      </c>
      <c r="I312" s="1685">
        <f>SUM(I303)</f>
        <v>0</v>
      </c>
      <c r="J312" s="1685">
        <f>SUM(J303)</f>
        <v>0</v>
      </c>
      <c r="K312" s="1685">
        <f>SUM(K303,K310,K311)</f>
        <v>338640</v>
      </c>
      <c r="L312" s="1685">
        <f>SUM(L303,L310,L311)</f>
        <v>266000</v>
      </c>
      <c r="M312" s="666"/>
      <c r="N312" s="666"/>
    </row>
    <row r="313" spans="1:14" ht="13.5" thickTop="1" x14ac:dyDescent="0.2">
      <c r="A313" s="2174" t="s">
        <v>1053</v>
      </c>
      <c r="B313" s="2175"/>
      <c r="C313" s="627"/>
      <c r="D313" s="627"/>
      <c r="E313" s="627"/>
      <c r="F313" s="627"/>
      <c r="G313" s="627"/>
      <c r="H313" s="627"/>
      <c r="I313" s="627"/>
      <c r="J313" s="627"/>
      <c r="K313" s="1700">
        <f>'Revenues 9-14'!H275-'Expenditures 15-22'!K312</f>
        <v>-37763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87" t="s">
        <v>151</v>
      </c>
      <c r="B315" s="218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89" t="s">
        <v>954</v>
      </c>
      <c r="B317" s="218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86">
        <f>SUM(C319:J319)</f>
        <v>0</v>
      </c>
      <c r="L319" s="467"/>
      <c r="M319" s="666"/>
      <c r="N319" s="666"/>
    </row>
    <row r="320" spans="1:14" s="675" customFormat="1" x14ac:dyDescent="0.2">
      <c r="A320" s="1545" t="s">
        <v>1908</v>
      </c>
      <c r="B320" s="699" t="s">
        <v>300</v>
      </c>
      <c r="C320" s="467"/>
      <c r="D320" s="467"/>
      <c r="E320" s="467">
        <v>42819</v>
      </c>
      <c r="F320" s="467"/>
      <c r="G320" s="467"/>
      <c r="H320" s="467"/>
      <c r="I320" s="467"/>
      <c r="J320" s="467"/>
      <c r="K320" s="1686">
        <f t="shared" ref="K320:K327" si="24">SUM(C320:J320)</f>
        <v>42819</v>
      </c>
      <c r="L320" s="467">
        <v>45000</v>
      </c>
      <c r="M320" s="666"/>
      <c r="N320" s="666"/>
    </row>
    <row r="321" spans="1:14" s="675" customFormat="1" x14ac:dyDescent="0.2">
      <c r="A321" s="1541" t="s">
        <v>318</v>
      </c>
      <c r="B321" s="698" t="s">
        <v>301</v>
      </c>
      <c r="C321" s="467"/>
      <c r="D321" s="467"/>
      <c r="E321" s="467"/>
      <c r="F321" s="467"/>
      <c r="G321" s="467"/>
      <c r="H321" s="467"/>
      <c r="I321" s="467"/>
      <c r="J321" s="467"/>
      <c r="K321" s="1686">
        <f t="shared" si="24"/>
        <v>0</v>
      </c>
      <c r="L321" s="467"/>
      <c r="M321" s="666"/>
      <c r="N321" s="666"/>
    </row>
    <row r="322" spans="1:14" s="675" customFormat="1" x14ac:dyDescent="0.2">
      <c r="A322" s="1541" t="s">
        <v>256</v>
      </c>
      <c r="B322" s="698" t="s">
        <v>302</v>
      </c>
      <c r="C322" s="467"/>
      <c r="D322" s="467"/>
      <c r="E322" s="467">
        <v>73153</v>
      </c>
      <c r="F322" s="467"/>
      <c r="G322" s="467"/>
      <c r="H322" s="467"/>
      <c r="I322" s="467"/>
      <c r="J322" s="467"/>
      <c r="K322" s="1686">
        <f t="shared" si="24"/>
        <v>73153</v>
      </c>
      <c r="L322" s="467">
        <v>79000</v>
      </c>
      <c r="M322" s="666"/>
      <c r="N322" s="666"/>
    </row>
    <row r="323" spans="1:14" s="675" customFormat="1" x14ac:dyDescent="0.2">
      <c r="A323" s="1541" t="s">
        <v>726</v>
      </c>
      <c r="B323" s="698" t="s">
        <v>303</v>
      </c>
      <c r="C323" s="467"/>
      <c r="D323" s="467"/>
      <c r="E323" s="467"/>
      <c r="F323" s="467"/>
      <c r="G323" s="467"/>
      <c r="H323" s="467"/>
      <c r="I323" s="467"/>
      <c r="J323" s="467"/>
      <c r="K323" s="1686">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86">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86">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86">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86">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14">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4">
        <f>SUM(C329:J329)</f>
        <v>0</v>
      </c>
      <c r="L329" s="474"/>
      <c r="M329" s="666"/>
      <c r="N329" s="666"/>
    </row>
    <row r="330" spans="1:14" s="675" customFormat="1" ht="12.75" customHeight="1" thickBot="1" x14ac:dyDescent="0.25">
      <c r="A330" s="1715" t="s">
        <v>741</v>
      </c>
      <c r="B330" s="1684" t="s">
        <v>590</v>
      </c>
      <c r="C330" s="1685">
        <f>SUM(C319:C329)</f>
        <v>0</v>
      </c>
      <c r="D330" s="1685">
        <f t="shared" ref="D330:J330" si="25">SUM(D319:D329)</f>
        <v>0</v>
      </c>
      <c r="E330" s="1685">
        <f t="shared" si="25"/>
        <v>115972</v>
      </c>
      <c r="F330" s="1685">
        <f t="shared" si="25"/>
        <v>0</v>
      </c>
      <c r="G330" s="1685">
        <f t="shared" si="25"/>
        <v>0</v>
      </c>
      <c r="H330" s="1685">
        <f t="shared" si="25"/>
        <v>0</v>
      </c>
      <c r="I330" s="1685">
        <f t="shared" si="25"/>
        <v>0</v>
      </c>
      <c r="J330" s="1685">
        <f t="shared" si="25"/>
        <v>0</v>
      </c>
      <c r="K330" s="1685">
        <f>SUM(K319:K329)</f>
        <v>115972</v>
      </c>
      <c r="L330" s="1685">
        <f>SUM(L319:L329)</f>
        <v>124000</v>
      </c>
      <c r="M330" s="666"/>
      <c r="N330" s="666"/>
    </row>
    <row r="331" spans="1:14" s="675" customFormat="1" ht="12.75" customHeight="1" thickTop="1" x14ac:dyDescent="0.2">
      <c r="A331" s="1847" t="s">
        <v>1963</v>
      </c>
      <c r="B331" s="648" t="s">
        <v>915</v>
      </c>
      <c r="C331" s="1849"/>
      <c r="D331" s="1849"/>
      <c r="E331" s="1849"/>
      <c r="F331" s="1849"/>
      <c r="G331" s="1849"/>
      <c r="H331" s="1849"/>
      <c r="I331" s="1849"/>
      <c r="J331" s="1849"/>
      <c r="K331" s="1849"/>
      <c r="L331" s="1849"/>
      <c r="M331" s="666"/>
      <c r="N331" s="666"/>
    </row>
    <row r="332" spans="1:14" s="675" customFormat="1" ht="12.75" customHeight="1" x14ac:dyDescent="0.2">
      <c r="A332" s="1848" t="s">
        <v>517</v>
      </c>
      <c r="B332" s="1843" t="s">
        <v>1957</v>
      </c>
      <c r="C332" s="1849"/>
      <c r="D332" s="1849"/>
      <c r="E332" s="1849"/>
      <c r="F332" s="1849"/>
      <c r="G332" s="1849"/>
      <c r="H332" s="467"/>
      <c r="I332" s="1849"/>
      <c r="J332" s="1849"/>
      <c r="K332" s="1686">
        <f>H332</f>
        <v>0</v>
      </c>
      <c r="L332" s="467"/>
      <c r="M332" s="666"/>
      <c r="N332" s="666"/>
    </row>
    <row r="333" spans="1:14" s="675" customFormat="1" ht="12.75" customHeight="1" x14ac:dyDescent="0.2">
      <c r="A333" s="1848" t="s">
        <v>322</v>
      </c>
      <c r="B333" s="1843" t="s">
        <v>1959</v>
      </c>
      <c r="C333" s="1849"/>
      <c r="D333" s="1849"/>
      <c r="E333" s="1849"/>
      <c r="F333" s="1849"/>
      <c r="G333" s="1849"/>
      <c r="H333" s="467"/>
      <c r="I333" s="1849"/>
      <c r="J333" s="1849"/>
      <c r="K333" s="1686">
        <f>H333</f>
        <v>0</v>
      </c>
      <c r="L333" s="467"/>
      <c r="M333" s="666"/>
      <c r="N333" s="666"/>
    </row>
    <row r="334" spans="1:14" s="675" customFormat="1" ht="12.75" customHeight="1" thickBot="1" x14ac:dyDescent="0.25">
      <c r="A334" s="1848" t="s">
        <v>1964</v>
      </c>
      <c r="B334" s="1843" t="s">
        <v>915</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86">
        <f>H337</f>
        <v>0</v>
      </c>
      <c r="L337" s="478"/>
    </row>
    <row r="338" spans="1:14" ht="12.75" customHeight="1" x14ac:dyDescent="0.2">
      <c r="A338" s="1540" t="s">
        <v>1232</v>
      </c>
      <c r="B338" s="691" t="s">
        <v>638</v>
      </c>
      <c r="C338" s="639"/>
      <c r="D338" s="639"/>
      <c r="E338" s="639"/>
      <c r="F338" s="639"/>
      <c r="G338" s="639"/>
      <c r="H338" s="478"/>
      <c r="I338" s="639"/>
      <c r="J338" s="639"/>
      <c r="K338" s="1686">
        <f>H338</f>
        <v>0</v>
      </c>
      <c r="L338" s="478"/>
    </row>
    <row r="339" spans="1:14" x14ac:dyDescent="0.2">
      <c r="A339" s="1526" t="s">
        <v>957</v>
      </c>
      <c r="B339" s="629">
        <v>5150</v>
      </c>
      <c r="C339" s="639"/>
      <c r="D339" s="639"/>
      <c r="E339" s="639"/>
      <c r="F339" s="639"/>
      <c r="G339" s="639"/>
      <c r="H339" s="467"/>
      <c r="I339" s="639"/>
      <c r="J339" s="639"/>
      <c r="K339" s="1686">
        <f>H339</f>
        <v>0</v>
      </c>
      <c r="L339" s="467"/>
    </row>
    <row r="340" spans="1:14" ht="13.5" thickBot="1" x14ac:dyDescent="0.25">
      <c r="A340" s="1709" t="s">
        <v>958</v>
      </c>
      <c r="B340" s="1684" t="s">
        <v>513</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1" t="s">
        <v>526</v>
      </c>
      <c r="B342" s="1716"/>
      <c r="C342" s="1685">
        <f>SUM(C330)</f>
        <v>0</v>
      </c>
      <c r="D342" s="1685">
        <f>SUM(D330)</f>
        <v>0</v>
      </c>
      <c r="E342" s="1685">
        <f>SUM(E330)</f>
        <v>115972</v>
      </c>
      <c r="F342" s="1685">
        <f>SUM(F330)</f>
        <v>0</v>
      </c>
      <c r="G342" s="1685">
        <f>SUM(G330)</f>
        <v>0</v>
      </c>
      <c r="H342" s="1685">
        <f>SUM(H330,H334,H340)</f>
        <v>0</v>
      </c>
      <c r="I342" s="1685">
        <f>SUM(I330)</f>
        <v>0</v>
      </c>
      <c r="J342" s="1685">
        <f>SUM(J330)</f>
        <v>0</v>
      </c>
      <c r="K342" s="1685">
        <f>SUM(K330,K334,K340)</f>
        <v>115972</v>
      </c>
      <c r="L342" s="1692">
        <f>SUM(L330,L340,L341)</f>
        <v>124000</v>
      </c>
    </row>
    <row r="343" spans="1:14" ht="12.75" customHeight="1" thickTop="1" x14ac:dyDescent="0.2">
      <c r="A343" s="2176" t="s">
        <v>1053</v>
      </c>
      <c r="B343" s="2177"/>
      <c r="C343" s="617"/>
      <c r="D343" s="617"/>
      <c r="E343" s="617"/>
      <c r="F343" s="617"/>
      <c r="G343" s="617"/>
      <c r="H343" s="617"/>
      <c r="I343" s="617"/>
      <c r="J343" s="617"/>
      <c r="K343" s="1699">
        <f>'Revenues 9-14'!J275-'Expenditures 15-22'!K342</f>
        <v>96167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66" t="s">
        <v>1023</v>
      </c>
      <c r="B345" s="216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86">
        <f>SUM(C348:J348)</f>
        <v>0</v>
      </c>
      <c r="L348" s="466">
        <v>5000</v>
      </c>
    </row>
    <row r="349" spans="1:14" x14ac:dyDescent="0.2">
      <c r="A349" s="1526" t="s">
        <v>206</v>
      </c>
      <c r="B349" s="615">
        <v>2540</v>
      </c>
      <c r="C349" s="466"/>
      <c r="D349" s="466"/>
      <c r="E349" s="466">
        <v>4787</v>
      </c>
      <c r="F349" s="466"/>
      <c r="G349" s="466">
        <v>15993</v>
      </c>
      <c r="H349" s="466"/>
      <c r="I349" s="467"/>
      <c r="J349" s="467"/>
      <c r="K349" s="1686">
        <f>SUM(C349:J349)</f>
        <v>20780</v>
      </c>
      <c r="L349" s="466">
        <v>100000</v>
      </c>
    </row>
    <row r="350" spans="1:14" ht="12.75" customHeight="1" thickBot="1" x14ac:dyDescent="0.25">
      <c r="A350" s="1683" t="s">
        <v>743</v>
      </c>
      <c r="B350" s="1684" t="s">
        <v>35</v>
      </c>
      <c r="C350" s="1685">
        <f>SUM(C348:C349)</f>
        <v>0</v>
      </c>
      <c r="D350" s="1685">
        <f t="shared" ref="D350:L350" si="26">SUM(D348:D349)</f>
        <v>0</v>
      </c>
      <c r="E350" s="1685">
        <f t="shared" si="26"/>
        <v>4787</v>
      </c>
      <c r="F350" s="1685">
        <f t="shared" si="26"/>
        <v>0</v>
      </c>
      <c r="G350" s="1685">
        <f t="shared" si="26"/>
        <v>15993</v>
      </c>
      <c r="H350" s="1685">
        <f t="shared" si="26"/>
        <v>0</v>
      </c>
      <c r="I350" s="1685">
        <f t="shared" si="26"/>
        <v>0</v>
      </c>
      <c r="J350" s="1685">
        <f t="shared" si="26"/>
        <v>0</v>
      </c>
      <c r="K350" s="1685">
        <f t="shared" si="26"/>
        <v>20780</v>
      </c>
      <c r="L350" s="1685">
        <f t="shared" si="26"/>
        <v>105000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3" t="s">
        <v>645</v>
      </c>
      <c r="B352" s="1690" t="s">
        <v>590</v>
      </c>
      <c r="C352" s="1685">
        <f>SUM(C350:C351)</f>
        <v>0</v>
      </c>
      <c r="D352" s="1685">
        <f t="shared" ref="D352:L352" si="27">SUM(D350:D351)</f>
        <v>0</v>
      </c>
      <c r="E352" s="1685">
        <f t="shared" si="27"/>
        <v>4787</v>
      </c>
      <c r="F352" s="1685">
        <f t="shared" si="27"/>
        <v>0</v>
      </c>
      <c r="G352" s="1685">
        <f t="shared" si="27"/>
        <v>15993</v>
      </c>
      <c r="H352" s="1685">
        <f t="shared" si="27"/>
        <v>0</v>
      </c>
      <c r="I352" s="1685">
        <f t="shared" si="27"/>
        <v>0</v>
      </c>
      <c r="J352" s="1685">
        <f t="shared" si="27"/>
        <v>0</v>
      </c>
      <c r="K352" s="1685">
        <f t="shared" si="27"/>
        <v>20780</v>
      </c>
      <c r="L352" s="1685">
        <f t="shared" si="27"/>
        <v>105000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0" t="s">
        <v>1965</v>
      </c>
      <c r="B354" s="684" t="s">
        <v>1957</v>
      </c>
      <c r="C354" s="617"/>
      <c r="D354" s="617"/>
      <c r="E354" s="617"/>
      <c r="F354" s="617"/>
      <c r="G354" s="617"/>
      <c r="H354" s="474"/>
      <c r="I354" s="702"/>
      <c r="J354" s="617"/>
      <c r="K354" s="1714">
        <f>H354</f>
        <v>0</v>
      </c>
      <c r="L354" s="471"/>
    </row>
    <row r="355" spans="1:14" ht="12.75" customHeight="1" x14ac:dyDescent="0.2">
      <c r="A355" s="1535" t="s">
        <v>1966</v>
      </c>
      <c r="B355" s="691" t="s">
        <v>1959</v>
      </c>
      <c r="C355" s="617"/>
      <c r="D355" s="617"/>
      <c r="E355" s="617"/>
      <c r="F355" s="617"/>
      <c r="G355" s="617"/>
      <c r="H355" s="467"/>
      <c r="I355" s="702"/>
      <c r="J355" s="617"/>
      <c r="K355" s="1758">
        <f>H355</f>
        <v>0</v>
      </c>
      <c r="L355" s="467"/>
    </row>
    <row r="356" spans="1:14" ht="12.75" customHeight="1" x14ac:dyDescent="0.2">
      <c r="A356" s="1850" t="s">
        <v>722</v>
      </c>
      <c r="B356" s="684" t="s">
        <v>579</v>
      </c>
      <c r="C356" s="617"/>
      <c r="D356" s="617"/>
      <c r="E356" s="617"/>
      <c r="F356" s="617"/>
      <c r="G356" s="617"/>
      <c r="H356" s="479"/>
      <c r="I356" s="702"/>
      <c r="J356" s="617"/>
      <c r="K356" s="1755">
        <f>H356</f>
        <v>0</v>
      </c>
      <c r="L356" s="479"/>
    </row>
    <row r="357" spans="1:14" ht="12.75" customHeight="1" thickBot="1" x14ac:dyDescent="0.25">
      <c r="A357" s="1683" t="s">
        <v>1567</v>
      </c>
      <c r="B357" s="1684" t="s">
        <v>915</v>
      </c>
      <c r="C357" s="617"/>
      <c r="D357" s="617"/>
      <c r="E357" s="617"/>
      <c r="F357" s="617"/>
      <c r="G357" s="617"/>
      <c r="H357" s="1703">
        <f>SUM(H354:H356)</f>
        <v>0</v>
      </c>
      <c r="I357" s="702"/>
      <c r="J357" s="617"/>
      <c r="K357" s="1703">
        <f>SUM(K354:K356)</f>
        <v>0</v>
      </c>
      <c r="L357" s="1703">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86">
        <f>SUM(C360:J360)</f>
        <v>0</v>
      </c>
      <c r="L360" s="466"/>
    </row>
    <row r="361" spans="1:14" ht="12.75" customHeight="1" x14ac:dyDescent="0.2">
      <c r="A361" s="1527" t="s">
        <v>640</v>
      </c>
      <c r="B361" s="603" t="s">
        <v>639</v>
      </c>
      <c r="C361" s="617"/>
      <c r="D361" s="617"/>
      <c r="E361" s="617"/>
      <c r="F361" s="617"/>
      <c r="G361" s="617"/>
      <c r="H361" s="467"/>
      <c r="I361" s="617"/>
      <c r="J361" s="617"/>
      <c r="K361" s="1686">
        <f>SUM(C361:J361)</f>
        <v>0</v>
      </c>
      <c r="L361" s="466"/>
    </row>
    <row r="362" spans="1:14" ht="12.75" customHeight="1" thickBot="1" x14ac:dyDescent="0.25">
      <c r="A362" s="1683" t="s">
        <v>647</v>
      </c>
      <c r="B362" s="1684" t="s">
        <v>742</v>
      </c>
      <c r="C362" s="617"/>
      <c r="D362" s="617"/>
      <c r="E362" s="617"/>
      <c r="F362" s="617"/>
      <c r="G362" s="617"/>
      <c r="H362" s="1718">
        <f>SUM(H360:H361)</f>
        <v>0</v>
      </c>
      <c r="I362" s="617"/>
      <c r="J362" s="617"/>
      <c r="K362" s="1718">
        <f>SUM(K360:K361)</f>
        <v>0</v>
      </c>
      <c r="L362" s="1718">
        <f>SUM(L360:L361)</f>
        <v>0</v>
      </c>
    </row>
    <row r="363" spans="1:14" s="675" customFormat="1" ht="15.75" customHeight="1" thickTop="1" x14ac:dyDescent="0.2">
      <c r="A363" s="661" t="s">
        <v>85</v>
      </c>
      <c r="B363" s="662" t="s">
        <v>38</v>
      </c>
      <c r="C363" s="639"/>
      <c r="D363" s="639"/>
      <c r="E363" s="639"/>
      <c r="F363" s="639"/>
      <c r="G363" s="639"/>
      <c r="H363" s="479"/>
      <c r="I363" s="639"/>
      <c r="J363" s="639"/>
      <c r="K363" s="1714">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6">
        <f>SUM(C364:J364)</f>
        <v>0</v>
      </c>
      <c r="L364" s="708"/>
    </row>
    <row r="365" spans="1:14" s="675" customFormat="1" ht="12.75" customHeight="1" thickBot="1" x14ac:dyDescent="0.25">
      <c r="A365" s="1543" t="s">
        <v>611</v>
      </c>
      <c r="B365" s="660" t="s">
        <v>513</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07" t="s">
        <v>526</v>
      </c>
      <c r="B367" s="1719"/>
      <c r="C367" s="1685">
        <f t="shared" ref="C367:L367" si="28">SUM(C352,C357,C365,C366)</f>
        <v>0</v>
      </c>
      <c r="D367" s="1685">
        <f t="shared" si="28"/>
        <v>0</v>
      </c>
      <c r="E367" s="1685">
        <f t="shared" si="28"/>
        <v>4787</v>
      </c>
      <c r="F367" s="1685">
        <f t="shared" si="28"/>
        <v>0</v>
      </c>
      <c r="G367" s="1685">
        <f t="shared" si="28"/>
        <v>15993</v>
      </c>
      <c r="H367" s="1685">
        <f t="shared" si="28"/>
        <v>0</v>
      </c>
      <c r="I367" s="1685">
        <f t="shared" si="28"/>
        <v>0</v>
      </c>
      <c r="J367" s="1685">
        <f t="shared" si="28"/>
        <v>0</v>
      </c>
      <c r="K367" s="1685">
        <f t="shared" si="28"/>
        <v>20780</v>
      </c>
      <c r="L367" s="1685">
        <f t="shared" si="28"/>
        <v>105000</v>
      </c>
    </row>
    <row r="368" spans="1:14" ht="13.5" thickTop="1" x14ac:dyDescent="0.2">
      <c r="A368" s="2190" t="s">
        <v>1053</v>
      </c>
      <c r="B368" s="2191"/>
      <c r="C368" s="655"/>
      <c r="D368" s="655"/>
      <c r="E368" s="627"/>
      <c r="F368" s="627"/>
      <c r="G368" s="627"/>
      <c r="H368" s="627"/>
      <c r="I368" s="627"/>
      <c r="J368" s="624"/>
      <c r="K368" s="1686">
        <f>'Revenues 9-14'!K275-'Expenditures 15-22'!K367</f>
        <v>-19488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69"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&amp;LThe notes to the financial statements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schemas.openxmlformats.org/package/2006/metadata/core-properties"/>
    <ds:schemaRef ds:uri="http://purl.org/dc/terms/"/>
    <ds:schemaRef ds:uri="http://schemas.microsoft.com/office/infopath/2007/PartnerControls"/>
    <ds:schemaRef ds:uri="d21dc803-237d-4c68-8692-8d731fd29118"/>
    <ds:schemaRef ds:uri="http://www.w3.org/XML/1998/namespace"/>
    <ds:schemaRef ds:uri="http://purl.org/dc/dcmitype/"/>
    <ds:schemaRef ds:uri="http://purl.org/dc/elements/1.1/"/>
    <ds:schemaRef ds:uri="6ce3111e-7420-4802-b50a-75d4e9a0b980"/>
    <ds:schemaRef ds:uri="http://schemas.microsoft.com/office/2006/documentManagement/types"/>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2018-10-07T04:21:52Z</cp:lastPrinted>
  <dcterms:created xsi:type="dcterms:W3CDTF">2003-10-29T19:06:34Z</dcterms:created>
  <dcterms:modified xsi:type="dcterms:W3CDTF">2018-10-29T14:07:50Z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Financial Statements</vt:lpwstr>
  </property>
  <property fmtid="{D5CDD505-2E9C-101B-9397-08002B2CF9AE}" pid="5" name="tabIndex">
    <vt:lpwstr>03-01</vt:lpwstr>
  </property>
  <property fmtid="{D5CDD505-2E9C-101B-9397-08002B2CF9AE}" pid="6" name="workpaperIndex">
    <vt:lpwstr>03-01d</vt:lpwstr>
  </property>
</Properties>
</file>